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 tabRatio="790" firstSheet="9" activeTab="15"/>
  </bookViews>
  <sheets>
    <sheet name="Format" sheetId="16" r:id="rId1"/>
    <sheet name="QtrComp_vs_Plan" sheetId="19" r:id="rId2"/>
    <sheet name="QtrComp_vs_PY" sheetId="18" r:id="rId3"/>
    <sheet name="FinancingExpense" sheetId="20" r:id="rId4"/>
    <sheet name="PRMA" sheetId="2" r:id="rId5"/>
    <sheet name="Prepay_Exp" sheetId="17" r:id="rId6"/>
    <sheet name="Merchant" sheetId="3" r:id="rId7"/>
    <sheet name="EquityAffiliates" sheetId="14" r:id="rId8"/>
    <sheet name="OtherFundsFlow" sheetId="15" r:id="rId9"/>
    <sheet name="CapEx" sheetId="6" r:id="rId10"/>
    <sheet name="Investing" sheetId="7" r:id="rId11"/>
    <sheet name="FundsFlow" sheetId="9" r:id="rId12"/>
    <sheet name="CashCorpCE" sheetId="21" r:id="rId13"/>
    <sheet name="CashCorpPlan" sheetId="22" r:id="rId14"/>
    <sheet name="AssetSales" sheetId="10" r:id="rId15"/>
    <sheet name="MajAssump" sheetId="11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4">AssetSales!$A$1:$K$32</definedName>
    <definedName name="_xlnm.Print_Area" localSheetId="9">CapEx!$A$1:$AA$36</definedName>
    <definedName name="_xlnm.Print_Area" localSheetId="12">CashCorpCE!$A$1:$K$38</definedName>
    <definedName name="_xlnm.Print_Area" localSheetId="13">CashCorpPlan!$A$1:$K$42</definedName>
    <definedName name="_xlnm.Print_Area" localSheetId="7">EquityAffiliates!$A$1:$AB$34</definedName>
    <definedName name="_xlnm.Print_Area" localSheetId="3">FinancingExpense!$A$1:$R$77</definedName>
    <definedName name="_xlnm.Print_Area" localSheetId="0">Format!$A$1:$AB$131</definedName>
    <definedName name="_xlnm.Print_Area" localSheetId="11">FundsFlow!$A$1:$L$49</definedName>
    <definedName name="_xlnm.Print_Area" localSheetId="10">Investing!$A$10:$AB$54</definedName>
    <definedName name="_xlnm.Print_Area" localSheetId="15">MajAssump!$A$1:$K$27</definedName>
    <definedName name="_xlnm.Print_Area" localSheetId="6">Merchant!$A$1:$AA$49</definedName>
    <definedName name="_xlnm.Print_Area" localSheetId="8">OtherFundsFlow!$A$1:$AB$36</definedName>
    <definedName name="_xlnm.Print_Area" localSheetId="5">Prepay_Exp!$A$1:$AD$27</definedName>
    <definedName name="_xlnm.Print_Area" localSheetId="4">PRMA!$A$1:$AA$33</definedName>
    <definedName name="_xlnm.Print_Area" localSheetId="1">QtrComp_vs_Plan!$A$1:$AE$41</definedName>
    <definedName name="_xlnm.Print_Area" localSheetId="2">QtrComp_vs_PY!$A$1:$AE$41</definedName>
    <definedName name="_xlnm.Print_Titles" localSheetId="10">Investing!$1:$9</definedName>
  </definedNames>
  <calcPr calcId="0" calcMode="manual" fullCalcOnLoad="1" iterate="1" calcOnSave="0"/>
</workbook>
</file>

<file path=xl/calcChain.xml><?xml version="1.0" encoding="utf-8"?>
<calcChain xmlns="http://schemas.openxmlformats.org/spreadsheetml/2006/main">
  <c r="A1" i="10" l="1"/>
  <c r="A2" i="10"/>
  <c r="G13" i="10"/>
  <c r="I13" i="10"/>
  <c r="K13" i="10"/>
  <c r="K14" i="10"/>
  <c r="K15" i="10"/>
  <c r="K16" i="10"/>
  <c r="G19" i="10"/>
  <c r="I19" i="10"/>
  <c r="K19" i="10"/>
  <c r="C31" i="10"/>
  <c r="C32" i="10"/>
  <c r="A1" i="6"/>
  <c r="A2" i="6"/>
  <c r="H13" i="6"/>
  <c r="P13" i="6"/>
  <c r="Q13" i="6"/>
  <c r="S13" i="6"/>
  <c r="U13" i="6"/>
  <c r="W13" i="6"/>
  <c r="Y13" i="6"/>
  <c r="AA13" i="6"/>
  <c r="H14" i="6"/>
  <c r="P14" i="6"/>
  <c r="Q14" i="6"/>
  <c r="S14" i="6"/>
  <c r="U14" i="6"/>
  <c r="W14" i="6"/>
  <c r="Y14" i="6"/>
  <c r="H15" i="6"/>
  <c r="P15" i="6"/>
  <c r="Q15" i="6"/>
  <c r="S15" i="6"/>
  <c r="U15" i="6"/>
  <c r="W15" i="6"/>
  <c r="Y15" i="6"/>
  <c r="H16" i="6"/>
  <c r="P16" i="6"/>
  <c r="Q16" i="6"/>
  <c r="S16" i="6"/>
  <c r="U16" i="6"/>
  <c r="W16" i="6"/>
  <c r="Y16" i="6"/>
  <c r="P17" i="6"/>
  <c r="Q17" i="6"/>
  <c r="H18" i="6"/>
  <c r="P18" i="6"/>
  <c r="Q18" i="6"/>
  <c r="S18" i="6"/>
  <c r="U18" i="6"/>
  <c r="W18" i="6"/>
  <c r="Y18" i="6"/>
  <c r="H19" i="6"/>
  <c r="P19" i="6"/>
  <c r="Q19" i="6"/>
  <c r="S19" i="6"/>
  <c r="U19" i="6"/>
  <c r="W19" i="6"/>
  <c r="Y19" i="6"/>
  <c r="H20" i="6"/>
  <c r="P20" i="6"/>
  <c r="Q20" i="6"/>
  <c r="S20" i="6"/>
  <c r="U20" i="6"/>
  <c r="W20" i="6"/>
  <c r="Y20" i="6"/>
  <c r="AA20" i="6"/>
  <c r="D21" i="6"/>
  <c r="F21" i="6"/>
  <c r="H21" i="6"/>
  <c r="J21" i="6"/>
  <c r="L21" i="6"/>
  <c r="N21" i="6"/>
  <c r="P21" i="6"/>
  <c r="Q21" i="6"/>
  <c r="S21" i="6"/>
  <c r="U21" i="6"/>
  <c r="W21" i="6"/>
  <c r="Y21" i="6"/>
  <c r="H22" i="6"/>
  <c r="P22" i="6"/>
  <c r="Q22" i="6"/>
  <c r="S22" i="6"/>
  <c r="U22" i="6"/>
  <c r="W22" i="6"/>
  <c r="Y22" i="6"/>
  <c r="AA22" i="6"/>
  <c r="H23" i="6"/>
  <c r="P23" i="6"/>
  <c r="Q23" i="6"/>
  <c r="S23" i="6"/>
  <c r="U23" i="6"/>
  <c r="W23" i="6"/>
  <c r="Y23" i="6"/>
  <c r="AA23" i="6"/>
  <c r="H24" i="6"/>
  <c r="P24" i="6"/>
  <c r="Q24" i="6"/>
  <c r="S24" i="6"/>
  <c r="U24" i="6"/>
  <c r="W24" i="6"/>
  <c r="Y24" i="6"/>
  <c r="H25" i="6"/>
  <c r="N25" i="6"/>
  <c r="P25" i="6"/>
  <c r="Q25" i="6"/>
  <c r="S25" i="6"/>
  <c r="U25" i="6"/>
  <c r="W25" i="6"/>
  <c r="Y25" i="6"/>
  <c r="H26" i="6"/>
  <c r="P26" i="6"/>
  <c r="Q26" i="6"/>
  <c r="S26" i="6"/>
  <c r="U26" i="6"/>
  <c r="W26" i="6"/>
  <c r="Y26" i="6"/>
  <c r="H27" i="6"/>
  <c r="P27" i="6"/>
  <c r="Q27" i="6"/>
  <c r="S27" i="6"/>
  <c r="U27" i="6"/>
  <c r="W27" i="6"/>
  <c r="Y27" i="6"/>
  <c r="AA27" i="6"/>
  <c r="H28" i="6"/>
  <c r="P28" i="6"/>
  <c r="Q28" i="6"/>
  <c r="S28" i="6"/>
  <c r="U28" i="6"/>
  <c r="W28" i="6"/>
  <c r="Y28" i="6"/>
  <c r="AA28" i="6"/>
  <c r="B33" i="6"/>
  <c r="D33" i="6"/>
  <c r="F33" i="6"/>
  <c r="H33" i="6"/>
  <c r="J33" i="6"/>
  <c r="L33" i="6"/>
  <c r="N33" i="6"/>
  <c r="P33" i="6"/>
  <c r="Q33" i="6"/>
  <c r="R33" i="6"/>
  <c r="S33" i="6"/>
  <c r="U33" i="6"/>
  <c r="W33" i="6"/>
  <c r="Y33" i="6"/>
  <c r="AA33" i="6"/>
  <c r="AC33" i="6"/>
  <c r="A35" i="6"/>
  <c r="A36" i="6"/>
  <c r="A1" i="21"/>
  <c r="A2" i="21"/>
  <c r="F10" i="21"/>
  <c r="J10" i="21"/>
  <c r="F11" i="21"/>
  <c r="J11" i="21"/>
  <c r="F12" i="21"/>
  <c r="J12" i="21"/>
  <c r="F13" i="21"/>
  <c r="J13" i="21"/>
  <c r="J14" i="21"/>
  <c r="J15" i="21"/>
  <c r="J16" i="21"/>
  <c r="F17" i="21"/>
  <c r="J17" i="21"/>
  <c r="F18" i="21"/>
  <c r="J18" i="21"/>
  <c r="F19" i="21"/>
  <c r="J19" i="21"/>
  <c r="F20" i="21"/>
  <c r="H20" i="21"/>
  <c r="J20" i="21"/>
  <c r="F21" i="21"/>
  <c r="J21" i="21"/>
  <c r="F22" i="21"/>
  <c r="H22" i="21"/>
  <c r="J22" i="21"/>
  <c r="F24" i="21"/>
  <c r="H24" i="21"/>
  <c r="J24" i="21"/>
  <c r="J37" i="21"/>
  <c r="A38" i="21"/>
  <c r="J38" i="21"/>
  <c r="A1" i="22"/>
  <c r="A2" i="22"/>
  <c r="F10" i="22"/>
  <c r="H10" i="22"/>
  <c r="J10" i="22"/>
  <c r="F11" i="22"/>
  <c r="J11" i="22"/>
  <c r="F12" i="22"/>
  <c r="H12" i="22"/>
  <c r="J12" i="22"/>
  <c r="F13" i="22"/>
  <c r="J13" i="22"/>
  <c r="F14" i="22"/>
  <c r="J14" i="22"/>
  <c r="F15" i="22"/>
  <c r="J15" i="22"/>
  <c r="F16" i="22"/>
  <c r="J16" i="22"/>
  <c r="F17" i="22"/>
  <c r="J17" i="22"/>
  <c r="F18" i="22"/>
  <c r="J18" i="22"/>
  <c r="F19" i="22"/>
  <c r="J19" i="22"/>
  <c r="F20" i="22"/>
  <c r="J20" i="22"/>
  <c r="F21" i="22"/>
  <c r="J21" i="22"/>
  <c r="F22" i="22"/>
  <c r="H22" i="22"/>
  <c r="J22" i="22"/>
  <c r="F24" i="22"/>
  <c r="H24" i="22"/>
  <c r="J24" i="22"/>
  <c r="J40" i="22"/>
  <c r="A41" i="22"/>
  <c r="J41" i="22"/>
  <c r="A1" i="14"/>
  <c r="A2" i="14"/>
  <c r="AA12" i="14"/>
  <c r="AA13" i="14"/>
  <c r="AA14" i="14"/>
  <c r="AA15" i="14"/>
  <c r="C17" i="14"/>
  <c r="E17" i="14"/>
  <c r="G17" i="14"/>
  <c r="I17" i="14"/>
  <c r="K17" i="14"/>
  <c r="M17" i="14"/>
  <c r="O17" i="14"/>
  <c r="Q17" i="14"/>
  <c r="S17" i="14"/>
  <c r="U17" i="14"/>
  <c r="W17" i="14"/>
  <c r="Y17" i="14"/>
  <c r="AA17" i="14"/>
  <c r="C19" i="14"/>
  <c r="E19" i="14"/>
  <c r="G19" i="14"/>
  <c r="I19" i="14"/>
  <c r="K19" i="14"/>
  <c r="M19" i="14"/>
  <c r="O19" i="14"/>
  <c r="Q19" i="14"/>
  <c r="S19" i="14"/>
  <c r="U19" i="14"/>
  <c r="W19" i="14"/>
  <c r="Y19" i="14"/>
  <c r="AA19" i="14"/>
  <c r="AA22" i="14"/>
  <c r="AA23" i="14"/>
  <c r="AA24" i="14"/>
  <c r="AA25" i="14"/>
  <c r="C27" i="14"/>
  <c r="E27" i="14"/>
  <c r="G27" i="14"/>
  <c r="I27" i="14"/>
  <c r="K27" i="14"/>
  <c r="M27" i="14"/>
  <c r="O27" i="14"/>
  <c r="Q27" i="14"/>
  <c r="S27" i="14"/>
  <c r="U27" i="14"/>
  <c r="W27" i="14"/>
  <c r="Y27" i="14"/>
  <c r="AA27" i="14"/>
  <c r="C29" i="14"/>
  <c r="E29" i="14"/>
  <c r="G29" i="14"/>
  <c r="I29" i="14"/>
  <c r="K29" i="14"/>
  <c r="M29" i="14"/>
  <c r="O29" i="14"/>
  <c r="Q29" i="14"/>
  <c r="S29" i="14"/>
  <c r="U29" i="14"/>
  <c r="W29" i="14"/>
  <c r="Y29" i="14"/>
  <c r="AA29" i="14"/>
  <c r="C31" i="14"/>
  <c r="E31" i="14"/>
  <c r="G31" i="14"/>
  <c r="I31" i="14"/>
  <c r="K31" i="14"/>
  <c r="M31" i="14"/>
  <c r="O31" i="14"/>
  <c r="Q31" i="14"/>
  <c r="S31" i="14"/>
  <c r="U31" i="14"/>
  <c r="W31" i="14"/>
  <c r="Y31" i="14"/>
  <c r="AA31" i="14"/>
  <c r="A33" i="14"/>
  <c r="A34" i="14"/>
  <c r="R1" i="20"/>
  <c r="R2" i="20"/>
  <c r="A3" i="20"/>
  <c r="A4" i="20"/>
  <c r="C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C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C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5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R17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R18" i="20"/>
  <c r="R19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R20" i="20"/>
  <c r="R21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R22" i="20"/>
  <c r="R23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R24" i="20"/>
  <c r="R27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R28" i="20"/>
  <c r="R29" i="20"/>
  <c r="R30" i="20"/>
  <c r="R31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R32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R34" i="20"/>
  <c r="C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R44" i="20"/>
  <c r="R45" i="20"/>
  <c r="R46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R47" i="20"/>
  <c r="C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R57" i="20"/>
  <c r="R58" i="20"/>
  <c r="R59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R60" i="20"/>
  <c r="C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R70" i="20"/>
  <c r="R71" i="20"/>
  <c r="R72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R73" i="20"/>
  <c r="AB1" i="16"/>
  <c r="AB2" i="16"/>
  <c r="AB3" i="16"/>
  <c r="D7" i="16"/>
  <c r="F7" i="16"/>
  <c r="H7" i="16"/>
  <c r="J7" i="16"/>
  <c r="L7" i="16"/>
  <c r="N7" i="16"/>
  <c r="P7" i="16"/>
  <c r="R7" i="16"/>
  <c r="T7" i="16"/>
  <c r="V7" i="16"/>
  <c r="X7" i="16"/>
  <c r="Z7" i="16"/>
  <c r="AB7" i="16"/>
  <c r="D9" i="16"/>
  <c r="F9" i="16"/>
  <c r="H9" i="16"/>
  <c r="J9" i="16"/>
  <c r="L9" i="16"/>
  <c r="N9" i="16"/>
  <c r="P9" i="16"/>
  <c r="R9" i="16"/>
  <c r="T9" i="16"/>
  <c r="V9" i="16"/>
  <c r="X9" i="16"/>
  <c r="Z9" i="16"/>
  <c r="AB9" i="16"/>
  <c r="D11" i="16"/>
  <c r="F11" i="16"/>
  <c r="H11" i="16"/>
  <c r="J11" i="16"/>
  <c r="L11" i="16"/>
  <c r="N11" i="16"/>
  <c r="P11" i="16"/>
  <c r="R11" i="16"/>
  <c r="T11" i="16"/>
  <c r="V11" i="16"/>
  <c r="X11" i="16"/>
  <c r="Z11" i="16"/>
  <c r="AB11" i="16"/>
  <c r="D14" i="16"/>
  <c r="F14" i="16"/>
  <c r="H14" i="16"/>
  <c r="J14" i="16"/>
  <c r="L14" i="16"/>
  <c r="N14" i="16"/>
  <c r="P14" i="16"/>
  <c r="R14" i="16"/>
  <c r="T14" i="16"/>
  <c r="V14" i="16"/>
  <c r="X14" i="16"/>
  <c r="Z14" i="16"/>
  <c r="AB14" i="16"/>
  <c r="D15" i="16"/>
  <c r="F15" i="16"/>
  <c r="H15" i="16"/>
  <c r="J15" i="16"/>
  <c r="L15" i="16"/>
  <c r="N15" i="16"/>
  <c r="P15" i="16"/>
  <c r="R15" i="16"/>
  <c r="T15" i="16"/>
  <c r="V15" i="16"/>
  <c r="X15" i="16"/>
  <c r="Z15" i="16"/>
  <c r="AB15" i="16"/>
  <c r="D16" i="16"/>
  <c r="F16" i="16"/>
  <c r="H16" i="16"/>
  <c r="J16" i="16"/>
  <c r="L16" i="16"/>
  <c r="N16" i="16"/>
  <c r="P16" i="16"/>
  <c r="R16" i="16"/>
  <c r="T16" i="16"/>
  <c r="V16" i="16"/>
  <c r="X16" i="16"/>
  <c r="Z16" i="16"/>
  <c r="AB16" i="16"/>
  <c r="D17" i="16"/>
  <c r="F17" i="16"/>
  <c r="H17" i="16"/>
  <c r="J17" i="16"/>
  <c r="L17" i="16"/>
  <c r="N17" i="16"/>
  <c r="P17" i="16"/>
  <c r="R17" i="16"/>
  <c r="T17" i="16"/>
  <c r="V17" i="16"/>
  <c r="X17" i="16"/>
  <c r="Z17" i="16"/>
  <c r="AB17" i="16"/>
  <c r="D18" i="16"/>
  <c r="F18" i="16"/>
  <c r="H18" i="16"/>
  <c r="J18" i="16"/>
  <c r="L18" i="16"/>
  <c r="N18" i="16"/>
  <c r="P18" i="16"/>
  <c r="R18" i="16"/>
  <c r="T18" i="16"/>
  <c r="V18" i="16"/>
  <c r="X18" i="16"/>
  <c r="Z18" i="16"/>
  <c r="AB18" i="16"/>
  <c r="D19" i="16"/>
  <c r="F19" i="16"/>
  <c r="H19" i="16"/>
  <c r="J19" i="16"/>
  <c r="L19" i="16"/>
  <c r="N19" i="16"/>
  <c r="P19" i="16"/>
  <c r="R19" i="16"/>
  <c r="T19" i="16"/>
  <c r="V19" i="16"/>
  <c r="X19" i="16"/>
  <c r="Z19" i="16"/>
  <c r="AB19" i="16"/>
  <c r="D20" i="16"/>
  <c r="F20" i="16"/>
  <c r="H20" i="16"/>
  <c r="J20" i="16"/>
  <c r="L20" i="16"/>
  <c r="N20" i="16"/>
  <c r="P20" i="16"/>
  <c r="R20" i="16"/>
  <c r="T20" i="16"/>
  <c r="V20" i="16"/>
  <c r="X20" i="16"/>
  <c r="Z20" i="16"/>
  <c r="AB20" i="16"/>
  <c r="D21" i="16"/>
  <c r="F21" i="16"/>
  <c r="H21" i="16"/>
  <c r="J21" i="16"/>
  <c r="L21" i="16"/>
  <c r="N21" i="16"/>
  <c r="P21" i="16"/>
  <c r="R21" i="16"/>
  <c r="T21" i="16"/>
  <c r="V21" i="16"/>
  <c r="X21" i="16"/>
  <c r="Z21" i="16"/>
  <c r="AB21" i="16"/>
  <c r="D22" i="16"/>
  <c r="F22" i="16"/>
  <c r="H22" i="16"/>
  <c r="J22" i="16"/>
  <c r="L22" i="16"/>
  <c r="N22" i="16"/>
  <c r="P22" i="16"/>
  <c r="R22" i="16"/>
  <c r="T22" i="16"/>
  <c r="V22" i="16"/>
  <c r="X22" i="16"/>
  <c r="Z22" i="16"/>
  <c r="AB22" i="16"/>
  <c r="D24" i="16"/>
  <c r="F24" i="16"/>
  <c r="H24" i="16"/>
  <c r="J24" i="16"/>
  <c r="L24" i="16"/>
  <c r="N24" i="16"/>
  <c r="P24" i="16"/>
  <c r="R24" i="16"/>
  <c r="T24" i="16"/>
  <c r="V24" i="16"/>
  <c r="X24" i="16"/>
  <c r="Z24" i="16"/>
  <c r="AB24" i="16"/>
  <c r="AB27" i="16"/>
  <c r="AB28" i="16"/>
  <c r="AB29" i="16"/>
  <c r="Z30" i="16"/>
  <c r="AB30" i="16"/>
  <c r="D31" i="16"/>
  <c r="F31" i="16"/>
  <c r="H31" i="16"/>
  <c r="J31" i="16"/>
  <c r="L31" i="16"/>
  <c r="N31" i="16"/>
  <c r="P31" i="16"/>
  <c r="R31" i="16"/>
  <c r="T31" i="16"/>
  <c r="V31" i="16"/>
  <c r="X31" i="16"/>
  <c r="Z31" i="16"/>
  <c r="AB31" i="16"/>
  <c r="D32" i="16"/>
  <c r="F32" i="16"/>
  <c r="H32" i="16"/>
  <c r="J32" i="16"/>
  <c r="L32" i="16"/>
  <c r="N32" i="16"/>
  <c r="P32" i="16"/>
  <c r="R32" i="16"/>
  <c r="T32" i="16"/>
  <c r="V32" i="16"/>
  <c r="X32" i="16"/>
  <c r="Z32" i="16"/>
  <c r="AB32" i="16"/>
  <c r="D34" i="16"/>
  <c r="F34" i="16"/>
  <c r="H34" i="16"/>
  <c r="J34" i="16"/>
  <c r="L34" i="16"/>
  <c r="N34" i="16"/>
  <c r="P34" i="16"/>
  <c r="R34" i="16"/>
  <c r="T34" i="16"/>
  <c r="V34" i="16"/>
  <c r="X34" i="16"/>
  <c r="Z34" i="16"/>
  <c r="AB34" i="16"/>
  <c r="D37" i="16"/>
  <c r="F37" i="16"/>
  <c r="H37" i="16"/>
  <c r="J37" i="16"/>
  <c r="L37" i="16"/>
  <c r="N37" i="16"/>
  <c r="P37" i="16"/>
  <c r="R37" i="16"/>
  <c r="T37" i="16"/>
  <c r="V37" i="16"/>
  <c r="W37" i="16"/>
  <c r="X37" i="16"/>
  <c r="Z37" i="16"/>
  <c r="AB37" i="16"/>
  <c r="P38" i="16"/>
  <c r="AB38" i="16"/>
  <c r="D39" i="16"/>
  <c r="F39" i="16"/>
  <c r="H39" i="16"/>
  <c r="J39" i="16"/>
  <c r="L39" i="16"/>
  <c r="N39" i="16"/>
  <c r="P39" i="16"/>
  <c r="R39" i="16"/>
  <c r="T39" i="16"/>
  <c r="V39" i="16"/>
  <c r="W39" i="16"/>
  <c r="X39" i="16"/>
  <c r="Z39" i="16"/>
  <c r="AB39" i="16"/>
  <c r="D40" i="16"/>
  <c r="F40" i="16"/>
  <c r="H40" i="16"/>
  <c r="J40" i="16"/>
  <c r="L40" i="16"/>
  <c r="N40" i="16"/>
  <c r="P40" i="16"/>
  <c r="R40" i="16"/>
  <c r="T40" i="16"/>
  <c r="V40" i="16"/>
  <c r="W40" i="16"/>
  <c r="X40" i="16"/>
  <c r="Z40" i="16"/>
  <c r="AB40" i="16"/>
  <c r="D41" i="16"/>
  <c r="F41" i="16"/>
  <c r="H41" i="16"/>
  <c r="J41" i="16"/>
  <c r="L41" i="16"/>
  <c r="N41" i="16"/>
  <c r="P41" i="16"/>
  <c r="R41" i="16"/>
  <c r="T41" i="16"/>
  <c r="V41" i="16"/>
  <c r="X41" i="16"/>
  <c r="Z41" i="16"/>
  <c r="AB41" i="16"/>
  <c r="AB44" i="16"/>
  <c r="AB45" i="16"/>
  <c r="D46" i="16"/>
  <c r="F46" i="16"/>
  <c r="H46" i="16"/>
  <c r="J46" i="16"/>
  <c r="L46" i="16"/>
  <c r="N46" i="16"/>
  <c r="P46" i="16"/>
  <c r="R46" i="16"/>
  <c r="T46" i="16"/>
  <c r="V46" i="16"/>
  <c r="X46" i="16"/>
  <c r="Z46" i="16"/>
  <c r="AB46" i="16"/>
  <c r="AB48" i="16"/>
  <c r="D50" i="16"/>
  <c r="F50" i="16"/>
  <c r="H50" i="16"/>
  <c r="J50" i="16"/>
  <c r="L50" i="16"/>
  <c r="N50" i="16"/>
  <c r="P50" i="16"/>
  <c r="R50" i="16"/>
  <c r="T50" i="16"/>
  <c r="V50" i="16"/>
  <c r="X50" i="16"/>
  <c r="Z50" i="16"/>
  <c r="AB50" i="16"/>
  <c r="D53" i="16"/>
  <c r="F53" i="16"/>
  <c r="H53" i="16"/>
  <c r="J53" i="16"/>
  <c r="L53" i="16"/>
  <c r="N53" i="16"/>
  <c r="P53" i="16"/>
  <c r="R53" i="16"/>
  <c r="T53" i="16"/>
  <c r="V53" i="16"/>
  <c r="X53" i="16"/>
  <c r="Z53" i="16"/>
  <c r="AB53" i="16"/>
  <c r="D54" i="16"/>
  <c r="F54" i="16"/>
  <c r="H54" i="16"/>
  <c r="J54" i="16"/>
  <c r="L54" i="16"/>
  <c r="N54" i="16"/>
  <c r="P54" i="16"/>
  <c r="R54" i="16"/>
  <c r="T54" i="16"/>
  <c r="V54" i="16"/>
  <c r="X54" i="16"/>
  <c r="Z54" i="16"/>
  <c r="AB54" i="16"/>
  <c r="D55" i="16"/>
  <c r="F55" i="16"/>
  <c r="H55" i="16"/>
  <c r="J55" i="16"/>
  <c r="L55" i="16"/>
  <c r="N55" i="16"/>
  <c r="P55" i="16"/>
  <c r="R55" i="16"/>
  <c r="T55" i="16"/>
  <c r="V55" i="16"/>
  <c r="X55" i="16"/>
  <c r="Z55" i="16"/>
  <c r="AB55" i="16"/>
  <c r="D57" i="16"/>
  <c r="F57" i="16"/>
  <c r="H57" i="16"/>
  <c r="J57" i="16"/>
  <c r="L57" i="16"/>
  <c r="N57" i="16"/>
  <c r="P57" i="16"/>
  <c r="R57" i="16"/>
  <c r="T57" i="16"/>
  <c r="V57" i="16"/>
  <c r="X57" i="16"/>
  <c r="Z57" i="16"/>
  <c r="AB57" i="16"/>
  <c r="A60" i="16"/>
  <c r="AB60" i="16"/>
  <c r="A61" i="16"/>
  <c r="AB61" i="16"/>
  <c r="AB62" i="16"/>
  <c r="D65" i="16"/>
  <c r="F65" i="16"/>
  <c r="H65" i="16"/>
  <c r="J65" i="16"/>
  <c r="L65" i="16"/>
  <c r="N65" i="16"/>
  <c r="P65" i="16"/>
  <c r="R65" i="16"/>
  <c r="T65" i="16"/>
  <c r="V65" i="16"/>
  <c r="X65" i="16"/>
  <c r="Z65" i="16"/>
  <c r="AB65" i="16"/>
  <c r="D67" i="16"/>
  <c r="F67" i="16"/>
  <c r="H67" i="16"/>
  <c r="J67" i="16"/>
  <c r="L67" i="16"/>
  <c r="N67" i="16"/>
  <c r="P67" i="16"/>
  <c r="R67" i="16"/>
  <c r="T67" i="16"/>
  <c r="V67" i="16"/>
  <c r="X67" i="16"/>
  <c r="Z67" i="16"/>
  <c r="AB67" i="16"/>
  <c r="D68" i="16"/>
  <c r="F68" i="16"/>
  <c r="H68" i="16"/>
  <c r="J68" i="16"/>
  <c r="L68" i="16"/>
  <c r="N68" i="16"/>
  <c r="P68" i="16"/>
  <c r="R68" i="16"/>
  <c r="T68" i="16"/>
  <c r="V68" i="16"/>
  <c r="X68" i="16"/>
  <c r="Z68" i="16"/>
  <c r="AB68" i="16"/>
  <c r="D69" i="16"/>
  <c r="F69" i="16"/>
  <c r="H69" i="16"/>
  <c r="J69" i="16"/>
  <c r="L69" i="16"/>
  <c r="N69" i="16"/>
  <c r="P69" i="16"/>
  <c r="R69" i="16"/>
  <c r="T69" i="16"/>
  <c r="V69" i="16"/>
  <c r="X69" i="16"/>
  <c r="Z69" i="16"/>
  <c r="AB69" i="16"/>
  <c r="AB70" i="16"/>
  <c r="J71" i="16"/>
  <c r="L71" i="16"/>
  <c r="N71" i="16"/>
  <c r="P71" i="16"/>
  <c r="R71" i="16"/>
  <c r="T71" i="16"/>
  <c r="V71" i="16"/>
  <c r="X71" i="16"/>
  <c r="Z71" i="16"/>
  <c r="AB71" i="16"/>
  <c r="AB73" i="16"/>
  <c r="AB74" i="16"/>
  <c r="AB75" i="16"/>
  <c r="AB76" i="16"/>
  <c r="AB78" i="16"/>
  <c r="D79" i="16"/>
  <c r="F79" i="16"/>
  <c r="H79" i="16"/>
  <c r="J79" i="16"/>
  <c r="L79" i="16"/>
  <c r="N79" i="16"/>
  <c r="P79" i="16"/>
  <c r="R79" i="16"/>
  <c r="T79" i="16"/>
  <c r="V79" i="16"/>
  <c r="X79" i="16"/>
  <c r="Z79" i="16"/>
  <c r="AB79" i="16"/>
  <c r="D80" i="16"/>
  <c r="F80" i="16"/>
  <c r="H80" i="16"/>
  <c r="J80" i="16"/>
  <c r="L80" i="16"/>
  <c r="N80" i="16"/>
  <c r="P80" i="16"/>
  <c r="R80" i="16"/>
  <c r="T80" i="16"/>
  <c r="V80" i="16"/>
  <c r="X80" i="16"/>
  <c r="Z80" i="16"/>
  <c r="AB80" i="16"/>
  <c r="AB81" i="16"/>
  <c r="F82" i="16"/>
  <c r="H82" i="16"/>
  <c r="J82" i="16"/>
  <c r="L82" i="16"/>
  <c r="N82" i="16"/>
  <c r="P82" i="16"/>
  <c r="AB82" i="16"/>
  <c r="D84" i="16"/>
  <c r="F84" i="16"/>
  <c r="H84" i="16"/>
  <c r="J84" i="16"/>
  <c r="L84" i="16"/>
  <c r="N84" i="16"/>
  <c r="P84" i="16"/>
  <c r="R84" i="16"/>
  <c r="T84" i="16"/>
  <c r="V84" i="16"/>
  <c r="X84" i="16"/>
  <c r="Z84" i="16"/>
  <c r="AB84" i="16"/>
  <c r="J87" i="16"/>
  <c r="L87" i="16"/>
  <c r="N87" i="16"/>
  <c r="P87" i="16"/>
  <c r="Z87" i="16"/>
  <c r="AB87" i="16"/>
  <c r="L88" i="16"/>
  <c r="N88" i="16"/>
  <c r="AB88" i="16"/>
  <c r="L89" i="16"/>
  <c r="N89" i="16"/>
  <c r="P89" i="16"/>
  <c r="AB89" i="16"/>
  <c r="P90" i="16"/>
  <c r="AB90" i="16"/>
  <c r="L91" i="16"/>
  <c r="N91" i="16"/>
  <c r="P91" i="16"/>
  <c r="AB91" i="16"/>
  <c r="L92" i="16"/>
  <c r="N92" i="16"/>
  <c r="P92" i="16"/>
  <c r="AB92" i="16"/>
  <c r="L93" i="16"/>
  <c r="AB93" i="16"/>
  <c r="AB94" i="16"/>
  <c r="F95" i="16"/>
  <c r="H95" i="16"/>
  <c r="J95" i="16"/>
  <c r="L95" i="16"/>
  <c r="AB95" i="16"/>
  <c r="D97" i="16"/>
  <c r="F97" i="16"/>
  <c r="H97" i="16"/>
  <c r="J97" i="16"/>
  <c r="L97" i="16"/>
  <c r="N97" i="16"/>
  <c r="P97" i="16"/>
  <c r="R97" i="16"/>
  <c r="T97" i="16"/>
  <c r="V97" i="16"/>
  <c r="X97" i="16"/>
  <c r="Z97" i="16"/>
  <c r="AB97" i="16"/>
  <c r="D99" i="16"/>
  <c r="F99" i="16"/>
  <c r="H99" i="16"/>
  <c r="J99" i="16"/>
  <c r="L99" i="16"/>
  <c r="N99" i="16"/>
  <c r="P99" i="16"/>
  <c r="R99" i="16"/>
  <c r="T99" i="16"/>
  <c r="V99" i="16"/>
  <c r="X99" i="16"/>
  <c r="Z99" i="16"/>
  <c r="AB99" i="16"/>
  <c r="AB102" i="16"/>
  <c r="J103" i="16"/>
  <c r="L103" i="16"/>
  <c r="N103" i="16"/>
  <c r="P103" i="16"/>
  <c r="R103" i="16"/>
  <c r="T103" i="16"/>
  <c r="V103" i="16"/>
  <c r="X103" i="16"/>
  <c r="Z103" i="16"/>
  <c r="AB103" i="16"/>
  <c r="AB104" i="16"/>
  <c r="AB105" i="16"/>
  <c r="AB106" i="16"/>
  <c r="F107" i="16"/>
  <c r="H107" i="16"/>
  <c r="J107" i="16"/>
  <c r="L107" i="16"/>
  <c r="P107" i="16"/>
  <c r="AB107" i="16"/>
  <c r="D109" i="16"/>
  <c r="F109" i="16"/>
  <c r="H109" i="16"/>
  <c r="J109" i="16"/>
  <c r="L109" i="16"/>
  <c r="N109" i="16"/>
  <c r="P109" i="16"/>
  <c r="R109" i="16"/>
  <c r="T109" i="16"/>
  <c r="V109" i="16"/>
  <c r="X109" i="16"/>
  <c r="Z109" i="16"/>
  <c r="AB109" i="16"/>
  <c r="L112" i="16"/>
  <c r="N112" i="16"/>
  <c r="P112" i="16"/>
  <c r="V112" i="16"/>
  <c r="X112" i="16"/>
  <c r="Z112" i="16"/>
  <c r="AB112" i="16"/>
  <c r="AB113" i="16"/>
  <c r="AB114" i="16"/>
  <c r="AB115" i="16"/>
  <c r="L116" i="16"/>
  <c r="AB116" i="16"/>
  <c r="AB117" i="16"/>
  <c r="D119" i="16"/>
  <c r="F119" i="16"/>
  <c r="H119" i="16"/>
  <c r="J119" i="16"/>
  <c r="L119" i="16"/>
  <c r="N119" i="16"/>
  <c r="P119" i="16"/>
  <c r="R119" i="16"/>
  <c r="T119" i="16"/>
  <c r="V119" i="16"/>
  <c r="X119" i="16"/>
  <c r="Z119" i="16"/>
  <c r="AB119" i="16"/>
  <c r="D121" i="16"/>
  <c r="F121" i="16"/>
  <c r="H121" i="16"/>
  <c r="J121" i="16"/>
  <c r="L121" i="16"/>
  <c r="N121" i="16"/>
  <c r="P121" i="16"/>
  <c r="R121" i="16"/>
  <c r="T121" i="16"/>
  <c r="V121" i="16"/>
  <c r="X121" i="16"/>
  <c r="Z121" i="16"/>
  <c r="AB121" i="16"/>
  <c r="D124" i="16"/>
  <c r="F124" i="16"/>
  <c r="H124" i="16"/>
  <c r="J124" i="16"/>
  <c r="L124" i="16"/>
  <c r="N124" i="16"/>
  <c r="P124" i="16"/>
  <c r="AB124" i="16"/>
  <c r="J125" i="16"/>
  <c r="L125" i="16"/>
  <c r="AB125" i="16"/>
  <c r="L126" i="16"/>
  <c r="N126" i="16"/>
  <c r="AB126" i="16"/>
  <c r="D128" i="16"/>
  <c r="F128" i="16"/>
  <c r="H128" i="16"/>
  <c r="J128" i="16"/>
  <c r="L128" i="16"/>
  <c r="N128" i="16"/>
  <c r="P128" i="16"/>
  <c r="R128" i="16"/>
  <c r="T128" i="16"/>
  <c r="V128" i="16"/>
  <c r="X128" i="16"/>
  <c r="Z128" i="16"/>
  <c r="AB128" i="16"/>
  <c r="D130" i="16"/>
  <c r="F130" i="16"/>
  <c r="G130" i="16"/>
  <c r="H130" i="16"/>
  <c r="J130" i="16"/>
  <c r="L130" i="16"/>
  <c r="N130" i="16"/>
  <c r="P130" i="16"/>
  <c r="R130" i="16"/>
  <c r="T130" i="16"/>
  <c r="V130" i="16"/>
  <c r="X130" i="16"/>
  <c r="Z130" i="16"/>
  <c r="AB130" i="16"/>
  <c r="A1" i="9"/>
  <c r="A2" i="9"/>
  <c r="E10" i="9"/>
  <c r="I10" i="9"/>
  <c r="E12" i="9"/>
  <c r="G12" i="9"/>
  <c r="I12" i="9"/>
  <c r="E13" i="9"/>
  <c r="I13" i="9"/>
  <c r="E14" i="9"/>
  <c r="I14" i="9"/>
  <c r="E15" i="9"/>
  <c r="I15" i="9"/>
  <c r="E16" i="9"/>
  <c r="I16" i="9"/>
  <c r="E18" i="9"/>
  <c r="I18" i="9"/>
  <c r="E19" i="9"/>
  <c r="I19" i="9"/>
  <c r="E20" i="9"/>
  <c r="I20" i="9"/>
  <c r="E21" i="9"/>
  <c r="I21" i="9"/>
  <c r="E23" i="9"/>
  <c r="I23" i="9"/>
  <c r="E24" i="9"/>
  <c r="I24" i="9"/>
  <c r="E25" i="9"/>
  <c r="I25" i="9"/>
  <c r="E26" i="9"/>
  <c r="I26" i="9"/>
  <c r="E27" i="9"/>
  <c r="I27" i="9"/>
  <c r="E29" i="9"/>
  <c r="G29" i="9"/>
  <c r="I29" i="9"/>
  <c r="A1" i="7"/>
  <c r="AB12" i="7"/>
  <c r="AB13" i="7"/>
  <c r="AB14" i="7"/>
  <c r="AB15" i="7"/>
  <c r="AB16" i="7"/>
  <c r="B18" i="7"/>
  <c r="D18" i="7"/>
  <c r="F18" i="7"/>
  <c r="H18" i="7"/>
  <c r="J18" i="7"/>
  <c r="L18" i="7"/>
  <c r="N18" i="7"/>
  <c r="P18" i="7"/>
  <c r="R18" i="7"/>
  <c r="T18" i="7"/>
  <c r="V18" i="7"/>
  <c r="X18" i="7"/>
  <c r="Z18" i="7"/>
  <c r="AB18" i="7"/>
  <c r="B20" i="7"/>
  <c r="D20" i="7"/>
  <c r="F20" i="7"/>
  <c r="H20" i="7"/>
  <c r="J20" i="7"/>
  <c r="L20" i="7"/>
  <c r="N20" i="7"/>
  <c r="P20" i="7"/>
  <c r="R20" i="7"/>
  <c r="T20" i="7"/>
  <c r="V20" i="7"/>
  <c r="X20" i="7"/>
  <c r="Z20" i="7"/>
  <c r="AB20" i="7"/>
  <c r="AB23" i="7"/>
  <c r="AB24" i="7"/>
  <c r="AB25" i="7"/>
  <c r="AB26" i="7"/>
  <c r="AB27" i="7"/>
  <c r="B29" i="7"/>
  <c r="D29" i="7"/>
  <c r="F29" i="7"/>
  <c r="H29" i="7"/>
  <c r="J29" i="7"/>
  <c r="L29" i="7"/>
  <c r="N29" i="7"/>
  <c r="P29" i="7"/>
  <c r="R29" i="7"/>
  <c r="T29" i="7"/>
  <c r="V29" i="7"/>
  <c r="X29" i="7"/>
  <c r="Z29" i="7"/>
  <c r="AB29" i="7"/>
  <c r="B31" i="7"/>
  <c r="D31" i="7"/>
  <c r="F31" i="7"/>
  <c r="H31" i="7"/>
  <c r="J31" i="7"/>
  <c r="L31" i="7"/>
  <c r="N31" i="7"/>
  <c r="P31" i="7"/>
  <c r="R31" i="7"/>
  <c r="T31" i="7"/>
  <c r="V31" i="7"/>
  <c r="X31" i="7"/>
  <c r="Z31" i="7"/>
  <c r="AB31" i="7"/>
  <c r="AB35" i="7"/>
  <c r="AB36" i="7"/>
  <c r="AB37" i="7"/>
  <c r="AB38" i="7"/>
  <c r="AB39" i="7"/>
  <c r="AB40" i="7"/>
  <c r="AB41" i="7"/>
  <c r="B43" i="7"/>
  <c r="D43" i="7"/>
  <c r="F43" i="7"/>
  <c r="H43" i="7"/>
  <c r="J43" i="7"/>
  <c r="L43" i="7"/>
  <c r="N43" i="7"/>
  <c r="P43" i="7"/>
  <c r="R43" i="7"/>
  <c r="T43" i="7"/>
  <c r="V43" i="7"/>
  <c r="X43" i="7"/>
  <c r="Z43" i="7"/>
  <c r="AB43" i="7"/>
  <c r="D45" i="7"/>
  <c r="F45" i="7"/>
  <c r="H45" i="7"/>
  <c r="J45" i="7"/>
  <c r="L45" i="7"/>
  <c r="N45" i="7"/>
  <c r="P45" i="7"/>
  <c r="R45" i="7"/>
  <c r="T45" i="7"/>
  <c r="V45" i="7"/>
  <c r="X45" i="7"/>
  <c r="Z45" i="7"/>
  <c r="AB45" i="7"/>
  <c r="B47" i="7"/>
  <c r="D47" i="7"/>
  <c r="F47" i="7"/>
  <c r="H47" i="7"/>
  <c r="J47" i="7"/>
  <c r="L47" i="7"/>
  <c r="N47" i="7"/>
  <c r="P47" i="7"/>
  <c r="R47" i="7"/>
  <c r="T47" i="7"/>
  <c r="V47" i="7"/>
  <c r="X47" i="7"/>
  <c r="Z47" i="7"/>
  <c r="AB47" i="7"/>
  <c r="A1" i="11"/>
  <c r="A2" i="11"/>
  <c r="A26" i="11"/>
  <c r="B27" i="11"/>
  <c r="A1" i="3"/>
  <c r="A2" i="3"/>
  <c r="AA10" i="3"/>
  <c r="AA11" i="3"/>
  <c r="AA12" i="3"/>
  <c r="C14" i="3"/>
  <c r="E14" i="3"/>
  <c r="G14" i="3"/>
  <c r="I14" i="3"/>
  <c r="K14" i="3"/>
  <c r="M14" i="3"/>
  <c r="O14" i="3"/>
  <c r="Q14" i="3"/>
  <c r="S14" i="3"/>
  <c r="U14" i="3"/>
  <c r="W14" i="3"/>
  <c r="Y14" i="3"/>
  <c r="AA14" i="3"/>
  <c r="C16" i="3"/>
  <c r="E16" i="3"/>
  <c r="G16" i="3"/>
  <c r="I16" i="3"/>
  <c r="K16" i="3"/>
  <c r="M16" i="3"/>
  <c r="O16" i="3"/>
  <c r="Q16" i="3"/>
  <c r="S16" i="3"/>
  <c r="U16" i="3"/>
  <c r="W16" i="3"/>
  <c r="Y16" i="3"/>
  <c r="AA16" i="3"/>
  <c r="AA19" i="3"/>
  <c r="AA20" i="3"/>
  <c r="AA21" i="3"/>
  <c r="C23" i="3"/>
  <c r="E23" i="3"/>
  <c r="G23" i="3"/>
  <c r="I23" i="3"/>
  <c r="K23" i="3"/>
  <c r="M23" i="3"/>
  <c r="O23" i="3"/>
  <c r="Q23" i="3"/>
  <c r="S23" i="3"/>
  <c r="U23" i="3"/>
  <c r="W23" i="3"/>
  <c r="Y23" i="3"/>
  <c r="AA23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A28" i="3"/>
  <c r="AA29" i="3"/>
  <c r="AA30" i="3"/>
  <c r="C32" i="3"/>
  <c r="E32" i="3"/>
  <c r="G32" i="3"/>
  <c r="I32" i="3"/>
  <c r="K32" i="3"/>
  <c r="M32" i="3"/>
  <c r="O32" i="3"/>
  <c r="Q32" i="3"/>
  <c r="S32" i="3"/>
  <c r="U32" i="3"/>
  <c r="W32" i="3"/>
  <c r="Y32" i="3"/>
  <c r="AA32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A37" i="3"/>
  <c r="AA38" i="3"/>
  <c r="AA39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C43" i="3"/>
  <c r="E43" i="3"/>
  <c r="G43" i="3"/>
  <c r="I43" i="3"/>
  <c r="K43" i="3"/>
  <c r="M43" i="3"/>
  <c r="O43" i="3"/>
  <c r="Q43" i="3"/>
  <c r="S43" i="3"/>
  <c r="U43" i="3"/>
  <c r="W43" i="3"/>
  <c r="Y43" i="3"/>
  <c r="AA43" i="3"/>
  <c r="C45" i="3"/>
  <c r="E45" i="3"/>
  <c r="G45" i="3"/>
  <c r="I45" i="3"/>
  <c r="K45" i="3"/>
  <c r="M45" i="3"/>
  <c r="O45" i="3"/>
  <c r="Q45" i="3"/>
  <c r="S45" i="3"/>
  <c r="U45" i="3"/>
  <c r="W45" i="3"/>
  <c r="Y45" i="3"/>
  <c r="AA45" i="3"/>
  <c r="A48" i="3"/>
  <c r="A49" i="3"/>
  <c r="A1" i="15"/>
  <c r="A2" i="15"/>
  <c r="AA10" i="15"/>
  <c r="AA11" i="15"/>
  <c r="AA12" i="15"/>
  <c r="AA13" i="15"/>
  <c r="AA14" i="15"/>
  <c r="AA15" i="15"/>
  <c r="AA18" i="15"/>
  <c r="AA19" i="15"/>
  <c r="AA20" i="15"/>
  <c r="AA21" i="15"/>
  <c r="AA24" i="15"/>
  <c r="AA25" i="15"/>
  <c r="AA28" i="15"/>
  <c r="AA29" i="15"/>
  <c r="C31" i="15"/>
  <c r="E31" i="15"/>
  <c r="G31" i="15"/>
  <c r="I31" i="15"/>
  <c r="K31" i="15"/>
  <c r="M31" i="15"/>
  <c r="O31" i="15"/>
  <c r="Q31" i="15"/>
  <c r="S31" i="15"/>
  <c r="U31" i="15"/>
  <c r="W31" i="15"/>
  <c r="Y31" i="15"/>
  <c r="AA31" i="15"/>
  <c r="C33" i="15"/>
  <c r="E33" i="15"/>
  <c r="G33" i="15"/>
  <c r="I33" i="15"/>
  <c r="K33" i="15"/>
  <c r="M33" i="15"/>
  <c r="O33" i="15"/>
  <c r="Q33" i="15"/>
  <c r="S33" i="15"/>
  <c r="U33" i="15"/>
  <c r="W33" i="15"/>
  <c r="Y33" i="15"/>
  <c r="AA33" i="15"/>
  <c r="A35" i="15"/>
  <c r="A36" i="15"/>
  <c r="A1" i="17"/>
  <c r="A2" i="17"/>
  <c r="G9" i="17"/>
  <c r="I9" i="17"/>
  <c r="K9" i="17"/>
  <c r="M9" i="17"/>
  <c r="O9" i="17"/>
  <c r="Q9" i="17"/>
  <c r="S9" i="17"/>
  <c r="W9" i="17"/>
  <c r="Y9" i="17"/>
  <c r="AA9" i="17"/>
  <c r="G10" i="17"/>
  <c r="I10" i="17"/>
  <c r="K10" i="17"/>
  <c r="M10" i="17"/>
  <c r="O10" i="17"/>
  <c r="Q10" i="17"/>
  <c r="S10" i="17"/>
  <c r="U10" i="17"/>
  <c r="W10" i="17"/>
  <c r="Y10" i="17"/>
  <c r="AA10" i="17"/>
  <c r="G11" i="17"/>
  <c r="I11" i="17"/>
  <c r="K11" i="17"/>
  <c r="M11" i="17"/>
  <c r="O11" i="17"/>
  <c r="Q11" i="17"/>
  <c r="S11" i="17"/>
  <c r="U11" i="17"/>
  <c r="W11" i="17"/>
  <c r="Y11" i="17"/>
  <c r="AA11" i="17"/>
  <c r="G12" i="17"/>
  <c r="I12" i="17"/>
  <c r="K12" i="17"/>
  <c r="M12" i="17"/>
  <c r="O12" i="17"/>
  <c r="Q12" i="17"/>
  <c r="S12" i="17"/>
  <c r="U12" i="17"/>
  <c r="W12" i="17"/>
  <c r="Y12" i="17"/>
  <c r="AA12" i="17"/>
  <c r="C14" i="17"/>
  <c r="E14" i="17"/>
  <c r="G14" i="17"/>
  <c r="I14" i="17"/>
  <c r="K14" i="17"/>
  <c r="M14" i="17"/>
  <c r="O14" i="17"/>
  <c r="Q14" i="17"/>
  <c r="S14" i="17"/>
  <c r="U14" i="17"/>
  <c r="W14" i="17"/>
  <c r="Y14" i="17"/>
  <c r="AA14" i="17"/>
  <c r="AC17" i="17"/>
  <c r="AC18" i="17"/>
  <c r="AC19" i="17"/>
  <c r="AC20" i="17"/>
  <c r="AC21" i="17"/>
  <c r="E22" i="17"/>
  <c r="G22" i="17"/>
  <c r="I22" i="17"/>
  <c r="K22" i="17"/>
  <c r="M22" i="17"/>
  <c r="O22" i="17"/>
  <c r="Q22" i="17"/>
  <c r="S22" i="17"/>
  <c r="U22" i="17"/>
  <c r="W22" i="17"/>
  <c r="Y22" i="17"/>
  <c r="AA22" i="17"/>
  <c r="AC22" i="17"/>
  <c r="A1" i="2"/>
  <c r="A2" i="2"/>
  <c r="AA12" i="2"/>
  <c r="AA13" i="2"/>
  <c r="AA14" i="2"/>
  <c r="AA15" i="2"/>
  <c r="AA16" i="2"/>
  <c r="AA17" i="2"/>
  <c r="AA18" i="2"/>
  <c r="AA19" i="2"/>
  <c r="AA20" i="2"/>
  <c r="C22" i="2"/>
  <c r="E22" i="2"/>
  <c r="G22" i="2"/>
  <c r="I22" i="2"/>
  <c r="K22" i="2"/>
  <c r="M22" i="2"/>
  <c r="O22" i="2"/>
  <c r="Q22" i="2"/>
  <c r="S22" i="2"/>
  <c r="U22" i="2"/>
  <c r="W22" i="2"/>
  <c r="Y22" i="2"/>
  <c r="AA22" i="2"/>
  <c r="C24" i="2"/>
  <c r="E24" i="2"/>
  <c r="G24" i="2"/>
  <c r="I24" i="2"/>
  <c r="K24" i="2"/>
  <c r="M24" i="2"/>
  <c r="O24" i="2"/>
  <c r="Q24" i="2"/>
  <c r="S24" i="2"/>
  <c r="U24" i="2"/>
  <c r="W24" i="2"/>
  <c r="Y24" i="2"/>
  <c r="AA24" i="2"/>
  <c r="A32" i="2"/>
  <c r="A33" i="2"/>
  <c r="A1" i="19"/>
  <c r="A2" i="19"/>
  <c r="G13" i="19"/>
  <c r="M13" i="19"/>
  <c r="S13" i="19"/>
  <c r="Y13" i="19"/>
  <c r="AA13" i="19"/>
  <c r="AC13" i="19"/>
  <c r="AE13" i="19"/>
  <c r="G14" i="19"/>
  <c r="M14" i="19"/>
  <c r="S14" i="19"/>
  <c r="Y14" i="19"/>
  <c r="AA14" i="19"/>
  <c r="AC14" i="19"/>
  <c r="AE14" i="19"/>
  <c r="G15" i="19"/>
  <c r="M15" i="19"/>
  <c r="O15" i="19"/>
  <c r="S15" i="19"/>
  <c r="U15" i="19"/>
  <c r="Y15" i="19"/>
  <c r="AA15" i="19"/>
  <c r="AC15" i="19"/>
  <c r="AE15" i="19"/>
  <c r="G16" i="19"/>
  <c r="M16" i="19"/>
  <c r="S16" i="19"/>
  <c r="Y16" i="19"/>
  <c r="AA16" i="19"/>
  <c r="AC16" i="19"/>
  <c r="AE16" i="19"/>
  <c r="G17" i="19"/>
  <c r="M17" i="19"/>
  <c r="S17" i="19"/>
  <c r="Y17" i="19"/>
  <c r="AA17" i="19"/>
  <c r="AC17" i="19"/>
  <c r="AE17" i="19"/>
  <c r="G18" i="19"/>
  <c r="M18" i="19"/>
  <c r="S18" i="19"/>
  <c r="Y18" i="19"/>
  <c r="AA18" i="19"/>
  <c r="AC18" i="19"/>
  <c r="AE18" i="19"/>
  <c r="C20" i="19"/>
  <c r="E20" i="19"/>
  <c r="G20" i="19"/>
  <c r="I20" i="19"/>
  <c r="K20" i="19"/>
  <c r="M20" i="19"/>
  <c r="O20" i="19"/>
  <c r="Q20" i="19"/>
  <c r="S20" i="19"/>
  <c r="U20" i="19"/>
  <c r="W20" i="19"/>
  <c r="Y20" i="19"/>
  <c r="AA20" i="19"/>
  <c r="AC20" i="19"/>
  <c r="AE20" i="19"/>
  <c r="B25" i="19"/>
  <c r="B26" i="19"/>
  <c r="A1" i="18"/>
  <c r="A2" i="18"/>
  <c r="G13" i="18"/>
  <c r="M13" i="18"/>
  <c r="S13" i="18"/>
  <c r="Y13" i="18"/>
  <c r="AA13" i="18"/>
  <c r="AC13" i="18"/>
  <c r="AE13" i="18"/>
  <c r="E14" i="18"/>
  <c r="G14" i="18"/>
  <c r="K14" i="18"/>
  <c r="M14" i="18"/>
  <c r="Q14" i="18"/>
  <c r="S14" i="18"/>
  <c r="W14" i="18"/>
  <c r="Y14" i="18"/>
  <c r="AA14" i="18"/>
  <c r="AC14" i="18"/>
  <c r="AE14" i="18"/>
  <c r="C15" i="18"/>
  <c r="E15" i="18"/>
  <c r="G15" i="18"/>
  <c r="K15" i="18"/>
  <c r="M15" i="18"/>
  <c r="Q15" i="18"/>
  <c r="S15" i="18"/>
  <c r="U15" i="18"/>
  <c r="W15" i="18"/>
  <c r="Y15" i="18"/>
  <c r="AA15" i="18"/>
  <c r="AC15" i="18"/>
  <c r="AE15" i="18"/>
  <c r="G16" i="18"/>
  <c r="M16" i="18"/>
  <c r="S16" i="18"/>
  <c r="Y16" i="18"/>
  <c r="AA16" i="18"/>
  <c r="AC16" i="18"/>
  <c r="AE16" i="18"/>
  <c r="G17" i="18"/>
  <c r="M17" i="18"/>
  <c r="S17" i="18"/>
  <c r="Y17" i="18"/>
  <c r="AA17" i="18"/>
  <c r="AC17" i="18"/>
  <c r="AE17" i="18"/>
  <c r="G18" i="18"/>
  <c r="M18" i="18"/>
  <c r="S18" i="18"/>
  <c r="Y18" i="18"/>
  <c r="AA18" i="18"/>
  <c r="AC18" i="18"/>
  <c r="AE18" i="18"/>
  <c r="C20" i="18"/>
  <c r="E20" i="18"/>
  <c r="G20" i="18"/>
  <c r="I20" i="18"/>
  <c r="K20" i="18"/>
  <c r="M20" i="18"/>
  <c r="O20" i="18"/>
  <c r="Q20" i="18"/>
  <c r="S20" i="18"/>
  <c r="U20" i="18"/>
  <c r="W20" i="18"/>
  <c r="Y20" i="18"/>
  <c r="AA20" i="18"/>
  <c r="AC20" i="18"/>
  <c r="AE20" i="18"/>
  <c r="B25" i="18"/>
  <c r="B26" i="18"/>
</calcChain>
</file>

<file path=xl/comments1.xml><?xml version="1.0" encoding="utf-8"?>
<comments xmlns="http://schemas.openxmlformats.org/spreadsheetml/2006/main">
  <authors>
    <author>E71461</author>
  </authors>
  <commentList>
    <comment ref="B125" authorId="0" shapeId="0">
      <text>
        <r>
          <rPr>
            <b/>
            <sz val="8"/>
            <color indexed="81"/>
            <rFont val="Tahoma"/>
          </rPr>
          <t>E71461:</t>
        </r>
        <r>
          <rPr>
            <sz val="8"/>
            <color indexed="81"/>
            <rFont val="Tahoma"/>
          </rPr>
          <t xml:space="preserve">
Merger obligation, ENR-0218</t>
        </r>
      </text>
    </comment>
    <comment ref="B126" authorId="0" shapeId="0">
      <text>
        <r>
          <rPr>
            <b/>
            <sz val="8"/>
            <color indexed="81"/>
            <rFont val="Tahoma"/>
          </rPr>
          <t>E71461:</t>
        </r>
        <r>
          <rPr>
            <sz val="8"/>
            <color indexed="81"/>
            <rFont val="Tahoma"/>
          </rPr>
          <t xml:space="preserve">
Include dividends to Corp</t>
        </r>
      </text>
    </comment>
  </commentList>
</comments>
</file>

<file path=xl/sharedStrings.xml><?xml version="1.0" encoding="utf-8"?>
<sst xmlns="http://schemas.openxmlformats.org/spreadsheetml/2006/main" count="692" uniqueCount="353">
  <si>
    <t>MAJOR ASSUMPTIONS</t>
  </si>
  <si>
    <t>*</t>
  </si>
  <si>
    <t>(Millions of Dollars)</t>
  </si>
  <si>
    <t>First Quarter</t>
  </si>
  <si>
    <t>Second Quarter</t>
  </si>
  <si>
    <t>Third Quarter</t>
  </si>
  <si>
    <t>Fourth Quarter</t>
  </si>
  <si>
    <t>Total Year</t>
  </si>
  <si>
    <t>Plan</t>
  </si>
  <si>
    <t>Var</t>
  </si>
  <si>
    <t>x</t>
  </si>
  <si>
    <t>Income Before Interest and Taxes</t>
  </si>
  <si>
    <t>ANALYSIS OF ASSET SALES</t>
  </si>
  <si>
    <t>Please provide detailed descriptions of assets sold including sales price, book</t>
  </si>
  <si>
    <t>basis and resulting gain or loss.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</si>
  <si>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</si>
  <si>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</si>
  <si>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</si>
  <si>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</si>
  <si>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</si>
  <si>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</si>
  <si>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</si>
  <si>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</si>
  <si>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Description of Asset Sold</t>
  </si>
  <si>
    <t>DETAIL OF PRICE RISK MANAGEMENT ACTIVITIES</t>
  </si>
  <si>
    <t>FY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</si>
  <si>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</si>
  <si>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</si>
  <si>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</si>
  <si>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</si>
  <si>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</si>
  <si>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</si>
  <si>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</si>
  <si>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</si>
  <si>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</si>
  <si>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</si>
  <si>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</si>
  <si>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</si>
  <si>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</si>
  <si>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</si>
  <si>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</si>
  <si>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</si>
  <si>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</si>
  <si>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</si>
  <si>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</si>
  <si>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</si>
  <si>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</si>
  <si>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Other</t>
  </si>
  <si>
    <t>DETAIL MERCHANT ASSETS &amp; INVESTMENTS</t>
  </si>
  <si>
    <t>Realized (Gains) from Sales</t>
  </si>
  <si>
    <t>Proceeds from Sales</t>
  </si>
  <si>
    <t>Additions</t>
  </si>
  <si>
    <t>Total Merchant Activities</t>
  </si>
  <si>
    <t>Capital Expenditures</t>
  </si>
  <si>
    <t>Equity Investments</t>
  </si>
  <si>
    <t>Variance Explanations Needed:</t>
  </si>
  <si>
    <t>($ Millions)</t>
  </si>
  <si>
    <t xml:space="preserve"> </t>
  </si>
  <si>
    <t>BALANCE SHEET DEBT (3rd Party)</t>
  </si>
  <si>
    <t>Short-Term Debt</t>
  </si>
  <si>
    <t>Long-Term Debt</t>
  </si>
  <si>
    <t>Total 3rd Party Debt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</si>
  <si>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</si>
  <si>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</si>
  <si>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</si>
  <si>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</si>
  <si>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</si>
  <si>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</si>
  <si>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Other Investing Activity</t>
  </si>
  <si>
    <t>Total Investing</t>
  </si>
  <si>
    <t>G:\Cfp\9901Plan\Ect\[schedule.xls]Investing</t>
  </si>
  <si>
    <t>DETAIL OF FUNDS FLOW</t>
  </si>
  <si>
    <t>Variance</t>
  </si>
  <si>
    <t>Explanation</t>
  </si>
  <si>
    <t>Equity Earnings</t>
  </si>
  <si>
    <t>Funds Flow</t>
  </si>
  <si>
    <t>Act.</t>
  </si>
  <si>
    <t>For.</t>
  </si>
  <si>
    <t>INTEREST EXPENSE</t>
  </si>
  <si>
    <t>DETAIL of EQUITY EARNINGS &amp; EQUITY/PARTNERSHIP DISTRIBUTIONS</t>
  </si>
  <si>
    <t>Equity (Earnings)/Losses</t>
  </si>
  <si>
    <t>Investment</t>
  </si>
  <si>
    <t>Equity/Partnership Distributions</t>
  </si>
  <si>
    <t>Net Equity Earnings/Distributions</t>
  </si>
  <si>
    <t>DETAIL of OTHER FUNDS FLOW</t>
  </si>
  <si>
    <t>Non-Cash I/S Items</t>
  </si>
  <si>
    <t>Minority Interest</t>
  </si>
  <si>
    <t>Changes in FV taken to I/S</t>
  </si>
  <si>
    <t>Cash Received/(Paid Out) for:</t>
  </si>
  <si>
    <t>2000 vs. 2001 IBIT COMPARISON</t>
  </si>
  <si>
    <t>Dec 00</t>
  </si>
  <si>
    <t>Jan 01</t>
  </si>
  <si>
    <t>Feb 01</t>
  </si>
  <si>
    <t>March 01</t>
  </si>
  <si>
    <t>April 01</t>
  </si>
  <si>
    <t>May 01</t>
  </si>
  <si>
    <t>June 01</t>
  </si>
  <si>
    <t>July 01</t>
  </si>
  <si>
    <t>Aug 01</t>
  </si>
  <si>
    <t>Sept 01</t>
  </si>
  <si>
    <t>Oct 01</t>
  </si>
  <si>
    <t>Nov 01</t>
  </si>
  <si>
    <t>Dec 01</t>
  </si>
  <si>
    <t>2001 FY</t>
  </si>
  <si>
    <t>2001 Merchant Activities</t>
  </si>
  <si>
    <t>2001 Activities</t>
  </si>
  <si>
    <t>2001 Plan</t>
  </si>
  <si>
    <t>2000</t>
  </si>
  <si>
    <t>RESULTS OF OPERATIONS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</si>
  <si>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</si>
  <si>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</si>
  <si>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</si>
  <si>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</si>
  <si>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</si>
  <si>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</si>
  <si>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</si>
  <si>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</si>
  <si>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</si>
  <si>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</si>
  <si>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</si>
  <si>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</si>
  <si>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</si>
  <si>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</si>
  <si>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</si>
  <si>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</si>
  <si>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</si>
  <si>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</si>
  <si>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</si>
  <si>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</si>
  <si>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</si>
  <si>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</si>
  <si>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</si>
  <si>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</si>
  <si>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</si>
  <si>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</si>
  <si>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</si>
  <si>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</si>
  <si>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</si>
  <si>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</si>
  <si>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</si>
  <si>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INCOME BEFORE INTEREST &amp; TAXES</t>
  </si>
  <si>
    <t>Interest Expense</t>
  </si>
  <si>
    <t>Interest expense - Third Party</t>
  </si>
  <si>
    <t>Interco interest expense/(income)  - Other</t>
  </si>
  <si>
    <t>Capitalized interest/AFUDC</t>
  </si>
  <si>
    <t>Structured Transactions</t>
  </si>
  <si>
    <t>Perpetual Preferred Dividends</t>
  </si>
  <si>
    <t>INCOME BEFORE INCOME TAXES</t>
  </si>
  <si>
    <t>Income Taxes</t>
  </si>
  <si>
    <t>Payable currently</t>
  </si>
  <si>
    <t>Payment deferred</t>
  </si>
  <si>
    <t>Cash Flow Statement</t>
  </si>
  <si>
    <t>July</t>
  </si>
  <si>
    <t>Sept</t>
  </si>
  <si>
    <t>CASH FLOW FROM OPERATING ACTIVITIES</t>
  </si>
  <si>
    <t>Items not affecting cash:</t>
  </si>
  <si>
    <t>Deferred income taxes</t>
  </si>
  <si>
    <t>Unrealized (gain)/loss on price risk mgmt activities</t>
  </si>
  <si>
    <t>Net (gain)/loss on sale of assets</t>
  </si>
  <si>
    <t>FUNDS FLOW FROM OPERATIONS</t>
  </si>
  <si>
    <t>Working Capital Changes:</t>
  </si>
  <si>
    <t>Accrued Taxes</t>
  </si>
  <si>
    <t>Accrued Interest - Third Party</t>
  </si>
  <si>
    <t>TOTAL WORKING CAPITAL CHANGES</t>
  </si>
  <si>
    <t>CASH FROM OPERATING ACTIVITIES</t>
  </si>
  <si>
    <t>CASH FLOWS FROM INVESTING</t>
  </si>
  <si>
    <t>Proceeds from Sale of Investments</t>
  </si>
  <si>
    <t>Cash paid for Business Acquisitions</t>
  </si>
  <si>
    <t>CASH FLOWS FROM FINANCING</t>
  </si>
  <si>
    <t>Third party debt increase/(decrease)</t>
  </si>
  <si>
    <t>Stock (purchases) isssuances</t>
  </si>
  <si>
    <t>Dividends to Corp</t>
  </si>
  <si>
    <t>Dividends on Preferred Stock of Subs</t>
  </si>
  <si>
    <t>Dividends Paid to Outside</t>
  </si>
  <si>
    <t>(INCREASE)/DECREASE IN CASH AND NOTE FROM CORPORATE</t>
  </si>
  <si>
    <t>2001 IBIT- Plan vs CE COMPARISON</t>
  </si>
  <si>
    <t>Unrealized (Gain) / Loss on Price Risk Management Activities</t>
  </si>
  <si>
    <t>2001 Est</t>
  </si>
  <si>
    <t>NET INCOME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</si>
  <si>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</si>
  <si>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</si>
  <si>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</si>
  <si>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</si>
  <si>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</si>
  <si>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</si>
  <si>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</si>
  <si>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Interest Exp - Cons Subs (Financing)</t>
  </si>
  <si>
    <t>Other Deductions-Interest Exp-Cons Subs</t>
  </si>
  <si>
    <t>Amort Of Debt Disc Prem &amp; Exp (Financ'g)</t>
  </si>
  <si>
    <t>Discount Assignd Rec - Trade (Financ'g)</t>
  </si>
  <si>
    <t>Discount Assignd Rec - Con Subs (Fin'g)</t>
  </si>
  <si>
    <t>Discount On Assigned Rec-Con Subs</t>
  </si>
  <si>
    <t>Other Deductions - Interest Capitalized</t>
  </si>
  <si>
    <t>Cash Flow</t>
  </si>
  <si>
    <t>TOT_INT_EXP_OTH</t>
  </si>
  <si>
    <t>TOT_INT_EXP</t>
  </si>
  <si>
    <t>FINANCE RELATED EXPENSES &amp; EXPENSES ON PREPAYS</t>
  </si>
  <si>
    <t>COMMODITY PREPAYMENTS (Balance)</t>
  </si>
  <si>
    <t>Carrying Expense reflected in Gross Margin</t>
  </si>
  <si>
    <t>Total Balance</t>
  </si>
  <si>
    <t>MINORITY INTEREST</t>
  </si>
  <si>
    <t>PREFERRED STOCK of SUBSIDIARIES</t>
  </si>
  <si>
    <t>Dividends on Pref Stk of Subsidiary Cos.</t>
  </si>
  <si>
    <t>Total Expense</t>
  </si>
  <si>
    <t>Interco interest expense/(income)  - Capital Charge</t>
  </si>
  <si>
    <t>Net Income (excluding changes in Accounting Principle)</t>
  </si>
  <si>
    <t>Merchant Activities</t>
  </si>
  <si>
    <t>Dividends on Pref Securities of Subsidiary Companies</t>
  </si>
  <si>
    <t>Income Attributable to Minority Interest</t>
  </si>
  <si>
    <t>NET CASH FLOW (After Financing Activities)</t>
  </si>
  <si>
    <t>CASH FLOWS FROM INTERCOMPANY ACTIVITY</t>
  </si>
  <si>
    <t>Other Financing Activity</t>
  </si>
  <si>
    <t>Accounts Receivable/payable - intercompany</t>
  </si>
  <si>
    <t>Other Investing Activities - intercompany</t>
  </si>
  <si>
    <t>Other Financing Activities - intercompany</t>
  </si>
  <si>
    <t>Other (including transfers &amp; reclasses; see detail)</t>
  </si>
  <si>
    <t>(Increase)/Decrease in Restricted/Retained Cash {calc}</t>
  </si>
  <si>
    <t>Property Transfers - Intercompany</t>
  </si>
  <si>
    <t>Transfers</t>
  </si>
  <si>
    <t>Realized (Gains) / Losses on Sales</t>
  </si>
  <si>
    <t>Unrealized (Gains) / Losses</t>
  </si>
  <si>
    <t>Unrealized (Gains) from Sales</t>
  </si>
  <si>
    <t>Total Change in PRM Activities (line 70)</t>
  </si>
  <si>
    <t>Total (line 72)</t>
  </si>
  <si>
    <t>Total (line 73)</t>
  </si>
  <si>
    <t>Total (line 74)</t>
  </si>
  <si>
    <t>Total (line 75)</t>
  </si>
  <si>
    <t>Total (line 68)</t>
  </si>
  <si>
    <t>Total (line 77)</t>
  </si>
  <si>
    <t>Other Funds Flow (line 81)</t>
  </si>
  <si>
    <t>Total (line 101)</t>
  </si>
  <si>
    <t>Total (line 103)</t>
  </si>
  <si>
    <t>Total (line 104)</t>
  </si>
  <si>
    <t>Total (line 105)</t>
  </si>
  <si>
    <t>Other (including transfers &amp; reclasses)</t>
  </si>
  <si>
    <t>Net Income</t>
  </si>
  <si>
    <t>PRMA Prepays &amp; Related Expenses</t>
  </si>
  <si>
    <t>PORTLAND GENERAL GROUP</t>
  </si>
  <si>
    <t>Portland General Electric</t>
  </si>
  <si>
    <t>Other PGG</t>
  </si>
  <si>
    <t>Comments:</t>
  </si>
  <si>
    <t>Q1-00 vs. Q1-01</t>
  </si>
  <si>
    <t>See attached Highlights and Detail files sent to Corp.</t>
  </si>
  <si>
    <t>Q2-00 vs. Q2-01</t>
  </si>
  <si>
    <t>Q3-00 vs. Q3-01</t>
  </si>
  <si>
    <t>Q4-00 vs. Q4-01</t>
  </si>
  <si>
    <t>Q1-01 Plan vs. Forecast</t>
  </si>
  <si>
    <t>Q2-01 Plan vs. Forecast</t>
  </si>
  <si>
    <t>Q3-01 Plan vs. Forecast</t>
  </si>
  <si>
    <t>Boardman</t>
  </si>
  <si>
    <t>Colstrip</t>
  </si>
  <si>
    <t>Coyote Springs</t>
  </si>
  <si>
    <t>Combustion</t>
  </si>
  <si>
    <t>Hydro</t>
  </si>
  <si>
    <t>Relicensing</t>
  </si>
  <si>
    <t>Transmission</t>
  </si>
  <si>
    <t>Distribution</t>
  </si>
  <si>
    <t>General</t>
  </si>
  <si>
    <t>Intangible</t>
  </si>
  <si>
    <t>Energy Efficiency</t>
  </si>
  <si>
    <t>Weatherization Loans</t>
  </si>
  <si>
    <t>Non-Utility</t>
  </si>
  <si>
    <t>Decommissioning:</t>
  </si>
  <si>
    <t>RWIP</t>
  </si>
  <si>
    <t>Other Investing includes COLI income and Decommissioning Trust</t>
  </si>
  <si>
    <t>Pelton Round Butte</t>
  </si>
  <si>
    <t>12/01</t>
  </si>
  <si>
    <t>On Income Statement, cumulative effect of SFAS 133 implementation booked under Minority Interest - Other to achieve</t>
  </si>
  <si>
    <t>correct Net Income amount.</t>
  </si>
  <si>
    <t>On Cash Flow , cumulative effect of SFAS 133 booked as Price Risk Management Activities</t>
  </si>
  <si>
    <t>See below (1)</t>
  </si>
  <si>
    <t>See below (3)</t>
  </si>
  <si>
    <t>Purchase accounting valuation allowance reversal (Pelton/RB sale)</t>
  </si>
  <si>
    <t>See below (4)</t>
  </si>
  <si>
    <t>as well as mark-to-market adjustments</t>
  </si>
  <si>
    <t>Contains Dividend on Preferred Securities of Subsidiary Cos., Receivable/Payable - Corp, and Other, net</t>
  </si>
  <si>
    <t>No longer contains $10.5m cum effect of SFAS 133 actg change, reclassified as PRMA</t>
  </si>
  <si>
    <t>Updated Jan. and Feb. to include $10.5 m cumulative effect of accounting change</t>
  </si>
  <si>
    <t>Also includes mark to market adjustments</t>
  </si>
  <si>
    <t>Includes $10.5m cumulative effect of SFAS 133 accounting change, which was previously classified under Other,</t>
  </si>
  <si>
    <t>Current Estimate vs. Plan</t>
  </si>
  <si>
    <t>Net (Increase)/Decrease in Price Risk Management Asset</t>
  </si>
  <si>
    <t>Receivables</t>
  </si>
  <si>
    <t>Inventories</t>
  </si>
  <si>
    <t>Prepayments</t>
  </si>
  <si>
    <t>Broker net Settlements</t>
  </si>
  <si>
    <t>Payables</t>
  </si>
  <si>
    <t>Customer Deposits</t>
  </si>
  <si>
    <t>Other Changes in Working Capital</t>
  </si>
  <si>
    <t>(1) Net Income</t>
  </si>
  <si>
    <t>Plan has been adjusted by ($3.4) mm for GATX fee and $10.4 mm for transfer of goodwill</t>
  </si>
  <si>
    <t>(2) DDA</t>
  </si>
  <si>
    <t>See below (1) and (2)</t>
  </si>
  <si>
    <t>See below (5)</t>
  </si>
  <si>
    <t>(5) Other - must net with variance of Merchant Activities due to reclass:</t>
  </si>
  <si>
    <t>(4) PRMA</t>
  </si>
  <si>
    <t>(3) Deferred Taxes</t>
  </si>
  <si>
    <t xml:space="preserve">Beaver 24 MW </t>
  </si>
  <si>
    <t>Assumes transfer of $750 mm of goodwill from PVC to ENA effective 7/1</t>
  </si>
  <si>
    <t>DETAIL OF CHANGE IN CASH FROM CORPORATE</t>
  </si>
  <si>
    <t>2nd CE</t>
  </si>
  <si>
    <t>Cash from Corporate Information</t>
  </si>
  <si>
    <t>Net Income After Financing Costs</t>
  </si>
  <si>
    <t>Price Risk Management Activities</t>
  </si>
  <si>
    <t>Other Non-Cash Items</t>
  </si>
  <si>
    <t>(1)</t>
  </si>
  <si>
    <t>Net (Gain) / Loss from Sale of Assets</t>
  </si>
  <si>
    <t>Net Production Payments</t>
  </si>
  <si>
    <t>Equity Distributions</t>
  </si>
  <si>
    <t>Working Capital Changes</t>
  </si>
  <si>
    <t>Proceeds from Sale of Assets</t>
  </si>
  <si>
    <t>(2)</t>
  </si>
  <si>
    <t xml:space="preserve">Capital Expenditures </t>
  </si>
  <si>
    <t>(3)</t>
  </si>
  <si>
    <t>Dividends to EPC</t>
  </si>
  <si>
    <t>Change in Third Party Debt</t>
  </si>
  <si>
    <t>Other Cash Changes</t>
  </si>
  <si>
    <t>(Increase) / Decrease in Cash From Corporate</t>
  </si>
  <si>
    <t>Cash From Corporate Variance Analysis</t>
  </si>
  <si>
    <t>Please explain variances.</t>
  </si>
  <si>
    <t xml:space="preserve">(2) </t>
  </si>
  <si>
    <t xml:space="preserve">(3) </t>
  </si>
  <si>
    <t>Distribution and Beaver 24 MW project</t>
  </si>
  <si>
    <t>PLAN</t>
  </si>
  <si>
    <t>(4)</t>
  </si>
  <si>
    <t>Trading deposits</t>
  </si>
  <si>
    <t>2001 CURRENT ESTIMATE - AUGUST</t>
  </si>
  <si>
    <t>3rd CE</t>
  </si>
  <si>
    <t>Forecast includes PCA adjustment of ($86.0) mm, plan PCA is ($143) mm</t>
  </si>
  <si>
    <t>Gross Margin, decline in market prices. Q3 also includes several accounting changes and rate case implementation issues that are currently being reviewed by AA&amp;Co.</t>
  </si>
  <si>
    <t>Note: Q2 plan adjusted for GATX fee of ($3.4) mm. Q3 and Q4 plan adjusted by $5.2 mm for goodwill transfer to ENA. Q3 and Q4 forecast also includes $5.2 million for</t>
  </si>
  <si>
    <t>2000 includes Trojan offset ($19.0) mm and NEIL settlement ($14.1) mm. 2001 includes $5.2 mm for goodwill transfer to ENA</t>
  </si>
  <si>
    <t xml:space="preserve">    goodwill transfer to ENA. ENA forecast should include offsetting increase. </t>
  </si>
  <si>
    <t>Gross Margin, decline in market prices. Q3 also includes several accounting changes and rate case implementation issues that are currently being reviewed by</t>
  </si>
  <si>
    <t>AA&amp;Co., and goodwill transfer to ENA of $5.2 mm. ENA forecast should include offsetting increase.</t>
  </si>
  <si>
    <t>Plan has been adjusted by ($3.4) mm for GATX fee and $10.4 mm for transfer of goodwill to ENA</t>
  </si>
  <si>
    <t>3rd current estimate includes PCA adjusment of ($86.0) mm, 2nd current estimate include PCA of ($94.7) mm</t>
  </si>
  <si>
    <t>by AA&amp;Co.</t>
  </si>
  <si>
    <t>Q3 forecast includes several accounting change and rate case implementation issues that are currently being reviewed</t>
  </si>
  <si>
    <t>Includes $9 mm reversal of Toli taxes</t>
  </si>
  <si>
    <t>Sale of Pelton Round Butte, to be booked as accounts receivable.</t>
  </si>
  <si>
    <t>Note: Sales proceeds to be booked as accounts receivable</t>
  </si>
  <si>
    <t>Q3 dividend moved to Q4 and reclassed as a loan to Enron Corp</t>
  </si>
  <si>
    <t>Assumes $250 mm debt issue in October</t>
  </si>
  <si>
    <t>Includes reserves for California receivables of $8.4 mm, offset by improved gross margin.</t>
  </si>
  <si>
    <t>Includes reserves for California receivables of $5.0 mm, offset by improved gross margin.</t>
  </si>
  <si>
    <t>NOTE:</t>
  </si>
  <si>
    <t>Does not include letter of credit for $93.9 mill</t>
  </si>
  <si>
    <t>3rd and 4th quarter dividends reflected as loan to Corp.</t>
  </si>
  <si>
    <t>X</t>
  </si>
  <si>
    <t>COLI losses  $12.5 mm</t>
  </si>
  <si>
    <t>(5)</t>
  </si>
  <si>
    <t>COLI $31.5 mm loss compared to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</si>
</sst>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69" formatCode="0_)"/>
    <numFmt numFmtId="170" formatCode="_(* #,##0.0_);_(* \(#,##0.0\);_(* &quot;-&quot;??_);_(@_)"/>
    <numFmt numFmtId="171" formatCode="hh:mm\ AM/PM_)"/>
  </numFmts>
  <fonts count="58">
    <font>
      <sz val="10"/>
      <name val="Arial"/>
    </font>
    <font>
      <sz val="10"/>
      <name val="Arial"/>
    </font>
    <font>
      <b/>
      <sz val="14"/>
      <color indexed="12"/>
      <name val="Arial"/>
      <family val="2"/>
    </font>
    <font>
      <sz val="12"/>
      <name val="SWISS"/>
    </font>
    <font>
      <b/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sz val="10"/>
      <name val="Helv"/>
    </font>
    <font>
      <sz val="10"/>
      <name val="Arial"/>
      <family val="2"/>
    </font>
    <font>
      <sz val="5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sz val="12"/>
      <name val="Helv"/>
    </font>
    <font>
      <sz val="10"/>
      <color indexed="57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i/>
      <sz val="18"/>
      <name val="Arial"/>
      <family val="2"/>
    </font>
    <font>
      <sz val="10"/>
      <name val="SWISS"/>
    </font>
    <font>
      <sz val="8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color indexed="17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sz val="10"/>
      <color indexed="17"/>
      <name val="Arial"/>
      <family val="2"/>
    </font>
    <font>
      <b/>
      <u/>
      <sz val="10"/>
      <color indexed="8"/>
      <name val="Arial"/>
      <family val="2"/>
    </font>
    <font>
      <b/>
      <sz val="10"/>
      <color indexed="12"/>
      <name val="Arial"/>
      <family val="2"/>
    </font>
    <font>
      <sz val="11"/>
      <color indexed="17"/>
      <name val="Arial"/>
      <family val="2"/>
    </font>
    <font>
      <sz val="11"/>
      <color indexed="12"/>
      <name val="Arial"/>
      <family val="2"/>
    </font>
    <font>
      <u/>
      <sz val="11"/>
      <color indexed="17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7" fontId="33" fillId="0" borderId="0"/>
    <xf numFmtId="166" fontId="16" fillId="0" borderId="0"/>
    <xf numFmtId="166" fontId="16" fillId="0" borderId="0"/>
    <xf numFmtId="0" fontId="3" fillId="0" borderId="0"/>
    <xf numFmtId="0" fontId="3" fillId="0" borderId="0"/>
    <xf numFmtId="166" fontId="16" fillId="0" borderId="0"/>
    <xf numFmtId="166" fontId="33" fillId="0" borderId="0"/>
    <xf numFmtId="0" fontId="8" fillId="0" borderId="0"/>
    <xf numFmtId="166" fontId="8" fillId="0" borderId="0"/>
  </cellStyleXfs>
  <cellXfs count="354">
    <xf numFmtId="0" fontId="0" fillId="0" borderId="0" xfId="0"/>
    <xf numFmtId="0" fontId="4" fillId="0" borderId="0" xfId="5" applyFont="1" applyAlignment="1" applyProtection="1">
      <alignment horizontal="centerContinuous"/>
    </xf>
    <xf numFmtId="0" fontId="4" fillId="0" borderId="0" xfId="5" applyFont="1"/>
    <xf numFmtId="0" fontId="5" fillId="0" borderId="0" xfId="5" applyFont="1"/>
    <xf numFmtId="0" fontId="6" fillId="0" borderId="0" xfId="5" applyFont="1" applyProtection="1"/>
    <xf numFmtId="0" fontId="3" fillId="0" borderId="0" xfId="6" applyFont="1"/>
    <xf numFmtId="0" fontId="7" fillId="0" borderId="0" xfId="5" applyFont="1" applyProtection="1"/>
    <xf numFmtId="164" fontId="7" fillId="0" borderId="0" xfId="5" applyNumberFormat="1" applyFont="1" applyAlignment="1">
      <alignment horizontal="left"/>
    </xf>
    <xf numFmtId="0" fontId="2" fillId="0" borderId="0" xfId="9" applyFont="1" applyBorder="1" applyAlignment="1">
      <alignment horizontal="centerContinuous"/>
    </xf>
    <xf numFmtId="0" fontId="4" fillId="0" borderId="0" xfId="9" applyFont="1" applyAlignment="1">
      <alignment horizontal="centerContinuous"/>
    </xf>
    <xf numFmtId="0" fontId="9" fillId="0" borderId="0" xfId="9" applyFont="1" applyAlignment="1">
      <alignment horizontal="centerContinuous"/>
    </xf>
    <xf numFmtId="0" fontId="4" fillId="0" borderId="0" xfId="9" quotePrefix="1" applyFont="1" applyBorder="1" applyAlignment="1">
      <alignment horizontal="centerContinuous"/>
    </xf>
    <xf numFmtId="0" fontId="10" fillId="0" borderId="0" xfId="9" applyFont="1" applyAlignment="1">
      <alignment horizontal="centerContinuous"/>
    </xf>
    <xf numFmtId="0" fontId="4" fillId="0" borderId="0" xfId="9" applyFont="1" applyBorder="1" applyAlignment="1">
      <alignment horizontal="centerContinuous"/>
    </xf>
    <xf numFmtId="0" fontId="11" fillId="0" borderId="0" xfId="9" applyFont="1" applyAlignment="1">
      <alignment horizontal="centerContinuous"/>
    </xf>
    <xf numFmtId="0" fontId="9" fillId="0" borderId="0" xfId="9" applyFont="1" applyBorder="1"/>
    <xf numFmtId="0" fontId="9" fillId="0" borderId="0" xfId="9" applyFont="1"/>
    <xf numFmtId="0" fontId="12" fillId="0" borderId="0" xfId="9" applyFont="1" applyBorder="1"/>
    <xf numFmtId="0" fontId="13" fillId="0" borderId="1" xfId="9" applyFont="1" applyBorder="1" applyAlignment="1">
      <alignment horizontal="centerContinuous"/>
    </xf>
    <xf numFmtId="0" fontId="13" fillId="0" borderId="0" xfId="9" applyFont="1"/>
    <xf numFmtId="0" fontId="13" fillId="0" borderId="0" xfId="9" applyFont="1" applyAlignment="1">
      <alignment horizontal="center"/>
    </xf>
    <xf numFmtId="0" fontId="13" fillId="0" borderId="0" xfId="9" applyFont="1" applyBorder="1"/>
    <xf numFmtId="0" fontId="14" fillId="0" borderId="0" xfId="9" applyFont="1" applyBorder="1"/>
    <xf numFmtId="0" fontId="13" fillId="0" borderId="1" xfId="9" applyFont="1" applyBorder="1" applyAlignment="1">
      <alignment horizontal="center"/>
    </xf>
    <xf numFmtId="165" fontId="15" fillId="0" borderId="0" xfId="4" applyNumberFormat="1" applyFont="1" applyBorder="1"/>
    <xf numFmtId="165" fontId="17" fillId="0" borderId="0" xfId="9" applyNumberFormat="1" applyFont="1"/>
    <xf numFmtId="165" fontId="18" fillId="0" borderId="0" xfId="9" applyNumberFormat="1" applyFont="1" applyProtection="1"/>
    <xf numFmtId="165" fontId="9" fillId="0" borderId="0" xfId="9" applyNumberFormat="1" applyFont="1" applyProtection="1"/>
    <xf numFmtId="165" fontId="9" fillId="0" borderId="0" xfId="9" applyNumberFormat="1" applyFont="1" applyBorder="1" applyProtection="1"/>
    <xf numFmtId="165" fontId="9" fillId="0" borderId="0" xfId="9" applyNumberFormat="1" applyFont="1"/>
    <xf numFmtId="165" fontId="9" fillId="0" borderId="0" xfId="9" applyNumberFormat="1" applyFont="1" applyBorder="1"/>
    <xf numFmtId="165" fontId="18" fillId="0" borderId="2" xfId="9" applyNumberFormat="1" applyFont="1" applyBorder="1" applyProtection="1"/>
    <xf numFmtId="165" fontId="9" fillId="0" borderId="2" xfId="9" applyNumberFormat="1" applyFont="1" applyBorder="1" applyProtection="1"/>
    <xf numFmtId="165" fontId="13" fillId="0" borderId="0" xfId="9" applyNumberFormat="1" applyFont="1" applyBorder="1"/>
    <xf numFmtId="165" fontId="13" fillId="0" borderId="0" xfId="9" applyNumberFormat="1" applyFont="1"/>
    <xf numFmtId="165" fontId="13" fillId="0" borderId="3" xfId="9" applyNumberFormat="1" applyFont="1" applyBorder="1" applyProtection="1"/>
    <xf numFmtId="165" fontId="13" fillId="0" borderId="0" xfId="9" applyNumberFormat="1" applyFont="1" applyBorder="1" applyProtection="1"/>
    <xf numFmtId="166" fontId="13" fillId="0" borderId="0" xfId="9" applyNumberFormat="1" applyFont="1" applyBorder="1" applyProtection="1"/>
    <xf numFmtId="167" fontId="7" fillId="0" borderId="0" xfId="9" applyNumberFormat="1" applyFont="1" applyProtection="1"/>
    <xf numFmtId="0" fontId="11" fillId="0" borderId="0" xfId="9" applyFont="1"/>
    <xf numFmtId="166" fontId="4" fillId="0" borderId="0" xfId="3" applyFont="1" applyAlignment="1">
      <alignment horizontal="centerContinuous"/>
    </xf>
    <xf numFmtId="166" fontId="5" fillId="0" borderId="0" xfId="3" applyFont="1"/>
    <xf numFmtId="166" fontId="19" fillId="0" borderId="0" xfId="3" applyFont="1" applyAlignment="1">
      <alignment horizontal="centerContinuous"/>
    </xf>
    <xf numFmtId="166" fontId="5" fillId="0" borderId="0" xfId="3" applyFont="1" applyAlignment="1">
      <alignment horizontal="centerContinuous"/>
    </xf>
    <xf numFmtId="166" fontId="5" fillId="0" borderId="0" xfId="3" applyFont="1" applyAlignment="1"/>
    <xf numFmtId="166" fontId="5" fillId="0" borderId="0" xfId="3" applyFont="1" applyAlignment="1">
      <alignment horizontal="left"/>
    </xf>
    <xf numFmtId="166" fontId="5" fillId="0" borderId="0" xfId="3" applyFont="1" applyAlignment="1">
      <alignment horizontal="center"/>
    </xf>
    <xf numFmtId="166" fontId="19" fillId="0" borderId="0" xfId="3" applyFont="1" applyAlignment="1">
      <alignment horizontal="center"/>
    </xf>
    <xf numFmtId="166" fontId="20" fillId="0" borderId="0" xfId="3" applyFont="1" applyAlignment="1">
      <alignment horizontal="center"/>
    </xf>
    <xf numFmtId="166" fontId="20" fillId="0" borderId="0" xfId="3" applyFont="1"/>
    <xf numFmtId="166" fontId="19" fillId="0" borderId="0" xfId="3" applyFont="1"/>
    <xf numFmtId="165" fontId="5" fillId="0" borderId="0" xfId="3" applyNumberFormat="1" applyFont="1"/>
    <xf numFmtId="165" fontId="21" fillId="0" borderId="0" xfId="3" applyNumberFormat="1" applyFont="1" applyProtection="1"/>
    <xf numFmtId="165" fontId="5" fillId="0" borderId="0" xfId="3" applyNumberFormat="1" applyFont="1" applyProtection="1"/>
    <xf numFmtId="165" fontId="21" fillId="0" borderId="0" xfId="3" applyNumberFormat="1" applyFont="1" applyBorder="1" applyProtection="1"/>
    <xf numFmtId="165" fontId="19" fillId="0" borderId="0" xfId="3" applyNumberFormat="1" applyFont="1"/>
    <xf numFmtId="165" fontId="5" fillId="0" borderId="0" xfId="3" applyNumberFormat="1" applyFont="1" applyBorder="1" applyProtection="1"/>
    <xf numFmtId="165" fontId="5" fillId="0" borderId="4" xfId="3" applyNumberFormat="1" applyFont="1" applyBorder="1" applyProtection="1"/>
    <xf numFmtId="165" fontId="5" fillId="0" borderId="0" xfId="3" applyNumberFormat="1" applyFont="1" applyBorder="1"/>
    <xf numFmtId="166" fontId="5" fillId="0" borderId="0" xfId="3" applyNumberFormat="1" applyFont="1" applyBorder="1" applyProtection="1"/>
    <xf numFmtId="166" fontId="5" fillId="0" borderId="0" xfId="3" applyNumberFormat="1" applyFont="1" applyProtection="1"/>
    <xf numFmtId="166" fontId="7" fillId="0" borderId="0" xfId="3" applyFont="1"/>
    <xf numFmtId="167" fontId="7" fillId="0" borderId="0" xfId="3" applyNumberFormat="1" applyFont="1" applyProtection="1"/>
    <xf numFmtId="166" fontId="2" fillId="0" borderId="0" xfId="7" applyNumberFormat="1" applyFont="1" applyAlignment="1" applyProtection="1">
      <alignment horizontal="centerContinuous"/>
    </xf>
    <xf numFmtId="166" fontId="22" fillId="0" borderId="0" xfId="7" applyNumberFormat="1" applyFont="1" applyAlignment="1" applyProtection="1">
      <alignment horizontal="centerContinuous"/>
    </xf>
    <xf numFmtId="166" fontId="23" fillId="0" borderId="0" xfId="7" applyNumberFormat="1" applyFont="1" applyAlignment="1" applyProtection="1">
      <alignment horizontal="centerContinuous"/>
    </xf>
    <xf numFmtId="166" fontId="24" fillId="0" borderId="0" xfId="7" applyNumberFormat="1" applyFont="1" applyAlignment="1" applyProtection="1">
      <alignment horizontal="centerContinuous"/>
    </xf>
    <xf numFmtId="166" fontId="23" fillId="0" borderId="0" xfId="7" applyFont="1"/>
    <xf numFmtId="166" fontId="25" fillId="0" borderId="0" xfId="7" applyNumberFormat="1" applyFont="1" applyProtection="1"/>
    <xf numFmtId="166" fontId="25" fillId="0" borderId="0" xfId="7" applyFont="1"/>
    <xf numFmtId="166" fontId="26" fillId="0" borderId="0" xfId="7" applyNumberFormat="1" applyFont="1" applyBorder="1" applyAlignment="1" applyProtection="1">
      <alignment horizontal="center"/>
    </xf>
    <xf numFmtId="166" fontId="25" fillId="0" borderId="0" xfId="7" applyNumberFormat="1" applyFont="1" applyBorder="1" applyProtection="1"/>
    <xf numFmtId="166" fontId="26" fillId="0" borderId="0" xfId="7" applyNumberFormat="1" applyFont="1" applyBorder="1" applyProtection="1"/>
    <xf numFmtId="166" fontId="26" fillId="0" borderId="5" xfId="7" quotePrefix="1" applyNumberFormat="1" applyFont="1" applyBorder="1" applyAlignment="1" applyProtection="1">
      <alignment horizontal="centerContinuous"/>
    </xf>
    <xf numFmtId="166" fontId="26" fillId="0" borderId="5" xfId="7" applyNumberFormat="1" applyFont="1" applyBorder="1" applyAlignment="1" applyProtection="1">
      <alignment horizontal="centerContinuous"/>
    </xf>
    <xf numFmtId="166" fontId="27" fillId="0" borderId="0" xfId="7" applyNumberFormat="1" applyFont="1" applyBorder="1" applyProtection="1"/>
    <xf numFmtId="166" fontId="27" fillId="0" borderId="0" xfId="7" applyNumberFormat="1" applyFont="1" applyBorder="1" applyAlignment="1" applyProtection="1">
      <alignment horizontal="center"/>
    </xf>
    <xf numFmtId="166" fontId="25" fillId="0" borderId="0" xfId="7" applyFont="1" applyBorder="1"/>
    <xf numFmtId="165" fontId="28" fillId="0" borderId="0" xfId="7" applyNumberFormat="1" applyFont="1" applyBorder="1" applyProtection="1"/>
    <xf numFmtId="165" fontId="29" fillId="0" borderId="0" xfId="7" applyNumberFormat="1" applyFont="1" applyBorder="1" applyProtection="1"/>
    <xf numFmtId="165" fontId="18" fillId="0" borderId="0" xfId="7" applyNumberFormat="1" applyFont="1" applyBorder="1" applyProtection="1"/>
    <xf numFmtId="165" fontId="25" fillId="0" borderId="0" xfId="7" applyNumberFormat="1" applyFont="1"/>
    <xf numFmtId="165" fontId="29" fillId="0" borderId="2" xfId="7" applyNumberFormat="1" applyFont="1" applyBorder="1"/>
    <xf numFmtId="165" fontId="29" fillId="0" borderId="0" xfId="7" applyNumberFormat="1" applyFont="1"/>
    <xf numFmtId="165" fontId="26" fillId="0" borderId="0" xfId="7" applyNumberFormat="1" applyFont="1" applyProtection="1"/>
    <xf numFmtId="165" fontId="30" fillId="0" borderId="3" xfId="7" applyNumberFormat="1" applyFont="1" applyBorder="1" applyProtection="1"/>
    <xf numFmtId="165" fontId="29" fillId="0" borderId="0" xfId="7" applyNumberFormat="1" applyFont="1" applyProtection="1"/>
    <xf numFmtId="165" fontId="30" fillId="0" borderId="0" xfId="7" applyNumberFormat="1" applyFont="1" applyProtection="1"/>
    <xf numFmtId="168" fontId="23" fillId="0" borderId="0" xfId="7" applyNumberFormat="1" applyFont="1"/>
    <xf numFmtId="168" fontId="5" fillId="0" borderId="0" xfId="7" applyNumberFormat="1" applyFont="1"/>
    <xf numFmtId="168" fontId="23" fillId="0" borderId="0" xfId="7" applyNumberFormat="1" applyFont="1" applyProtection="1"/>
    <xf numFmtId="166" fontId="5" fillId="0" borderId="0" xfId="7" applyFont="1"/>
    <xf numFmtId="166" fontId="31" fillId="0" borderId="0" xfId="7" applyFont="1"/>
    <xf numFmtId="165" fontId="31" fillId="0" borderId="0" xfId="7" applyNumberFormat="1" applyFont="1"/>
    <xf numFmtId="166" fontId="26" fillId="0" borderId="0" xfId="7" applyFont="1" applyBorder="1"/>
    <xf numFmtId="166" fontId="2" fillId="0" borderId="0" xfId="4" applyFont="1" applyAlignment="1">
      <alignment horizontal="centerContinuous"/>
    </xf>
    <xf numFmtId="166" fontId="4" fillId="0" borderId="0" xfId="4" applyFont="1" applyAlignment="1">
      <alignment horizontal="centerContinuous"/>
    </xf>
    <xf numFmtId="166" fontId="5" fillId="0" borderId="0" xfId="4" applyFont="1" applyAlignment="1">
      <alignment horizontal="centerContinuous"/>
    </xf>
    <xf numFmtId="166" fontId="19" fillId="0" borderId="0" xfId="4" applyFont="1" applyAlignment="1">
      <alignment horizontal="centerContinuous"/>
    </xf>
    <xf numFmtId="166" fontId="5" fillId="0" borderId="0" xfId="4" applyFont="1"/>
    <xf numFmtId="166" fontId="32" fillId="0" borderId="0" xfId="4" applyFont="1"/>
    <xf numFmtId="166" fontId="5" fillId="0" borderId="6" xfId="4" applyFont="1" applyBorder="1"/>
    <xf numFmtId="166" fontId="5" fillId="0" borderId="7" xfId="4" applyFont="1" applyBorder="1"/>
    <xf numFmtId="169" fontId="5" fillId="0" borderId="7" xfId="4" applyNumberFormat="1" applyFont="1" applyBorder="1" applyProtection="1"/>
    <xf numFmtId="166" fontId="5" fillId="0" borderId="8" xfId="4" applyFont="1" applyBorder="1"/>
    <xf numFmtId="166" fontId="5" fillId="0" borderId="9" xfId="4" applyFont="1" applyBorder="1"/>
    <xf numFmtId="166" fontId="19" fillId="0" borderId="0" xfId="4" applyFont="1"/>
    <xf numFmtId="169" fontId="19" fillId="0" borderId="0" xfId="4" applyNumberFormat="1" applyFont="1" applyProtection="1"/>
    <xf numFmtId="169" fontId="19" fillId="0" borderId="1" xfId="4" applyNumberFormat="1" applyFont="1" applyBorder="1" applyAlignment="1" applyProtection="1">
      <alignment horizontal="center"/>
    </xf>
    <xf numFmtId="166" fontId="5" fillId="0" borderId="10" xfId="4" applyFont="1" applyBorder="1"/>
    <xf numFmtId="166" fontId="5" fillId="0" borderId="11" xfId="4" applyFont="1" applyBorder="1"/>
    <xf numFmtId="166" fontId="5" fillId="0" borderId="12" xfId="4" applyFont="1" applyBorder="1"/>
    <xf numFmtId="166" fontId="5" fillId="0" borderId="1" xfId="4" applyFont="1" applyBorder="1"/>
    <xf numFmtId="166" fontId="20" fillId="0" borderId="0" xfId="4" applyFont="1"/>
    <xf numFmtId="166" fontId="6" fillId="0" borderId="0" xfId="4" applyFont="1"/>
    <xf numFmtId="166" fontId="7" fillId="0" borderId="0" xfId="4" applyFont="1"/>
    <xf numFmtId="166" fontId="7" fillId="0" borderId="0" xfId="8" applyFont="1"/>
    <xf numFmtId="37" fontId="7" fillId="0" borderId="0" xfId="2" applyFont="1" applyAlignment="1" applyProtection="1"/>
    <xf numFmtId="170" fontId="7" fillId="0" borderId="0" xfId="1" applyNumberFormat="1" applyFont="1" applyAlignment="1" applyProtection="1">
      <alignment horizontal="right"/>
    </xf>
    <xf numFmtId="170" fontId="34" fillId="0" borderId="0" xfId="1" applyNumberFormat="1" applyFont="1" applyAlignment="1" applyProtection="1">
      <alignment horizontal="right"/>
    </xf>
    <xf numFmtId="164" fontId="7" fillId="0" borderId="0" xfId="1" applyNumberFormat="1" applyFont="1" applyAlignment="1" applyProtection="1"/>
    <xf numFmtId="166" fontId="35" fillId="0" borderId="0" xfId="8" applyNumberFormat="1" applyFont="1" applyAlignment="1" applyProtection="1">
      <alignment horizontal="centerContinuous"/>
    </xf>
    <xf numFmtId="166" fontId="31" fillId="0" borderId="0" xfId="8" applyNumberFormat="1" applyFont="1" applyAlignment="1" applyProtection="1">
      <alignment horizontal="centerContinuous"/>
    </xf>
    <xf numFmtId="166" fontId="31" fillId="0" borderId="0" xfId="8" applyFont="1" applyAlignment="1">
      <alignment horizontal="centerContinuous"/>
    </xf>
    <xf numFmtId="166" fontId="21" fillId="0" borderId="0" xfId="8" applyNumberFormat="1" applyFont="1" applyFill="1" applyAlignment="1" applyProtection="1">
      <alignment horizontal="centerContinuous"/>
    </xf>
    <xf numFmtId="166" fontId="21" fillId="0" borderId="0" xfId="8" applyFont="1" applyFill="1" applyAlignment="1">
      <alignment horizontal="centerContinuous"/>
    </xf>
    <xf numFmtId="166" fontId="36" fillId="0" borderId="0" xfId="8" applyNumberFormat="1" applyFont="1" applyAlignment="1" applyProtection="1">
      <alignment horizontal="centerContinuous"/>
    </xf>
    <xf numFmtId="166" fontId="9" fillId="0" borderId="0" xfId="8" applyNumberFormat="1" applyFont="1" applyAlignment="1" applyProtection="1">
      <alignment horizontal="centerContinuous"/>
    </xf>
    <xf numFmtId="166" fontId="9" fillId="0" borderId="0" xfId="8" applyFont="1" applyAlignment="1" applyProtection="1">
      <alignment horizontal="centerContinuous"/>
    </xf>
    <xf numFmtId="167" fontId="9" fillId="0" borderId="0" xfId="8" applyNumberFormat="1" applyFont="1" applyAlignment="1" applyProtection="1">
      <alignment horizontal="centerContinuous"/>
    </xf>
    <xf numFmtId="166" fontId="9" fillId="0" borderId="0" xfId="8" applyNumberFormat="1" applyFont="1" applyProtection="1"/>
    <xf numFmtId="166" fontId="8" fillId="0" borderId="0" xfId="10"/>
    <xf numFmtId="17" fontId="13" fillId="0" borderId="4" xfId="8" applyNumberFormat="1" applyFont="1" applyBorder="1" applyAlignment="1" applyProtection="1">
      <alignment horizontal="center"/>
    </xf>
    <xf numFmtId="17" fontId="13" fillId="0" borderId="13" xfId="8" applyNumberFormat="1" applyFont="1" applyBorder="1" applyAlignment="1" applyProtection="1">
      <alignment horizontal="center"/>
    </xf>
    <xf numFmtId="17" fontId="9" fillId="0" borderId="0" xfId="8" applyNumberFormat="1" applyFont="1" applyProtection="1"/>
    <xf numFmtId="165" fontId="18" fillId="0" borderId="0" xfId="8" applyNumberFormat="1" applyFont="1" applyAlignment="1" applyProtection="1">
      <alignment horizontal="center"/>
    </xf>
    <xf numFmtId="165" fontId="18" fillId="0" borderId="0" xfId="8" applyNumberFormat="1" applyFont="1" applyProtection="1"/>
    <xf numFmtId="165" fontId="29" fillId="0" borderId="0" xfId="8" applyNumberFormat="1" applyFont="1" applyProtection="1"/>
    <xf numFmtId="166" fontId="18" fillId="0" borderId="0" xfId="8" applyNumberFormat="1" applyFont="1" applyProtection="1"/>
    <xf numFmtId="166" fontId="13" fillId="0" borderId="0" xfId="8" applyNumberFormat="1" applyFont="1" applyProtection="1"/>
    <xf numFmtId="165" fontId="18" fillId="0" borderId="0" xfId="8" applyNumberFormat="1" applyFont="1" applyAlignment="1" applyProtection="1"/>
    <xf numFmtId="165" fontId="37" fillId="0" borderId="0" xfId="8" applyNumberFormat="1" applyFont="1" applyProtection="1"/>
    <xf numFmtId="165" fontId="9" fillId="0" borderId="0" xfId="8" applyNumberFormat="1" applyFont="1" applyProtection="1"/>
    <xf numFmtId="166" fontId="37" fillId="0" borderId="0" xfId="8" applyNumberFormat="1" applyFont="1" applyFill="1" applyProtection="1"/>
    <xf numFmtId="166" fontId="13" fillId="0" borderId="0" xfId="8" applyNumberFormat="1" applyFont="1" applyFill="1" applyProtection="1"/>
    <xf numFmtId="165" fontId="9" fillId="0" borderId="0" xfId="8" applyNumberFormat="1" applyFont="1"/>
    <xf numFmtId="166" fontId="31" fillId="0" borderId="0" xfId="8" applyFont="1"/>
    <xf numFmtId="166" fontId="21" fillId="0" borderId="0" xfId="8" applyFont="1" applyFill="1"/>
    <xf numFmtId="166" fontId="9" fillId="0" borderId="0" xfId="8" applyFont="1"/>
    <xf numFmtId="17" fontId="9" fillId="0" borderId="0" xfId="8" applyNumberFormat="1" applyFont="1"/>
    <xf numFmtId="166" fontId="37" fillId="0" borderId="0" xfId="8" applyFont="1"/>
    <xf numFmtId="166" fontId="38" fillId="2" borderId="0" xfId="3" applyFont="1" applyFill="1" applyAlignment="1">
      <alignment horizontal="centerContinuous"/>
    </xf>
    <xf numFmtId="166" fontId="38" fillId="2" borderId="0" xfId="7" applyNumberFormat="1" applyFont="1" applyFill="1" applyAlignment="1" applyProtection="1">
      <alignment horizontal="centerContinuous"/>
    </xf>
    <xf numFmtId="166" fontId="39" fillId="2" borderId="0" xfId="7" applyNumberFormat="1" applyFont="1" applyFill="1" applyAlignment="1" applyProtection="1">
      <alignment horizontal="centerContinuous"/>
    </xf>
    <xf numFmtId="166" fontId="26" fillId="0" borderId="5" xfId="7" quotePrefix="1" applyNumberFormat="1" applyFont="1" applyBorder="1" applyAlignment="1" applyProtection="1">
      <alignment horizontal="center"/>
    </xf>
    <xf numFmtId="166" fontId="26" fillId="0" borderId="5" xfId="7" applyNumberFormat="1" applyFont="1" applyBorder="1" applyAlignment="1" applyProtection="1">
      <alignment horizontal="center"/>
    </xf>
    <xf numFmtId="166" fontId="23" fillId="0" borderId="0" xfId="7" applyNumberFormat="1" applyFont="1" applyProtection="1"/>
    <xf numFmtId="165" fontId="26" fillId="0" borderId="0" xfId="7" applyNumberFormat="1" applyFont="1" applyBorder="1" applyProtection="1"/>
    <xf numFmtId="165" fontId="40" fillId="0" borderId="0" xfId="7" applyNumberFormat="1" applyFont="1"/>
    <xf numFmtId="165" fontId="0" fillId="0" borderId="0" xfId="0" applyNumberFormat="1"/>
    <xf numFmtId="169" fontId="19" fillId="0" borderId="1" xfId="4" applyNumberFormat="1" applyFont="1" applyBorder="1" applyAlignment="1" applyProtection="1">
      <alignment horizontal="centerContinuous"/>
    </xf>
    <xf numFmtId="166" fontId="5" fillId="0" borderId="10" xfId="4" applyFont="1" applyBorder="1" applyAlignment="1">
      <alignment horizontal="centerContinuous"/>
    </xf>
    <xf numFmtId="165" fontId="5" fillId="0" borderId="9" xfId="4" applyNumberFormat="1" applyFont="1" applyBorder="1"/>
    <xf numFmtId="165" fontId="5" fillId="0" borderId="0" xfId="4" applyNumberFormat="1" applyFont="1"/>
    <xf numFmtId="165" fontId="5" fillId="0" borderId="11" xfId="4" applyNumberFormat="1" applyFont="1" applyBorder="1"/>
    <xf numFmtId="166" fontId="9" fillId="0" borderId="0" xfId="8" applyNumberFormat="1" applyFont="1" applyAlignment="1" applyProtection="1">
      <alignment horizontal="left"/>
    </xf>
    <xf numFmtId="165" fontId="37" fillId="0" borderId="0" xfId="8" applyNumberFormat="1" applyFont="1" applyAlignment="1" applyProtection="1">
      <alignment horizontal="left"/>
    </xf>
    <xf numFmtId="0" fontId="41" fillId="0" borderId="0" xfId="8" applyNumberFormat="1" applyFont="1" applyAlignment="1">
      <alignment horizontal="center"/>
    </xf>
    <xf numFmtId="0" fontId="34" fillId="0" borderId="0" xfId="0" applyNumberFormat="1" applyFont="1" applyAlignment="1">
      <alignment horizontal="center"/>
    </xf>
    <xf numFmtId="165" fontId="37" fillId="0" borderId="2" xfId="8" applyNumberFormat="1" applyFont="1" applyBorder="1" applyProtection="1"/>
    <xf numFmtId="17" fontId="13" fillId="0" borderId="4" xfId="8" quotePrefix="1" applyNumberFormat="1" applyFont="1" applyBorder="1" applyAlignment="1" applyProtection="1">
      <alignment horizontal="center"/>
    </xf>
    <xf numFmtId="17" fontId="13" fillId="0" borderId="13" xfId="8" quotePrefix="1" applyNumberFormat="1" applyFont="1" applyBorder="1" applyAlignment="1" applyProtection="1">
      <alignment horizontal="center"/>
    </xf>
    <xf numFmtId="169" fontId="19" fillId="0" borderId="1" xfId="4" quotePrefix="1" applyNumberFormat="1" applyFont="1" applyBorder="1" applyAlignment="1" applyProtection="1">
      <alignment horizontal="center"/>
    </xf>
    <xf numFmtId="166" fontId="42" fillId="0" borderId="0" xfId="0" applyNumberFormat="1" applyFont="1" applyProtection="1">
      <protection locked="0"/>
    </xf>
    <xf numFmtId="0" fontId="9" fillId="0" borderId="0" xfId="0" applyFont="1"/>
    <xf numFmtId="0" fontId="34" fillId="0" borderId="0" xfId="0" applyFont="1" applyAlignment="1">
      <alignment horizontal="right"/>
    </xf>
    <xf numFmtId="0" fontId="43" fillId="0" borderId="0" xfId="0" applyFont="1" applyAlignment="1">
      <alignment horizontal="right"/>
    </xf>
    <xf numFmtId="0" fontId="19" fillId="0" borderId="0" xfId="0" quotePrefix="1" applyNumberFormat="1" applyFont="1" applyProtection="1"/>
    <xf numFmtId="167" fontId="34" fillId="0" borderId="0" xfId="0" applyNumberFormat="1" applyFont="1" applyProtection="1"/>
    <xf numFmtId="167" fontId="43" fillId="0" borderId="0" xfId="0" applyNumberFormat="1" applyFont="1" applyProtection="1"/>
    <xf numFmtId="166" fontId="19" fillId="0" borderId="0" xfId="0" applyNumberFormat="1" applyFont="1" applyProtection="1"/>
    <xf numFmtId="171" fontId="34" fillId="0" borderId="0" xfId="0" applyNumberFormat="1" applyFont="1" applyProtection="1"/>
    <xf numFmtId="171" fontId="43" fillId="0" borderId="0" xfId="0" applyNumberFormat="1" applyFont="1" applyProtection="1"/>
    <xf numFmtId="166" fontId="34" fillId="0" borderId="0" xfId="0" applyNumberFormat="1" applyFont="1" applyProtection="1"/>
    <xf numFmtId="0" fontId="34" fillId="0" borderId="0" xfId="0" applyFont="1"/>
    <xf numFmtId="166" fontId="44" fillId="0" borderId="1" xfId="0" applyNumberFormat="1" applyFont="1" applyFill="1" applyBorder="1" applyAlignment="1" applyProtection="1">
      <alignment horizontal="center"/>
    </xf>
    <xf numFmtId="0" fontId="44" fillId="0" borderId="0" xfId="0" applyFont="1" applyFill="1"/>
    <xf numFmtId="166" fontId="44" fillId="0" borderId="0" xfId="0" applyNumberFormat="1" applyFont="1" applyFill="1" applyProtection="1"/>
    <xf numFmtId="0" fontId="44" fillId="0" borderId="1" xfId="0" applyFont="1" applyBorder="1" applyAlignment="1">
      <alignment horizontal="center"/>
    </xf>
    <xf numFmtId="0" fontId="44" fillId="0" borderId="0" xfId="0" applyFont="1"/>
    <xf numFmtId="0" fontId="44" fillId="0" borderId="1" xfId="0" applyFont="1" applyBorder="1" applyAlignment="1">
      <alignment horizontal="centerContinuous"/>
    </xf>
    <xf numFmtId="165" fontId="34" fillId="0" borderId="0" xfId="0" applyNumberFormat="1" applyFont="1" applyProtection="1"/>
    <xf numFmtId="165" fontId="34" fillId="0" borderId="0" xfId="0" applyNumberFormat="1" applyFont="1"/>
    <xf numFmtId="165" fontId="45" fillId="0" borderId="0" xfId="0" applyNumberFormat="1" applyFont="1" applyProtection="1">
      <protection locked="0"/>
    </xf>
    <xf numFmtId="165" fontId="45" fillId="0" borderId="1" xfId="0" applyNumberFormat="1" applyFont="1" applyBorder="1" applyProtection="1">
      <protection locked="0"/>
    </xf>
    <xf numFmtId="165" fontId="34" fillId="0" borderId="1" xfId="0" applyNumberFormat="1" applyFont="1" applyBorder="1" applyProtection="1"/>
    <xf numFmtId="165" fontId="44" fillId="0" borderId="0" xfId="0" applyNumberFormat="1" applyFont="1" applyProtection="1"/>
    <xf numFmtId="165" fontId="44" fillId="0" borderId="0" xfId="0" applyNumberFormat="1" applyFont="1"/>
    <xf numFmtId="165" fontId="34" fillId="0" borderId="0" xfId="0" applyNumberFormat="1" applyFont="1" applyFill="1" applyProtection="1"/>
    <xf numFmtId="165" fontId="46" fillId="0" borderId="0" xfId="0" applyNumberFormat="1" applyFont="1" applyFill="1"/>
    <xf numFmtId="165" fontId="44" fillId="0" borderId="0" xfId="0" applyNumberFormat="1" applyFont="1" applyFill="1"/>
    <xf numFmtId="165" fontId="34" fillId="0" borderId="14" xfId="0" applyNumberFormat="1" applyFont="1" applyBorder="1" applyProtection="1"/>
    <xf numFmtId="165" fontId="45" fillId="0" borderId="0" xfId="0" applyNumberFormat="1" applyFont="1"/>
    <xf numFmtId="165" fontId="34" fillId="0" borderId="14" xfId="0" applyNumberFormat="1" applyFont="1" applyBorder="1"/>
    <xf numFmtId="166" fontId="44" fillId="0" borderId="0" xfId="0" applyNumberFormat="1" applyFont="1" applyProtection="1"/>
    <xf numFmtId="166" fontId="19" fillId="0" borderId="0" xfId="0" quotePrefix="1" applyNumberFormat="1" applyFont="1" applyProtection="1"/>
    <xf numFmtId="18" fontId="43" fillId="0" borderId="0" xfId="0" applyNumberFormat="1" applyFont="1" applyProtection="1"/>
    <xf numFmtId="166" fontId="44" fillId="0" borderId="1" xfId="0" applyNumberFormat="1" applyFont="1" applyBorder="1" applyAlignment="1" applyProtection="1">
      <alignment horizontal="center"/>
    </xf>
    <xf numFmtId="165" fontId="48" fillId="0" borderId="0" xfId="0" applyNumberFormat="1" applyFont="1" applyProtection="1"/>
    <xf numFmtId="165" fontId="48" fillId="0" borderId="0" xfId="0" applyNumberFormat="1" applyFont="1"/>
    <xf numFmtId="165" fontId="47" fillId="0" borderId="0" xfId="0" applyNumberFormat="1" applyFont="1" applyProtection="1">
      <protection locked="0"/>
    </xf>
    <xf numFmtId="165" fontId="44" fillId="0" borderId="1" xfId="0" applyNumberFormat="1" applyFont="1" applyBorder="1" applyProtection="1"/>
    <xf numFmtId="165" fontId="45" fillId="0" borderId="1" xfId="0" applyNumberFormat="1" applyFont="1" applyBorder="1" applyProtection="1"/>
    <xf numFmtId="165" fontId="34" fillId="0" borderId="7" xfId="0" applyNumberFormat="1" applyFont="1" applyBorder="1" applyProtection="1"/>
    <xf numFmtId="165" fontId="44" fillId="0" borderId="0" xfId="0" quotePrefix="1" applyNumberFormat="1" applyFont="1" applyProtection="1"/>
    <xf numFmtId="165" fontId="49" fillId="0" borderId="0" xfId="0" applyNumberFormat="1" applyFont="1"/>
    <xf numFmtId="168" fontId="34" fillId="0" borderId="0" xfId="0" applyNumberFormat="1" applyFont="1"/>
    <xf numFmtId="0" fontId="2" fillId="0" borderId="0" xfId="9" quotePrefix="1" applyFont="1" applyBorder="1" applyAlignment="1">
      <alignment horizontal="centerContinuous"/>
    </xf>
    <xf numFmtId="165" fontId="13" fillId="2" borderId="3" xfId="9" applyNumberFormat="1" applyFont="1" applyFill="1" applyBorder="1" applyProtection="1"/>
    <xf numFmtId="165" fontId="50" fillId="0" borderId="0" xfId="9" applyNumberFormat="1" applyFont="1" applyProtection="1"/>
    <xf numFmtId="0" fontId="43" fillId="0" borderId="0" xfId="8" applyNumberFormat="1" applyFont="1" applyAlignment="1">
      <alignment horizontal="center"/>
    </xf>
    <xf numFmtId="166" fontId="37" fillId="0" borderId="0" xfId="8" applyNumberFormat="1" applyFont="1" applyFill="1" applyAlignment="1" applyProtection="1">
      <alignment horizontal="left" inden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indent="1"/>
    </xf>
    <xf numFmtId="166" fontId="51" fillId="0" borderId="0" xfId="7" applyNumberFormat="1" applyFont="1" applyBorder="1" applyProtection="1"/>
    <xf numFmtId="166" fontId="51" fillId="0" borderId="0" xfId="7" applyNumberFormat="1" applyFont="1" applyBorder="1" applyAlignment="1" applyProtection="1">
      <alignment horizontal="center"/>
    </xf>
    <xf numFmtId="166" fontId="9" fillId="0" borderId="0" xfId="7" applyFont="1"/>
    <xf numFmtId="166" fontId="29" fillId="0" borderId="0" xfId="7" applyFont="1" applyBorder="1"/>
    <xf numFmtId="165" fontId="9" fillId="0" borderId="0" xfId="7" applyNumberFormat="1" applyFont="1"/>
    <xf numFmtId="166" fontId="29" fillId="0" borderId="0" xfId="7" applyFont="1"/>
    <xf numFmtId="168" fontId="29" fillId="0" borderId="0" xfId="7" applyNumberFormat="1" applyFont="1"/>
    <xf numFmtId="168" fontId="9" fillId="0" borderId="0" xfId="7" applyNumberFormat="1" applyFont="1"/>
    <xf numFmtId="165" fontId="9" fillId="0" borderId="0" xfId="3" applyNumberFormat="1" applyFont="1" applyAlignment="1">
      <alignment horizontal="left" indent="1"/>
    </xf>
    <xf numFmtId="165" fontId="29" fillId="0" borderId="0" xfId="7" applyNumberFormat="1" applyFont="1" applyAlignment="1">
      <alignment horizontal="left" indent="1"/>
    </xf>
    <xf numFmtId="165" fontId="30" fillId="0" borderId="0" xfId="7" applyNumberFormat="1" applyFont="1" applyAlignment="1" applyProtection="1">
      <alignment horizontal="left" indent="1"/>
    </xf>
    <xf numFmtId="166" fontId="30" fillId="0" borderId="0" xfId="7" applyFont="1" applyBorder="1"/>
    <xf numFmtId="165" fontId="9" fillId="0" borderId="0" xfId="8" applyNumberFormat="1" applyFont="1" applyFill="1" applyAlignment="1" applyProtection="1">
      <alignment horizontal="left" indent="1"/>
    </xf>
    <xf numFmtId="165" fontId="37" fillId="0" borderId="0" xfId="8" applyNumberFormat="1" applyFont="1"/>
    <xf numFmtId="165" fontId="13" fillId="0" borderId="0" xfId="8" applyNumberFormat="1" applyFont="1" applyAlignment="1">
      <alignment horizontal="left" indent="1"/>
    </xf>
    <xf numFmtId="165" fontId="13" fillId="0" borderId="0" xfId="0" applyNumberFormat="1" applyFont="1"/>
    <xf numFmtId="165" fontId="44" fillId="0" borderId="3" xfId="0" applyNumberFormat="1" applyFont="1" applyBorder="1" applyProtection="1"/>
    <xf numFmtId="165" fontId="44" fillId="0" borderId="0" xfId="0" applyNumberFormat="1" applyFont="1" applyFill="1" applyBorder="1"/>
    <xf numFmtId="165" fontId="49" fillId="0" borderId="15" xfId="0" applyNumberFormat="1" applyFont="1" applyBorder="1" applyProtection="1"/>
    <xf numFmtId="165" fontId="49" fillId="0" borderId="0" xfId="0" applyNumberFormat="1" applyFont="1" applyProtection="1"/>
    <xf numFmtId="165" fontId="49" fillId="0" borderId="0" xfId="0" applyNumberFormat="1" applyFont="1" applyBorder="1" applyProtection="1"/>
    <xf numFmtId="165" fontId="52" fillId="0" borderId="0" xfId="0" applyNumberFormat="1" applyFont="1"/>
    <xf numFmtId="165" fontId="45" fillId="0" borderId="0" xfId="0" applyNumberFormat="1" applyFont="1" applyProtection="1"/>
    <xf numFmtId="165" fontId="44" fillId="0" borderId="0" xfId="0" applyNumberFormat="1" applyFont="1" applyAlignment="1">
      <alignment horizontal="left" indent="1"/>
    </xf>
    <xf numFmtId="165" fontId="34" fillId="0" borderId="0" xfId="0" applyNumberFormat="1" applyFont="1" applyAlignment="1">
      <alignment horizontal="left" indent="1"/>
    </xf>
    <xf numFmtId="165" fontId="18" fillId="0" borderId="0" xfId="3" applyNumberFormat="1" applyFont="1" applyAlignment="1">
      <alignment horizontal="left" indent="1"/>
    </xf>
    <xf numFmtId="165" fontId="31" fillId="0" borderId="0" xfId="3" applyNumberFormat="1" applyFont="1" applyAlignment="1">
      <alignment horizontal="left" indent="1"/>
    </xf>
    <xf numFmtId="165" fontId="25" fillId="0" borderId="0" xfId="7" applyNumberFormat="1" applyFont="1" applyBorder="1" applyProtection="1"/>
    <xf numFmtId="165" fontId="25" fillId="0" borderId="0" xfId="7" applyNumberFormat="1" applyFont="1" applyProtection="1"/>
    <xf numFmtId="168" fontId="25" fillId="0" borderId="0" xfId="7" applyNumberFormat="1" applyFont="1"/>
    <xf numFmtId="168" fontId="31" fillId="0" borderId="0" xfId="7" applyNumberFormat="1" applyFont="1"/>
    <xf numFmtId="168" fontId="25" fillId="0" borderId="0" xfId="7" applyNumberFormat="1" applyFont="1" applyProtection="1"/>
    <xf numFmtId="165" fontId="53" fillId="0" borderId="0" xfId="3" applyNumberFormat="1" applyFont="1" applyAlignment="1">
      <alignment horizontal="left" indent="1"/>
    </xf>
    <xf numFmtId="165" fontId="36" fillId="0" borderId="0" xfId="3" applyNumberFormat="1" applyFont="1" applyAlignment="1">
      <alignment horizontal="left" indent="1"/>
    </xf>
    <xf numFmtId="165" fontId="36" fillId="0" borderId="0" xfId="7" applyNumberFormat="1" applyFont="1"/>
    <xf numFmtId="0" fontId="41" fillId="0" borderId="0" xfId="5" applyFont="1" applyProtection="1"/>
    <xf numFmtId="164" fontId="41" fillId="0" borderId="0" xfId="5" applyNumberFormat="1" applyFont="1" applyAlignment="1">
      <alignment horizontal="left"/>
    </xf>
    <xf numFmtId="165" fontId="25" fillId="0" borderId="0" xfId="7" applyNumberFormat="1" applyFont="1" applyBorder="1"/>
    <xf numFmtId="165" fontId="36" fillId="0" borderId="0" xfId="3" applyNumberFormat="1" applyFont="1" applyFill="1" applyAlignment="1">
      <alignment horizontal="left" indent="1"/>
    </xf>
    <xf numFmtId="165" fontId="26" fillId="0" borderId="0" xfId="7" applyNumberFormat="1" applyFont="1" applyFill="1" applyBorder="1" applyProtection="1"/>
    <xf numFmtId="165" fontId="31" fillId="0" borderId="0" xfId="7" applyNumberFormat="1" applyFont="1" applyFill="1"/>
    <xf numFmtId="165" fontId="50" fillId="0" borderId="0" xfId="7" applyNumberFormat="1" applyFont="1" applyBorder="1" applyProtection="1"/>
    <xf numFmtId="165" fontId="52" fillId="3" borderId="2" xfId="7" applyNumberFormat="1" applyFont="1" applyFill="1" applyBorder="1" applyProtection="1"/>
    <xf numFmtId="165" fontId="52" fillId="0" borderId="0" xfId="7" applyNumberFormat="1" applyFont="1" applyBorder="1" applyProtection="1"/>
    <xf numFmtId="165" fontId="30" fillId="0" borderId="0" xfId="7" applyNumberFormat="1" applyFont="1" applyBorder="1" applyProtection="1"/>
    <xf numFmtId="165" fontId="29" fillId="0" borderId="0" xfId="7" applyNumberFormat="1" applyFont="1" applyBorder="1"/>
    <xf numFmtId="165" fontId="52" fillId="0" borderId="0" xfId="7" applyNumberFormat="1" applyFont="1" applyFill="1" applyBorder="1" applyProtection="1"/>
    <xf numFmtId="165" fontId="30" fillId="0" borderId="0" xfId="7" applyNumberFormat="1" applyFont="1" applyFill="1" applyBorder="1" applyProtection="1"/>
    <xf numFmtId="165" fontId="30" fillId="3" borderId="3" xfId="7" applyNumberFormat="1" applyFont="1" applyFill="1" applyBorder="1" applyProtection="1"/>
    <xf numFmtId="165" fontId="50" fillId="0" borderId="0" xfId="3" applyNumberFormat="1" applyFont="1" applyAlignment="1">
      <alignment horizontal="left" indent="1"/>
    </xf>
    <xf numFmtId="165" fontId="53" fillId="0" borderId="0" xfId="7" applyNumberFormat="1" applyFont="1"/>
    <xf numFmtId="165" fontId="31" fillId="0" borderId="0" xfId="7" applyNumberFormat="1" applyFont="1" applyBorder="1"/>
    <xf numFmtId="165" fontId="40" fillId="0" borderId="0" xfId="3" applyNumberFormat="1" applyFont="1" applyAlignment="1">
      <alignment horizontal="left" indent="1"/>
    </xf>
    <xf numFmtId="165" fontId="54" fillId="0" borderId="0" xfId="7" applyNumberFormat="1" applyFont="1" applyBorder="1" applyProtection="1"/>
    <xf numFmtId="165" fontId="53" fillId="0" borderId="0" xfId="7" applyNumberFormat="1" applyFont="1" applyBorder="1"/>
    <xf numFmtId="165" fontId="26" fillId="3" borderId="3" xfId="7" applyNumberFormat="1" applyFont="1" applyFill="1" applyBorder="1" applyProtection="1"/>
    <xf numFmtId="165" fontId="53" fillId="0" borderId="0" xfId="7" applyNumberFormat="1" applyFont="1" applyBorder="1" applyProtection="1"/>
    <xf numFmtId="165" fontId="35" fillId="3" borderId="2" xfId="7" applyNumberFormat="1" applyFont="1" applyFill="1" applyBorder="1" applyProtection="1"/>
    <xf numFmtId="165" fontId="35" fillId="0" borderId="0" xfId="7" applyNumberFormat="1" applyFont="1" applyBorder="1" applyProtection="1"/>
    <xf numFmtId="165" fontId="25" fillId="0" borderId="2" xfId="7" applyNumberFormat="1" applyFont="1" applyBorder="1"/>
    <xf numFmtId="165" fontId="26" fillId="0" borderId="3" xfId="7" applyNumberFormat="1" applyFont="1" applyBorder="1" applyProtection="1"/>
    <xf numFmtId="165" fontId="26" fillId="0" borderId="0" xfId="7" applyNumberFormat="1" applyFont="1" applyAlignment="1" applyProtection="1">
      <alignment horizontal="left" indent="2"/>
    </xf>
    <xf numFmtId="165" fontId="25" fillId="3" borderId="16" xfId="7" applyNumberFormat="1" applyFont="1" applyFill="1" applyBorder="1" applyProtection="1"/>
    <xf numFmtId="165" fontId="55" fillId="0" borderId="0" xfId="7" applyNumberFormat="1" applyFont="1"/>
    <xf numFmtId="165" fontId="31" fillId="0" borderId="0" xfId="4" applyNumberFormat="1" applyFont="1"/>
    <xf numFmtId="165" fontId="54" fillId="0" borderId="0" xfId="4" applyNumberFormat="1" applyFont="1"/>
    <xf numFmtId="165" fontId="31" fillId="0" borderId="0" xfId="0" applyNumberFormat="1" applyFont="1"/>
    <xf numFmtId="165" fontId="31" fillId="0" borderId="0" xfId="0" applyNumberFormat="1" applyFont="1" applyProtection="1"/>
    <xf numFmtId="0" fontId="31" fillId="0" borderId="0" xfId="0" applyFont="1"/>
    <xf numFmtId="165" fontId="36" fillId="0" borderId="0" xfId="4" applyNumberFormat="1" applyFont="1"/>
    <xf numFmtId="166" fontId="31" fillId="0" borderId="0" xfId="4" applyFont="1"/>
    <xf numFmtId="166" fontId="36" fillId="0" borderId="0" xfId="4" applyFont="1"/>
    <xf numFmtId="166" fontId="31" fillId="0" borderId="7" xfId="4" applyFont="1" applyBorder="1"/>
    <xf numFmtId="165" fontId="36" fillId="0" borderId="17" xfId="4" applyNumberFormat="1" applyFont="1" applyBorder="1"/>
    <xf numFmtId="165" fontId="34" fillId="0" borderId="5" xfId="0" applyNumberFormat="1" applyFont="1" applyBorder="1" applyProtection="1"/>
    <xf numFmtId="166" fontId="7" fillId="0" borderId="0" xfId="8" applyFont="1" applyBorder="1"/>
    <xf numFmtId="166" fontId="31" fillId="0" borderId="0" xfId="8" applyNumberFormat="1" applyFont="1" applyBorder="1" applyAlignment="1" applyProtection="1">
      <alignment horizontal="centerContinuous"/>
    </xf>
    <xf numFmtId="166" fontId="21" fillId="0" borderId="0" xfId="8" applyNumberFormat="1" applyFont="1" applyFill="1" applyBorder="1" applyAlignment="1" applyProtection="1">
      <alignment horizontal="centerContinuous"/>
    </xf>
    <xf numFmtId="166" fontId="9" fillId="0" borderId="0" xfId="8" applyNumberFormat="1" applyFont="1" applyBorder="1" applyAlignment="1" applyProtection="1">
      <alignment horizontal="centerContinuous"/>
    </xf>
    <xf numFmtId="17" fontId="13" fillId="0" borderId="16" xfId="8" quotePrefix="1" applyNumberFormat="1" applyFont="1" applyBorder="1" applyAlignment="1" applyProtection="1">
      <alignment horizontal="center"/>
    </xf>
    <xf numFmtId="17" fontId="13" fillId="0" borderId="18" xfId="8" quotePrefix="1" applyNumberFormat="1" applyFont="1" applyBorder="1" applyAlignment="1" applyProtection="1">
      <alignment horizontal="center"/>
    </xf>
    <xf numFmtId="165" fontId="18" fillId="0" borderId="0" xfId="8" applyNumberFormat="1" applyFont="1" applyBorder="1" applyAlignment="1" applyProtection="1">
      <alignment horizontal="center"/>
    </xf>
    <xf numFmtId="165" fontId="9" fillId="0" borderId="0" xfId="8" applyNumberFormat="1" applyFont="1" applyAlignment="1" applyProtection="1"/>
    <xf numFmtId="165" fontId="9" fillId="0" borderId="0" xfId="8" applyNumberFormat="1" applyFont="1" applyBorder="1" applyAlignment="1" applyProtection="1"/>
    <xf numFmtId="165" fontId="18" fillId="0" borderId="0" xfId="8" applyNumberFormat="1" applyFont="1" applyBorder="1" applyAlignment="1" applyProtection="1"/>
    <xf numFmtId="165" fontId="37" fillId="0" borderId="0" xfId="8" applyNumberFormat="1" applyFont="1" applyBorder="1" applyProtection="1"/>
    <xf numFmtId="165" fontId="29" fillId="0" borderId="0" xfId="8" applyNumberFormat="1" applyFont="1" applyBorder="1" applyProtection="1"/>
    <xf numFmtId="166" fontId="37" fillId="0" borderId="0" xfId="8" applyFont="1" applyBorder="1"/>
    <xf numFmtId="166" fontId="9" fillId="0" borderId="0" xfId="8" applyFont="1" applyBorder="1"/>
    <xf numFmtId="43" fontId="29" fillId="0" borderId="0" xfId="8" applyNumberFormat="1" applyFont="1" applyProtection="1"/>
    <xf numFmtId="165" fontId="9" fillId="0" borderId="0" xfId="8" applyNumberFormat="1" applyFont="1" applyBorder="1"/>
    <xf numFmtId="165" fontId="37" fillId="0" borderId="0" xfId="8" applyNumberFormat="1" applyFont="1" applyBorder="1"/>
    <xf numFmtId="43" fontId="28" fillId="0" borderId="0" xfId="7" applyNumberFormat="1" applyFont="1" applyBorder="1" applyProtection="1"/>
    <xf numFmtId="166" fontId="5" fillId="0" borderId="0" xfId="3" quotePrefix="1" applyFont="1" applyAlignment="1">
      <alignment horizontal="center"/>
    </xf>
    <xf numFmtId="166" fontId="5" fillId="0" borderId="0" xfId="4" quotePrefix="1" applyFont="1"/>
    <xf numFmtId="165" fontId="45" fillId="0" borderId="0" xfId="0" applyNumberFormat="1" applyFont="1" applyBorder="1" applyProtection="1"/>
    <xf numFmtId="166" fontId="36" fillId="0" borderId="0" xfId="7" applyFont="1"/>
    <xf numFmtId="43" fontId="9" fillId="0" borderId="0" xfId="8" applyNumberFormat="1" applyFont="1" applyAlignment="1" applyProtection="1"/>
    <xf numFmtId="165" fontId="45" fillId="0" borderId="0" xfId="0" applyNumberFormat="1" applyFont="1" applyBorder="1" applyProtection="1">
      <protection locked="0"/>
    </xf>
    <xf numFmtId="170" fontId="28" fillId="0" borderId="0" xfId="7" applyNumberFormat="1" applyFont="1" applyBorder="1" applyProtection="1"/>
    <xf numFmtId="165" fontId="44" fillId="0" borderId="0" xfId="0" applyNumberFormat="1" applyFont="1" applyBorder="1" applyProtection="1"/>
    <xf numFmtId="165" fontId="34" fillId="0" borderId="0" xfId="0" applyNumberFormat="1" applyFont="1" applyBorder="1" applyProtection="1"/>
    <xf numFmtId="166" fontId="4" fillId="0" borderId="0" xfId="8" applyNumberFormat="1" applyFont="1" applyAlignment="1" applyProtection="1">
      <alignment horizontal="centerContinuous"/>
    </xf>
    <xf numFmtId="166" fontId="42" fillId="0" borderId="0" xfId="4" applyFont="1" applyAlignment="1">
      <alignment horizontal="centerContinuous"/>
    </xf>
    <xf numFmtId="0" fontId="42" fillId="0" borderId="5" xfId="4" applyNumberFormat="1" applyFont="1" applyBorder="1" applyAlignment="1" applyProtection="1">
      <alignment horizontal="centerContinuous"/>
    </xf>
    <xf numFmtId="166" fontId="5" fillId="0" borderId="5" xfId="4" applyFont="1" applyBorder="1" applyAlignment="1">
      <alignment horizontal="centerContinuous"/>
    </xf>
    <xf numFmtId="166" fontId="5" fillId="0" borderId="0" xfId="4" applyFont="1" applyBorder="1"/>
    <xf numFmtId="166" fontId="19" fillId="0" borderId="0" xfId="4" applyFont="1" applyBorder="1"/>
    <xf numFmtId="0" fontId="42" fillId="0" borderId="1" xfId="4" applyNumberFormat="1" applyFont="1" applyBorder="1" applyAlignment="1" applyProtection="1">
      <alignment horizontal="center"/>
    </xf>
    <xf numFmtId="0" fontId="19" fillId="0" borderId="0" xfId="4" applyNumberFormat="1" applyFont="1" applyBorder="1" applyProtection="1"/>
    <xf numFmtId="0" fontId="19" fillId="0" borderId="1" xfId="4" applyNumberFormat="1" applyFont="1" applyBorder="1" applyAlignment="1" applyProtection="1">
      <alignment horizontal="center"/>
    </xf>
    <xf numFmtId="166" fontId="20" fillId="0" borderId="0" xfId="4" quotePrefix="1" applyFont="1" applyAlignment="1">
      <alignment horizontal="left"/>
    </xf>
    <xf numFmtId="165" fontId="5" fillId="0" borderId="0" xfId="4" applyNumberFormat="1" applyFont="1" applyBorder="1"/>
    <xf numFmtId="49" fontId="5" fillId="0" borderId="0" xfId="4" applyNumberFormat="1" applyFont="1" applyBorder="1" applyAlignment="1">
      <alignment horizontal="left"/>
    </xf>
    <xf numFmtId="165" fontId="21" fillId="0" borderId="0" xfId="4" applyNumberFormat="1" applyFont="1" applyBorder="1"/>
    <xf numFmtId="49" fontId="5" fillId="0" borderId="0" xfId="4" applyNumberFormat="1" applyFont="1" applyBorder="1"/>
    <xf numFmtId="165" fontId="5" fillId="0" borderId="0" xfId="4" quotePrefix="1" applyNumberFormat="1" applyFont="1"/>
    <xf numFmtId="49" fontId="5" fillId="0" borderId="0" xfId="4" quotePrefix="1" applyNumberFormat="1" applyFont="1" applyBorder="1" applyAlignment="1">
      <alignment horizontal="left"/>
    </xf>
    <xf numFmtId="165" fontId="19" fillId="0" borderId="0" xfId="4" applyNumberFormat="1" applyFont="1" applyBorder="1"/>
    <xf numFmtId="166" fontId="19" fillId="0" borderId="0" xfId="4" quotePrefix="1" applyFont="1" applyAlignment="1">
      <alignment horizontal="left" vertical="center"/>
    </xf>
    <xf numFmtId="165" fontId="19" fillId="0" borderId="17" xfId="4" applyNumberFormat="1" applyFont="1" applyBorder="1" applyAlignment="1">
      <alignment horizontal="center" vertical="center"/>
    </xf>
    <xf numFmtId="165" fontId="5" fillId="0" borderId="0" xfId="4" applyNumberFormat="1" applyFont="1" applyBorder="1" applyAlignment="1">
      <alignment horizontal="center" vertical="center"/>
    </xf>
    <xf numFmtId="0" fontId="0" fillId="0" borderId="0" xfId="0" quotePrefix="1"/>
    <xf numFmtId="15" fontId="7" fillId="0" borderId="0" xfId="4" applyNumberFormat="1" applyFont="1"/>
    <xf numFmtId="18" fontId="7" fillId="0" borderId="0" xfId="4" applyNumberFormat="1" applyFont="1"/>
    <xf numFmtId="0" fontId="42" fillId="0" borderId="1" xfId="4" quotePrefix="1" applyNumberFormat="1" applyFont="1" applyBorder="1" applyAlignment="1" applyProtection="1">
      <alignment horizontal="center"/>
    </xf>
    <xf numFmtId="1" fontId="18" fillId="0" borderId="0" xfId="1" applyNumberFormat="1" applyFont="1" applyAlignment="1" applyProtection="1">
      <alignment horizontal="right"/>
    </xf>
    <xf numFmtId="166" fontId="13" fillId="0" borderId="0" xfId="8" applyFont="1"/>
    <xf numFmtId="0" fontId="0" fillId="0" borderId="0" xfId="0" quotePrefix="1" applyAlignment="1">
      <alignment horizontal="left"/>
    </xf>
    <xf numFmtId="166" fontId="4" fillId="0" borderId="0" xfId="3" applyFont="1" applyAlignment="1">
      <alignment horizontal="center"/>
    </xf>
  </cellXfs>
  <cellStyles count="11">
    <cellStyle name="Comma" xfId="1" builtinId="3"/>
    <cellStyle name="Normal" xfId="0" builtinId="0"/>
    <cellStyle name="Normal_A" xfId="2"/>
    <cellStyle name="Normal_CAPEX_AN" xfId="3"/>
    <cellStyle name="Normal_DETAILS" xfId="4"/>
    <cellStyle name="Normal_MAJASSUM" xfId="5"/>
    <cellStyle name="Normal_MAJASSUM (2)" xfId="6"/>
    <cellStyle name="Normal_OBLIGDET" xfId="7"/>
    <cellStyle name="Normal_Other Obligations" xfId="8"/>
    <cellStyle name="Normal_QTRCOMP" xfId="9"/>
    <cellStyle name="Normal_Total Obligation Forma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GG%20Format%20Apr%20Actuals%20-%20Cas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ODELX/d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ORECAST/PVCFO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ODELX/PGE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ORECAST/PG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RO/July01/Format%20-%20by%20Co%202001%20August%20Actual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RO/MRO/June01/2Q%20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Format"/>
      <sheetName val="QtrComp_vs_PY"/>
      <sheetName val="FinancingExpense"/>
      <sheetName val="PRMA"/>
      <sheetName val="Merchant"/>
      <sheetName val="EquityAffiliates"/>
      <sheetName val="OtherFundsFlow"/>
      <sheetName val="Obligations"/>
      <sheetName val="TotalObligations"/>
      <sheetName val="CapEx"/>
      <sheetName val="Investing"/>
      <sheetName val="FundsFlow"/>
      <sheetName val="AssetSales"/>
      <sheetName val="MajAssump"/>
    </sheetNames>
    <sheetDataSet>
      <sheetData sheetId="0"/>
      <sheetData sheetId="1">
        <row r="34">
          <cell r="D34">
            <v>-26.784781576666678</v>
          </cell>
          <cell r="F34">
            <v>37.466489453333338</v>
          </cell>
          <cell r="H34">
            <v>49.227406683333378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Asset Sales"/>
      <sheetName val="Cases"/>
    </sheetNames>
    <sheetDataSet>
      <sheetData sheetId="0">
        <row r="334">
          <cell r="I334">
            <v>1542</v>
          </cell>
          <cell r="J334">
            <v>1526</v>
          </cell>
          <cell r="K334">
            <v>1510</v>
          </cell>
          <cell r="L334">
            <v>1494</v>
          </cell>
          <cell r="M334">
            <v>1478</v>
          </cell>
          <cell r="N334">
            <v>1462</v>
          </cell>
          <cell r="O334">
            <v>1446</v>
          </cell>
          <cell r="P334">
            <v>1430</v>
          </cell>
          <cell r="Q334">
            <v>1416</v>
          </cell>
          <cell r="R334">
            <v>1403</v>
          </cell>
          <cell r="S334">
            <v>1390</v>
          </cell>
          <cell r="T334">
            <v>1377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IT Format Budget"/>
      <sheetName val="IBIT Format"/>
      <sheetName val="Budget"/>
      <sheetName val="Forecast"/>
      <sheetName val="Sheet3"/>
    </sheetNames>
    <sheetDataSet>
      <sheetData sheetId="0"/>
      <sheetData sheetId="1"/>
      <sheetData sheetId="2"/>
      <sheetData sheetId="3">
        <row r="115">
          <cell r="E115">
            <v>911000</v>
          </cell>
          <cell r="F115">
            <v>911000</v>
          </cell>
          <cell r="G115">
            <v>911000</v>
          </cell>
          <cell r="H115">
            <v>911000</v>
          </cell>
          <cell r="I115">
            <v>911000</v>
          </cell>
          <cell r="J115">
            <v>911000</v>
          </cell>
          <cell r="K115">
            <v>911000</v>
          </cell>
          <cell r="L115">
            <v>911000</v>
          </cell>
          <cell r="M115">
            <v>911000</v>
          </cell>
          <cell r="N115">
            <v>911000</v>
          </cell>
          <cell r="O115">
            <v>911000</v>
          </cell>
          <cell r="P115">
            <v>911000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EU"/>
      <sheetName val="2001"/>
      <sheetName val="Summary"/>
      <sheetName val="For Fran"/>
      <sheetName val="For Jim P"/>
      <sheetName val="For Mary"/>
      <sheetName val="For Jim B"/>
      <sheetName val="Supply Tracker"/>
    </sheetNames>
    <sheetDataSet>
      <sheetData sheetId="0">
        <row r="827">
          <cell r="I827">
            <v>5006.5918600000005</v>
          </cell>
          <cell r="J827">
            <v>5004.2839999999997</v>
          </cell>
          <cell r="K827">
            <v>5004.3151099999995</v>
          </cell>
          <cell r="L827">
            <v>4997.9231</v>
          </cell>
          <cell r="M827">
            <v>4996.0976300000002</v>
          </cell>
          <cell r="N827">
            <v>4992.4045900000001</v>
          </cell>
          <cell r="O827">
            <v>4977.5336500000003</v>
          </cell>
          <cell r="P827">
            <v>4973.02574</v>
          </cell>
          <cell r="Q827">
            <v>6386.5826616499999</v>
          </cell>
          <cell r="R827">
            <v>6252.2002570831219</v>
          </cell>
          <cell r="S827">
            <v>6247.28973800328</v>
          </cell>
          <cell r="T827">
            <v>6242.3509425177363</v>
          </cell>
        </row>
        <row r="828">
          <cell r="I828">
            <v>22.7636</v>
          </cell>
          <cell r="J828">
            <v>0</v>
          </cell>
          <cell r="K828">
            <v>0</v>
          </cell>
          <cell r="L828">
            <v>0</v>
          </cell>
          <cell r="M828">
            <v>2.4617800000000001</v>
          </cell>
          <cell r="N828">
            <v>299.98496</v>
          </cell>
          <cell r="O828">
            <v>640.35158999999999</v>
          </cell>
          <cell r="P828">
            <v>561.33695999999998</v>
          </cell>
          <cell r="Q828">
            <v>438.90242951247677</v>
          </cell>
          <cell r="R828">
            <v>416.72836740346389</v>
          </cell>
          <cell r="S828">
            <v>703.9522062473319</v>
          </cell>
          <cell r="T828">
            <v>772.95456003184165</v>
          </cell>
        </row>
        <row r="844">
          <cell r="I844">
            <v>1150.08305</v>
          </cell>
          <cell r="J844">
            <v>1530.6495800000002</v>
          </cell>
          <cell r="K844">
            <v>1520.19524</v>
          </cell>
          <cell r="L844">
            <v>1357.4170400000003</v>
          </cell>
          <cell r="M844">
            <v>1084.8029299999998</v>
          </cell>
          <cell r="N844">
            <v>819.0885199999999</v>
          </cell>
          <cell r="O844">
            <v>584.91877999999997</v>
          </cell>
          <cell r="P844">
            <v>680.30876999999998</v>
          </cell>
          <cell r="Q844">
            <v>690.44700000000012</v>
          </cell>
          <cell r="R844">
            <v>902.64</v>
          </cell>
          <cell r="S844">
            <v>644.11500000000001</v>
          </cell>
          <cell r="T844">
            <v>647.11099999999999</v>
          </cell>
        </row>
        <row r="845">
          <cell r="I845">
            <v>-294.60924</v>
          </cell>
          <cell r="J845">
            <v>-227.03538</v>
          </cell>
          <cell r="K845">
            <v>-221.00411</v>
          </cell>
          <cell r="L845">
            <v>-218.39725000000001</v>
          </cell>
          <cell r="M845">
            <v>-225.58082999999999</v>
          </cell>
          <cell r="N845">
            <v>-238.88967</v>
          </cell>
          <cell r="O845">
            <v>-335.76051000000001</v>
          </cell>
          <cell r="P845">
            <v>-359.21233000000001</v>
          </cell>
          <cell r="Q845">
            <v>-373.12364165687995</v>
          </cell>
          <cell r="R845">
            <v>-290.21876068075403</v>
          </cell>
          <cell r="S845">
            <v>-252.36083943331943</v>
          </cell>
          <cell r="T845">
            <v>-244.58095494711085</v>
          </cell>
        </row>
        <row r="1234">
          <cell r="H1234">
            <v>30000</v>
          </cell>
          <cell r="I1234">
            <v>30000</v>
          </cell>
          <cell r="J1234">
            <v>30000</v>
          </cell>
          <cell r="K1234">
            <v>30000</v>
          </cell>
          <cell r="L1234">
            <v>30000</v>
          </cell>
          <cell r="M1234">
            <v>30000</v>
          </cell>
          <cell r="N1234">
            <v>30000</v>
          </cell>
          <cell r="O1234">
            <v>30000</v>
          </cell>
          <cell r="P1234">
            <v>30000</v>
          </cell>
          <cell r="Q1234">
            <v>30000</v>
          </cell>
          <cell r="R1234">
            <v>30000</v>
          </cell>
          <cell r="S1234">
            <v>30000</v>
          </cell>
          <cell r="T1234">
            <v>30000</v>
          </cell>
        </row>
        <row r="1235">
          <cell r="H1235">
            <v>850156.14318999997</v>
          </cell>
          <cell r="I1235">
            <v>849546.35747000005</v>
          </cell>
          <cell r="J1235">
            <v>848932.96854000003</v>
          </cell>
          <cell r="K1235">
            <v>848315.95636000007</v>
          </cell>
          <cell r="L1235">
            <v>847695.29353000002</v>
          </cell>
          <cell r="M1235">
            <v>847070.97805000003</v>
          </cell>
          <cell r="N1235">
            <v>846443.82805000001</v>
          </cell>
          <cell r="O1235">
            <v>845811.25214999996</v>
          </cell>
          <cell r="P1235">
            <v>845175.80599000002</v>
          </cell>
          <cell r="Q1235">
            <v>1049194.1539811501</v>
          </cell>
          <cell r="R1235">
            <v>1048354.3865577332</v>
          </cell>
          <cell r="S1235">
            <v>1047509.7086152364</v>
          </cell>
          <cell r="T1235">
            <v>1046660.0918772542</v>
          </cell>
        </row>
        <row r="1236">
          <cell r="H1236">
            <v>15575.28822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20997.538329999999</v>
          </cell>
          <cell r="N1236">
            <v>204259.21163000001</v>
          </cell>
          <cell r="O1236">
            <v>159776.32183999999</v>
          </cell>
          <cell r="P1236">
            <v>220461.17185000001</v>
          </cell>
          <cell r="Q1236">
            <v>56740.362578932662</v>
          </cell>
          <cell r="R1236">
            <v>206200.15422823024</v>
          </cell>
          <cell r="S1236">
            <v>238144.89237505978</v>
          </cell>
          <cell r="T1236">
            <v>250036.93501347187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H"/>
      <sheetName val="Total Subs"/>
      <sheetName val="PGH I"/>
      <sheetName val="Oneida"/>
      <sheetName val="PGHII"/>
      <sheetName val="PGDC-PGBBW"/>
      <sheetName val="Enron Microclimate"/>
      <sheetName val="PGO"/>
      <sheetName val="Portland Energy Solution"/>
      <sheetName val="Sheet1"/>
    </sheetNames>
    <sheetDataSet>
      <sheetData sheetId="0"/>
      <sheetData sheetId="1">
        <row r="23">
          <cell r="C23">
            <v>305710</v>
          </cell>
          <cell r="D23">
            <v>-2226646</v>
          </cell>
          <cell r="E23">
            <v>-1484050</v>
          </cell>
          <cell r="F23">
            <v>-725707</v>
          </cell>
          <cell r="G23">
            <v>-616800</v>
          </cell>
          <cell r="H23">
            <v>-534533</v>
          </cell>
          <cell r="I23">
            <v>-614767</v>
          </cell>
          <cell r="J23">
            <v>-918185.5</v>
          </cell>
          <cell r="K23">
            <v>-881185.5</v>
          </cell>
          <cell r="L23">
            <v>-918185.5</v>
          </cell>
          <cell r="M23">
            <v>-881185.5</v>
          </cell>
          <cell r="N23">
            <v>-918185.5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G Revised"/>
      <sheetName val="PGG"/>
      <sheetName val="PGE"/>
      <sheetName val="PGH Total"/>
      <sheetName val="PVC"/>
      <sheetName val="Overview"/>
    </sheetNames>
    <sheetDataSet>
      <sheetData sheetId="0"/>
      <sheetData sheetId="1">
        <row r="7">
          <cell r="D7">
            <v>247.99174244999998</v>
          </cell>
          <cell r="F7">
            <v>250.54183526999998</v>
          </cell>
          <cell r="H7">
            <v>268.63642873000003</v>
          </cell>
          <cell r="J7">
            <v>301.53229475000006</v>
          </cell>
          <cell r="L7">
            <v>271.30355532999999</v>
          </cell>
          <cell r="N7">
            <v>258.07226188999999</v>
          </cell>
          <cell r="P7">
            <v>287.10288034000001</v>
          </cell>
          <cell r="R7">
            <v>268.58196512999996</v>
          </cell>
          <cell r="T7">
            <v>270.63683299999997</v>
          </cell>
          <cell r="V7">
            <v>209.652413</v>
          </cell>
          <cell r="X7">
            <v>199.22203600000003</v>
          </cell>
          <cell r="Z7">
            <v>207.13093600000002</v>
          </cell>
        </row>
        <row r="9">
          <cell r="D9">
            <v>237.79629387999998</v>
          </cell>
          <cell r="F9">
            <v>163.51403427999998</v>
          </cell>
          <cell r="H9">
            <v>181.08173299999999</v>
          </cell>
          <cell r="J9">
            <v>218.36506130999999</v>
          </cell>
          <cell r="L9">
            <v>217.22743214000002</v>
          </cell>
          <cell r="N9">
            <v>189.22136351</v>
          </cell>
          <cell r="P9">
            <v>290.66893007999994</v>
          </cell>
          <cell r="R9">
            <v>268.20000000000005</v>
          </cell>
          <cell r="T9">
            <v>250.4</v>
          </cell>
          <cell r="V9">
            <v>127.1</v>
          </cell>
          <cell r="X9">
            <v>121.60000000000001</v>
          </cell>
          <cell r="Z9">
            <v>133.70000000000002</v>
          </cell>
        </row>
        <row r="14">
          <cell r="D14">
            <v>18.736848690000006</v>
          </cell>
          <cell r="F14">
            <v>18.531796779999997</v>
          </cell>
          <cell r="H14">
            <v>12.633911720000002</v>
          </cell>
          <cell r="J14">
            <v>19.45261288999999</v>
          </cell>
          <cell r="L14">
            <v>30.50135247</v>
          </cell>
          <cell r="N14">
            <v>26.241947360000001</v>
          </cell>
          <cell r="P14">
            <v>22.978628</v>
          </cell>
          <cell r="R14">
            <v>22.631431583333331</v>
          </cell>
          <cell r="T14">
            <v>-1.025688666666678</v>
          </cell>
          <cell r="V14">
            <v>26.378914333333327</v>
          </cell>
          <cell r="X14">
            <v>27.254347333333335</v>
          </cell>
          <cell r="Z14">
            <v>26.974148333333332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</row>
        <row r="19">
          <cell r="D19">
            <v>15.361156970000001</v>
          </cell>
          <cell r="F19">
            <v>13.666421040000001</v>
          </cell>
          <cell r="H19">
            <v>12.45771878</v>
          </cell>
          <cell r="J19">
            <v>22.372848419999997</v>
          </cell>
          <cell r="L19">
            <v>8.8257883800000005</v>
          </cell>
          <cell r="N19">
            <v>13.585048110000001</v>
          </cell>
          <cell r="P19">
            <v>8.258586300000001</v>
          </cell>
          <cell r="R19">
            <v>-40.907605480000001</v>
          </cell>
          <cell r="T19">
            <v>-11.053464499999997</v>
          </cell>
          <cell r="V19">
            <v>14.5690925</v>
          </cell>
          <cell r="X19">
            <v>14.601862499999999</v>
          </cell>
          <cell r="Z19">
            <v>14.637056500000002</v>
          </cell>
        </row>
        <row r="20">
          <cell r="D20">
            <v>3.258648</v>
          </cell>
          <cell r="F20">
            <v>3.258648</v>
          </cell>
          <cell r="H20">
            <v>3.258648</v>
          </cell>
          <cell r="J20">
            <v>3.258648</v>
          </cell>
          <cell r="L20">
            <v>3.2586279999999999</v>
          </cell>
          <cell r="N20">
            <v>3.258648</v>
          </cell>
          <cell r="P20">
            <v>3.258648</v>
          </cell>
          <cell r="R20">
            <v>3.258648</v>
          </cell>
          <cell r="T20">
            <v>-1.9472370000000001</v>
          </cell>
          <cell r="V20">
            <v>1.523353</v>
          </cell>
          <cell r="X20">
            <v>1.523353</v>
          </cell>
          <cell r="Z20">
            <v>1.523353</v>
          </cell>
        </row>
        <row r="21">
          <cell r="D21">
            <v>6.0782530699999988</v>
          </cell>
          <cell r="F21">
            <v>6.5743494999999994</v>
          </cell>
          <cell r="H21">
            <v>4.1953382199999991</v>
          </cell>
          <cell r="J21">
            <v>5.2580506199999997</v>
          </cell>
          <cell r="L21">
            <v>5.1352605599999999</v>
          </cell>
          <cell r="N21">
            <v>6.9980563399999998</v>
          </cell>
          <cell r="P21">
            <v>5.5001692799999997</v>
          </cell>
          <cell r="R21">
            <v>4.75549088</v>
          </cell>
          <cell r="T21">
            <v>5.4309455</v>
          </cell>
          <cell r="V21">
            <v>5.4332444999999998</v>
          </cell>
          <cell r="X21">
            <v>5.3708354999999992</v>
          </cell>
          <cell r="Z21">
            <v>5.7675454999999998</v>
          </cell>
        </row>
        <row r="30">
          <cell r="Z30">
            <v>-8.4669999999999987</v>
          </cell>
        </row>
        <row r="31">
          <cell r="D31">
            <v>6.4388022499999993</v>
          </cell>
          <cell r="F31">
            <v>-7.5428625499999997</v>
          </cell>
          <cell r="H31">
            <v>-5.7953716600000007</v>
          </cell>
          <cell r="J31">
            <v>7.9344644299999985</v>
          </cell>
          <cell r="L31">
            <v>1.7858245300000002</v>
          </cell>
          <cell r="N31">
            <v>-2.8694335399999997</v>
          </cell>
          <cell r="P31">
            <v>0.12672286999999982</v>
          </cell>
          <cell r="R31">
            <v>-2.2150288233333342</v>
          </cell>
          <cell r="T31">
            <v>3.4187199966666668</v>
          </cell>
          <cell r="V31">
            <v>0.89515999666666679</v>
          </cell>
          <cell r="X31">
            <v>1.3976519966666667</v>
          </cell>
          <cell r="Z31">
            <v>-8.6794400033333332</v>
          </cell>
        </row>
        <row r="37">
          <cell r="D37">
            <v>6.0612772700000006</v>
          </cell>
          <cell r="F37">
            <v>6.6843461999999993</v>
          </cell>
          <cell r="H37">
            <v>6.6799542399999998</v>
          </cell>
          <cell r="J37">
            <v>6.31339089</v>
          </cell>
          <cell r="L37">
            <v>6.0285573399999999</v>
          </cell>
          <cell r="N37">
            <v>5.9936550700000009</v>
          </cell>
          <cell r="P37">
            <v>6.0849810200000007</v>
          </cell>
          <cell r="R37">
            <v>5.9968484699999998</v>
          </cell>
          <cell r="T37">
            <v>8.7981090911624769</v>
          </cell>
          <cell r="V37">
            <v>7.9858836244865881</v>
          </cell>
          <cell r="X37">
            <v>7.0096719442506119</v>
          </cell>
          <cell r="Z37">
            <v>6.9267315025495781</v>
          </cell>
        </row>
        <row r="38">
          <cell r="P38">
            <v>0</v>
          </cell>
        </row>
        <row r="39">
          <cell r="D39">
            <v>-0.62429000000000001</v>
          </cell>
          <cell r="F39">
            <v>-3.1566460000000003</v>
          </cell>
          <cell r="H39">
            <v>-2.33405</v>
          </cell>
          <cell r="J39">
            <v>-1.655707</v>
          </cell>
          <cell r="L39">
            <v>-1.4767999999999999</v>
          </cell>
          <cell r="N39">
            <v>-1.3875329999999999</v>
          </cell>
          <cell r="P39">
            <v>-1.544767</v>
          </cell>
          <cell r="R39">
            <v>-1.8481855</v>
          </cell>
          <cell r="T39">
            <v>-1.8111855000000001</v>
          </cell>
          <cell r="V39">
            <v>-1.8481855</v>
          </cell>
          <cell r="X39">
            <v>-1.8111855000000001</v>
          </cell>
          <cell r="Z39">
            <v>-1.8481855</v>
          </cell>
        </row>
        <row r="40">
          <cell r="D40">
            <v>-0.29050682</v>
          </cell>
          <cell r="F40">
            <v>-0.45731756000000001</v>
          </cell>
          <cell r="H40">
            <v>-0.49167721999999997</v>
          </cell>
          <cell r="J40">
            <v>-0.19368554999999998</v>
          </cell>
          <cell r="L40">
            <v>-0.22558082999999998</v>
          </cell>
          <cell r="N40">
            <v>-0.23888967</v>
          </cell>
          <cell r="P40">
            <v>-0.33576051000000001</v>
          </cell>
          <cell r="R40">
            <v>-0.35921233000000002</v>
          </cell>
          <cell r="T40">
            <v>-0.37312364165687995</v>
          </cell>
          <cell r="V40">
            <v>-0.29021876068075403</v>
          </cell>
          <cell r="X40">
            <v>-0.25236083943331944</v>
          </cell>
          <cell r="Z40">
            <v>-0.24458095494711085</v>
          </cell>
        </row>
        <row r="53">
          <cell r="D53">
            <v>-8.2780427972499986</v>
          </cell>
          <cell r="F53">
            <v>12.068603</v>
          </cell>
          <cell r="H53">
            <v>17.232688229999994</v>
          </cell>
          <cell r="J53">
            <v>14.955557480874997</v>
          </cell>
          <cell r="L53">
            <v>1.1008449999999999</v>
          </cell>
          <cell r="N53">
            <v>1.2315548200000004</v>
          </cell>
          <cell r="P53">
            <v>-11.673207999999999</v>
          </cell>
          <cell r="R53">
            <v>-7.8677474499999986</v>
          </cell>
          <cell r="T53">
            <v>17.711884239457071</v>
          </cell>
          <cell r="V53">
            <v>9.8745111151513676</v>
          </cell>
          <cell r="X53">
            <v>9.0470393913423255</v>
          </cell>
          <cell r="Z53">
            <v>5.5301317373427334</v>
          </cell>
        </row>
        <row r="54">
          <cell r="D54">
            <v>-4.959163450000001</v>
          </cell>
          <cell r="F54">
            <v>5.3793805950000007</v>
          </cell>
          <cell r="H54">
            <v>3.9988986900000008</v>
          </cell>
          <cell r="J54">
            <v>-0.87977060499999893</v>
          </cell>
          <cell r="L54">
            <v>1.8476765550000003</v>
          </cell>
          <cell r="N54">
            <v>5.6620847799999998</v>
          </cell>
          <cell r="P54">
            <v>-7.135148120000002</v>
          </cell>
          <cell r="R54">
            <v>11.266916400000001</v>
          </cell>
          <cell r="T54">
            <v>-18.306535499315199</v>
          </cell>
          <cell r="V54">
            <v>2.523567649444991</v>
          </cell>
          <cell r="X54">
            <v>1.0880557194420484</v>
          </cell>
          <cell r="Z54">
            <v>-2.7027330695776155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QtrComp_vs_Plan"/>
      <sheetName val="QtrComp_vs_PY"/>
      <sheetName val="FinancingExpense"/>
      <sheetName val="PRMA"/>
      <sheetName val="Prepay_Exp"/>
      <sheetName val="Merchant"/>
      <sheetName val="EquityAffiliates"/>
      <sheetName val="OtherFundsFlow"/>
      <sheetName val="CapEx"/>
      <sheetName val="Investing"/>
      <sheetName val="FundsFlow"/>
      <sheetName val="CashCorpCE"/>
      <sheetName val="CashCorpPlan"/>
      <sheetName val="AssetSales"/>
      <sheetName val="MajAssump"/>
    </sheetNames>
    <sheetDataSet>
      <sheetData sheetId="0">
        <row r="1">
          <cell r="A1" t="str">
            <v>PORTLAND GENERAL 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G10">
            <v>87.7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47"/>
  <sheetViews>
    <sheetView zoomScale="85" workbookViewId="0">
      <pane xSplit="3" ySplit="6" topLeftCell="S82" activePane="bottomRight" state="frozen"/>
      <selection activeCell="E14" sqref="E14"/>
      <selection pane="topRight" activeCell="E14" sqref="E14"/>
      <selection pane="bottomLeft" activeCell="E14" sqref="E14"/>
      <selection pane="bottomRight" activeCell="AC107" sqref="AC107"/>
    </sheetView>
  </sheetViews>
  <sheetFormatPr defaultRowHeight="13.2"/>
  <cols>
    <col min="1" max="2" width="2.44140625" style="184" customWidth="1"/>
    <col min="3" max="3" width="47.33203125" style="184" customWidth="1"/>
    <col min="4" max="4" width="9.33203125" style="184" customWidth="1"/>
    <col min="5" max="5" width="1.5546875" style="184" customWidth="1"/>
    <col min="6" max="6" width="9.33203125" style="184" customWidth="1"/>
    <col min="7" max="7" width="1.5546875" style="184" customWidth="1"/>
    <col min="8" max="8" width="9.33203125" style="184" customWidth="1"/>
    <col min="9" max="9" width="1.5546875" style="184" customWidth="1"/>
    <col min="10" max="10" width="9.33203125" style="184" customWidth="1"/>
    <col min="11" max="11" width="1.5546875" style="184" customWidth="1"/>
    <col min="12" max="12" width="9.33203125" style="184" customWidth="1"/>
    <col min="13" max="13" width="1.5546875" style="184" customWidth="1"/>
    <col min="14" max="14" width="9.33203125" style="184" customWidth="1"/>
    <col min="15" max="15" width="1.44140625" style="184" customWidth="1"/>
    <col min="16" max="16" width="9.33203125" style="184" customWidth="1"/>
    <col min="17" max="17" width="1.44140625" style="184" customWidth="1"/>
    <col min="18" max="18" width="9.33203125" style="184" customWidth="1"/>
    <col min="19" max="19" width="1.5546875" style="184" customWidth="1"/>
    <col min="20" max="20" width="9.33203125" style="184" customWidth="1"/>
    <col min="21" max="21" width="1.5546875" style="184" customWidth="1"/>
    <col min="22" max="22" width="9.33203125" style="184" customWidth="1"/>
    <col min="23" max="23" width="1.5546875" style="184" customWidth="1"/>
    <col min="24" max="24" width="9.33203125" style="184" customWidth="1"/>
    <col min="25" max="25" width="1.5546875" style="184" customWidth="1"/>
    <col min="26" max="26" width="9.33203125" style="184" customWidth="1"/>
    <col min="27" max="27" width="1.5546875" style="184" customWidth="1"/>
    <col min="28" max="28" width="9.33203125" style="184" customWidth="1"/>
  </cols>
  <sheetData>
    <row r="1" spans="1:28" s="174" customFormat="1" ht="15.6">
      <c r="A1" s="173" t="s">
        <v>237</v>
      </c>
      <c r="T1" s="175"/>
      <c r="U1" s="175"/>
      <c r="V1" s="175"/>
      <c r="W1" s="175"/>
      <c r="X1" s="175"/>
      <c r="Y1" s="175"/>
      <c r="Z1" s="175"/>
      <c r="AA1" s="175"/>
      <c r="AB1" s="176" t="str">
        <f ca="1">CELL("FILENAME",A1)</f>
        <v>G:\MRO\MRO\Aug01\[3rd quarter curr est.xls]Format</v>
      </c>
    </row>
    <row r="2" spans="1:28" s="174" customFormat="1" ht="15.6">
      <c r="A2" s="177" t="s">
        <v>326</v>
      </c>
      <c r="T2" s="178"/>
      <c r="U2" s="178"/>
      <c r="V2" s="178"/>
      <c r="W2" s="178"/>
      <c r="X2" s="178"/>
      <c r="Y2" s="178"/>
      <c r="Z2" s="178"/>
      <c r="AA2" s="178"/>
      <c r="AB2" s="179">
        <f ca="1">NOW()</f>
        <v>37151.667196180555</v>
      </c>
    </row>
    <row r="3" spans="1:28" s="174" customFormat="1" ht="15.6">
      <c r="A3" s="180" t="s">
        <v>108</v>
      </c>
      <c r="T3" s="181"/>
      <c r="U3" s="181"/>
      <c r="V3" s="181"/>
      <c r="W3" s="181"/>
      <c r="X3" s="181"/>
      <c r="Y3" s="181"/>
      <c r="Z3" s="181"/>
      <c r="AA3" s="181"/>
      <c r="AB3" s="182">
        <f ca="1">NOW()</f>
        <v>37151.667196180555</v>
      </c>
    </row>
    <row r="4" spans="1:28" s="184" customFormat="1">
      <c r="A4" s="183" t="s">
        <v>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s="184" customFormat="1" ht="11.1" customHeight="1">
      <c r="D5" s="185" t="s">
        <v>109</v>
      </c>
      <c r="E5" s="186"/>
      <c r="F5" s="185" t="s">
        <v>110</v>
      </c>
      <c r="G5" s="186"/>
      <c r="H5" s="185" t="s">
        <v>111</v>
      </c>
      <c r="I5" s="187"/>
      <c r="J5" s="185" t="s">
        <v>112</v>
      </c>
      <c r="K5" s="187"/>
      <c r="L5" s="185" t="s">
        <v>113</v>
      </c>
      <c r="M5" s="189"/>
      <c r="N5" s="188" t="s">
        <v>114</v>
      </c>
      <c r="O5" s="189"/>
      <c r="P5" s="188" t="s">
        <v>115</v>
      </c>
      <c r="Q5" s="189"/>
      <c r="R5" s="188" t="s">
        <v>116</v>
      </c>
      <c r="S5" s="189"/>
      <c r="T5" s="188" t="s">
        <v>117</v>
      </c>
      <c r="U5" s="189"/>
      <c r="V5" s="188" t="s">
        <v>118</v>
      </c>
      <c r="W5" s="189"/>
      <c r="X5" s="188" t="s">
        <v>119</v>
      </c>
      <c r="Y5" s="189"/>
      <c r="Z5" s="188" t="s">
        <v>120</v>
      </c>
      <c r="AB5" s="190" t="s">
        <v>121</v>
      </c>
    </row>
    <row r="6" spans="1:28" s="184" customFormat="1" ht="9.9" customHeight="1">
      <c r="AB6" s="184" t="s">
        <v>57</v>
      </c>
    </row>
    <row r="7" spans="1:28" s="192" customFormat="1" ht="11.1" customHeight="1">
      <c r="A7" s="191" t="s">
        <v>122</v>
      </c>
      <c r="D7" s="193">
        <f>[6]PGG!D7</f>
        <v>247.99174244999998</v>
      </c>
      <c r="F7" s="193">
        <f>[6]PGG!F7</f>
        <v>250.54183526999998</v>
      </c>
      <c r="H7" s="193">
        <f>[6]PGG!H7</f>
        <v>268.63642873000003</v>
      </c>
      <c r="J7" s="193">
        <f>[6]PGG!J7</f>
        <v>301.53229475000006</v>
      </c>
      <c r="L7" s="193">
        <f>[6]PGG!L7</f>
        <v>271.30355532999999</v>
      </c>
      <c r="N7" s="193">
        <f>[6]PGG!N7</f>
        <v>258.07226188999999</v>
      </c>
      <c r="P7" s="193">
        <f>[6]PGG!P7</f>
        <v>287.10288034000001</v>
      </c>
      <c r="R7" s="193">
        <f>[6]PGG!R7</f>
        <v>268.58196512999996</v>
      </c>
      <c r="T7" s="193">
        <f>[6]PGG!T7</f>
        <v>270.63683299999997</v>
      </c>
      <c r="V7" s="193">
        <f>[6]PGG!V7</f>
        <v>209.652413</v>
      </c>
      <c r="X7" s="193">
        <f>[6]PGG!X7</f>
        <v>199.22203600000003</v>
      </c>
      <c r="Z7" s="193">
        <f>[6]PGG!Z7</f>
        <v>207.13093600000002</v>
      </c>
      <c r="AB7" s="191">
        <f>SUM(D7:Z7)</f>
        <v>3040.4051818899998</v>
      </c>
    </row>
    <row r="8" spans="1:28" s="192" customFormat="1" ht="3.9" customHeight="1"/>
    <row r="9" spans="1:28" s="192" customFormat="1" ht="11.1" customHeight="1">
      <c r="A9" s="191" t="s">
        <v>123</v>
      </c>
      <c r="D9" s="194">
        <f>[6]PGG!D9</f>
        <v>237.79629387999998</v>
      </c>
      <c r="F9" s="194">
        <f>[6]PGG!F9</f>
        <v>163.51403427999998</v>
      </c>
      <c r="H9" s="194">
        <f>[6]PGG!H9</f>
        <v>181.08173299999999</v>
      </c>
      <c r="J9" s="194">
        <f>[6]PGG!J9</f>
        <v>218.36506130999999</v>
      </c>
      <c r="L9" s="194">
        <f>[6]PGG!L9</f>
        <v>217.22743214000002</v>
      </c>
      <c r="N9" s="194">
        <f>[6]PGG!N9</f>
        <v>189.22136351</v>
      </c>
      <c r="P9" s="194">
        <f>[6]PGG!P9</f>
        <v>290.66893007999994</v>
      </c>
      <c r="R9" s="194">
        <f>[6]PGG!R9</f>
        <v>268.20000000000005</v>
      </c>
      <c r="T9" s="194">
        <f>[6]PGG!T9</f>
        <v>250.4</v>
      </c>
      <c r="V9" s="194">
        <f>[6]PGG!V9</f>
        <v>127.1</v>
      </c>
      <c r="X9" s="194">
        <f>[6]PGG!X9</f>
        <v>121.60000000000001</v>
      </c>
      <c r="Z9" s="194">
        <f>[6]PGG!Z9</f>
        <v>133.70000000000002</v>
      </c>
      <c r="AB9" s="298">
        <f>SUM(D9:Z9)</f>
        <v>2398.8748481999996</v>
      </c>
    </row>
    <row r="10" spans="1:28" s="192" customFormat="1" ht="3.9" customHeight="1"/>
    <row r="11" spans="1:28" s="192" customFormat="1" ht="11.1" customHeight="1">
      <c r="A11" s="196" t="s">
        <v>124</v>
      </c>
      <c r="B11" s="197"/>
      <c r="C11" s="197"/>
      <c r="D11" s="196">
        <f>D7-D9</f>
        <v>10.195448569999996</v>
      </c>
      <c r="E11" s="197"/>
      <c r="F11" s="196">
        <f>F7-F9</f>
        <v>87.027800990000003</v>
      </c>
      <c r="G11" s="197"/>
      <c r="H11" s="196">
        <f>H7-H9</f>
        <v>87.554695730000049</v>
      </c>
      <c r="I11" s="197"/>
      <c r="J11" s="196">
        <f>J7-J9</f>
        <v>83.167233440000075</v>
      </c>
      <c r="K11" s="197"/>
      <c r="L11" s="196">
        <f>L7-L9</f>
        <v>54.076123189999976</v>
      </c>
      <c r="M11" s="197"/>
      <c r="N11" s="196">
        <f>N7-N9</f>
        <v>68.85089837999999</v>
      </c>
      <c r="O11" s="197"/>
      <c r="P11" s="196">
        <f>P7-P9</f>
        <v>-3.5660497399999258</v>
      </c>
      <c r="Q11" s="197"/>
      <c r="R11" s="196">
        <f>R7-R9</f>
        <v>0.38196512999991228</v>
      </c>
      <c r="S11" s="197"/>
      <c r="T11" s="196">
        <f>T7-T9</f>
        <v>20.236832999999962</v>
      </c>
      <c r="U11" s="197"/>
      <c r="V11" s="196">
        <f>V7-V9</f>
        <v>82.552413000000001</v>
      </c>
      <c r="W11" s="197"/>
      <c r="X11" s="196">
        <f>X7-X9</f>
        <v>77.622036000000023</v>
      </c>
      <c r="Y11" s="197"/>
      <c r="Z11" s="196">
        <f>Z7-Z9</f>
        <v>73.430936000000003</v>
      </c>
      <c r="AA11" s="197"/>
      <c r="AB11" s="196">
        <f>SUM(D11:Z11)</f>
        <v>641.53033369000002</v>
      </c>
    </row>
    <row r="12" spans="1:28" s="192" customFormat="1" ht="3.9" customHeight="1"/>
    <row r="13" spans="1:28" s="192" customFormat="1" ht="11.1" customHeight="1">
      <c r="A13" s="191" t="s">
        <v>125</v>
      </c>
    </row>
    <row r="14" spans="1:28" s="192" customFormat="1" ht="11.1" customHeight="1">
      <c r="B14" s="191" t="s">
        <v>126</v>
      </c>
      <c r="D14" s="193">
        <f>+[6]PGG!D14</f>
        <v>18.736848690000006</v>
      </c>
      <c r="F14" s="193">
        <f>+[6]PGG!F14</f>
        <v>18.531796779999997</v>
      </c>
      <c r="H14" s="193">
        <f>+[6]PGG!H14</f>
        <v>12.633911720000002</v>
      </c>
      <c r="J14" s="193">
        <f>+[6]PGG!J14</f>
        <v>19.45261288999999</v>
      </c>
      <c r="L14" s="193">
        <f>+[6]PGG!L14</f>
        <v>30.50135247</v>
      </c>
      <c r="N14" s="193">
        <f>+[6]PGG!N14</f>
        <v>26.241947360000001</v>
      </c>
      <c r="P14" s="193">
        <f>+[6]PGG!P14</f>
        <v>22.978628</v>
      </c>
      <c r="R14" s="193">
        <f>+[6]PGG!R14</f>
        <v>22.631431583333331</v>
      </c>
      <c r="T14" s="193">
        <f>+[6]PGG!T14</f>
        <v>-1.025688666666678</v>
      </c>
      <c r="V14" s="193">
        <f>+[6]PGG!V14</f>
        <v>26.378914333333327</v>
      </c>
      <c r="X14" s="193">
        <f>+[6]PGG!X14</f>
        <v>27.254347333333335</v>
      </c>
      <c r="Z14" s="193">
        <f>+[6]PGG!Z14</f>
        <v>26.974148333333332</v>
      </c>
      <c r="AB14" s="191">
        <f t="shared" ref="AB14:AB21" si="0">SUM(D14:Z14)</f>
        <v>251.29025082666664</v>
      </c>
    </row>
    <row r="15" spans="1:28" s="192" customFormat="1" ht="11.1" customHeight="1">
      <c r="B15" s="191" t="s">
        <v>127</v>
      </c>
      <c r="D15" s="193">
        <f>+[6]PGG!D15</f>
        <v>0</v>
      </c>
      <c r="F15" s="193">
        <f>+[6]PGG!F15</f>
        <v>0</v>
      </c>
      <c r="H15" s="193">
        <f>+[6]PGG!H15</f>
        <v>0</v>
      </c>
      <c r="J15" s="193">
        <f>+[6]PGG!J15</f>
        <v>0</v>
      </c>
      <c r="L15" s="193">
        <f>+[6]PGG!L15</f>
        <v>0</v>
      </c>
      <c r="N15" s="193">
        <f>+[6]PGG!N15</f>
        <v>0</v>
      </c>
      <c r="P15" s="193">
        <f>+[6]PGG!P15</f>
        <v>0</v>
      </c>
      <c r="R15" s="193">
        <f>+[6]PGG!R15</f>
        <v>0</v>
      </c>
      <c r="T15" s="193">
        <f>+[6]PGG!T15</f>
        <v>0</v>
      </c>
      <c r="V15" s="193">
        <f>+[6]PGG!V15</f>
        <v>0</v>
      </c>
      <c r="X15" s="193">
        <f>+[6]PGG!X15</f>
        <v>0</v>
      </c>
      <c r="Z15" s="193">
        <f>+[6]PGG!Z15</f>
        <v>0</v>
      </c>
      <c r="AB15" s="191">
        <f t="shared" si="0"/>
        <v>0</v>
      </c>
    </row>
    <row r="16" spans="1:28" s="192" customFormat="1" ht="11.1" customHeight="1">
      <c r="B16" s="191" t="s">
        <v>128</v>
      </c>
      <c r="D16" s="193">
        <f>+[6]PGG!D16</f>
        <v>0</v>
      </c>
      <c r="F16" s="193">
        <f>+[6]PGG!F16</f>
        <v>0</v>
      </c>
      <c r="H16" s="193">
        <f>+[6]PGG!H16</f>
        <v>0</v>
      </c>
      <c r="J16" s="193">
        <f>+[6]PGG!J16</f>
        <v>0</v>
      </c>
      <c r="L16" s="193">
        <f>+[6]PGG!L16</f>
        <v>0</v>
      </c>
      <c r="N16" s="193">
        <f>+[6]PGG!N16</f>
        <v>0</v>
      </c>
      <c r="P16" s="193">
        <f>+[6]PGG!P16</f>
        <v>0</v>
      </c>
      <c r="R16" s="193">
        <f>+[6]PGG!R16</f>
        <v>0</v>
      </c>
      <c r="T16" s="193">
        <f>+[6]PGG!T16</f>
        <v>0</v>
      </c>
      <c r="V16" s="193">
        <f>+[6]PGG!V16</f>
        <v>0</v>
      </c>
      <c r="X16" s="193">
        <f>+[6]PGG!X16</f>
        <v>0</v>
      </c>
      <c r="Z16" s="193">
        <f>+[6]PGG!Z16</f>
        <v>0</v>
      </c>
      <c r="AB16" s="191">
        <f t="shared" si="0"/>
        <v>0</v>
      </c>
    </row>
    <row r="17" spans="1:28" s="159" customFormat="1" ht="11.1" customHeight="1">
      <c r="A17" s="192"/>
      <c r="B17" s="191" t="s">
        <v>129</v>
      </c>
      <c r="C17" s="192"/>
      <c r="D17" s="193">
        <f>+[6]PGG!D17</f>
        <v>0</v>
      </c>
      <c r="E17" s="192"/>
      <c r="F17" s="193">
        <f>+[6]PGG!F17</f>
        <v>0</v>
      </c>
      <c r="G17" s="192"/>
      <c r="H17" s="193">
        <f>+[6]PGG!H17</f>
        <v>0</v>
      </c>
      <c r="I17" s="192"/>
      <c r="J17" s="193">
        <f>+[6]PGG!J17</f>
        <v>0</v>
      </c>
      <c r="K17" s="192"/>
      <c r="L17" s="193">
        <f>+[6]PGG!L17</f>
        <v>0</v>
      </c>
      <c r="M17" s="192"/>
      <c r="N17" s="193">
        <f>+[6]PGG!N17</f>
        <v>0</v>
      </c>
      <c r="O17" s="192"/>
      <c r="P17" s="193">
        <f>+[6]PGG!P17</f>
        <v>0</v>
      </c>
      <c r="Q17" s="192"/>
      <c r="R17" s="193">
        <f>+[6]PGG!R17</f>
        <v>0</v>
      </c>
      <c r="S17" s="192"/>
      <c r="T17" s="193">
        <f>+[6]PGG!T17</f>
        <v>0</v>
      </c>
      <c r="U17" s="192"/>
      <c r="V17" s="193">
        <f>+[6]PGG!V17</f>
        <v>0</v>
      </c>
      <c r="W17" s="192"/>
      <c r="X17" s="193">
        <f>+[6]PGG!X17</f>
        <v>0</v>
      </c>
      <c r="Y17" s="192"/>
      <c r="Z17" s="193">
        <f>+[6]PGG!Z17</f>
        <v>0</v>
      </c>
      <c r="AA17" s="192"/>
      <c r="AB17" s="191">
        <f t="shared" si="0"/>
        <v>0</v>
      </c>
    </row>
    <row r="18" spans="1:28" s="159" customFormat="1" ht="11.1" customHeight="1">
      <c r="A18" s="192"/>
      <c r="B18" s="191" t="s">
        <v>130</v>
      </c>
      <c r="C18" s="192"/>
      <c r="D18" s="193">
        <f>+[6]PGG!D18</f>
        <v>0</v>
      </c>
      <c r="E18" s="192"/>
      <c r="F18" s="193">
        <f>+[6]PGG!F18</f>
        <v>0</v>
      </c>
      <c r="G18" s="192"/>
      <c r="H18" s="193">
        <f>+[6]PGG!H18</f>
        <v>0</v>
      </c>
      <c r="I18" s="192"/>
      <c r="J18" s="193">
        <f>+[6]PGG!J18</f>
        <v>0</v>
      </c>
      <c r="K18" s="192"/>
      <c r="L18" s="193">
        <f>+[6]PGG!L18</f>
        <v>0</v>
      </c>
      <c r="M18" s="192"/>
      <c r="N18" s="193">
        <f>+[6]PGG!N18</f>
        <v>0</v>
      </c>
      <c r="O18" s="192"/>
      <c r="P18" s="193">
        <f>+[6]PGG!P18</f>
        <v>0</v>
      </c>
      <c r="Q18" s="192"/>
      <c r="R18" s="193">
        <f>+[6]PGG!R18</f>
        <v>0</v>
      </c>
      <c r="S18" s="192"/>
      <c r="T18" s="193">
        <f>+[6]PGG!T18</f>
        <v>0</v>
      </c>
      <c r="U18" s="192"/>
      <c r="V18" s="193">
        <f>+[6]PGG!V18</f>
        <v>0</v>
      </c>
      <c r="W18" s="192"/>
      <c r="X18" s="193">
        <f>+[6]PGG!X18</f>
        <v>0</v>
      </c>
      <c r="Y18" s="192"/>
      <c r="Z18" s="193">
        <f>+[6]PGG!Z18</f>
        <v>0</v>
      </c>
      <c r="AA18" s="192"/>
      <c r="AB18" s="191">
        <f t="shared" si="0"/>
        <v>0</v>
      </c>
    </row>
    <row r="19" spans="1:28" s="159" customFormat="1" ht="11.1" customHeight="1">
      <c r="A19" s="192"/>
      <c r="B19" s="191" t="s">
        <v>131</v>
      </c>
      <c r="C19" s="192"/>
      <c r="D19" s="193">
        <f>+[6]PGG!D19</f>
        <v>15.361156970000001</v>
      </c>
      <c r="E19" s="192"/>
      <c r="F19" s="193">
        <f>+[6]PGG!F19</f>
        <v>13.666421040000001</v>
      </c>
      <c r="G19" s="192"/>
      <c r="H19" s="193">
        <f>+[6]PGG!H19</f>
        <v>12.45771878</v>
      </c>
      <c r="I19" s="192"/>
      <c r="J19" s="193">
        <f>+[6]PGG!J19</f>
        <v>22.372848419999997</v>
      </c>
      <c r="K19" s="192"/>
      <c r="L19" s="193">
        <f>+[6]PGG!L19</f>
        <v>8.8257883800000005</v>
      </c>
      <c r="M19" s="192"/>
      <c r="N19" s="193">
        <f>+[6]PGG!N19</f>
        <v>13.585048110000001</v>
      </c>
      <c r="O19" s="192"/>
      <c r="P19" s="193">
        <f>+[6]PGG!P19</f>
        <v>8.258586300000001</v>
      </c>
      <c r="Q19" s="192"/>
      <c r="R19" s="193">
        <f>+[6]PGG!R19</f>
        <v>-40.907605480000001</v>
      </c>
      <c r="S19" s="192"/>
      <c r="T19" s="193">
        <f>+[6]PGG!T19</f>
        <v>-11.053464499999997</v>
      </c>
      <c r="U19" s="192"/>
      <c r="V19" s="193">
        <f>+[6]PGG!V19</f>
        <v>14.5690925</v>
      </c>
      <c r="W19" s="192"/>
      <c r="X19" s="193">
        <f>+[6]PGG!X19</f>
        <v>14.601862499999999</v>
      </c>
      <c r="Y19" s="192"/>
      <c r="Z19" s="193">
        <f>+[6]PGG!Z19</f>
        <v>14.637056500000002</v>
      </c>
      <c r="AA19" s="192"/>
      <c r="AB19" s="191">
        <f t="shared" si="0"/>
        <v>86.374509520000018</v>
      </c>
    </row>
    <row r="20" spans="1:28" s="159" customFormat="1" ht="11.1" customHeight="1">
      <c r="A20" s="192"/>
      <c r="B20" s="191" t="s">
        <v>132</v>
      </c>
      <c r="C20" s="192"/>
      <c r="D20" s="193">
        <f>+[6]PGG!D20</f>
        <v>3.258648</v>
      </c>
      <c r="E20" s="192"/>
      <c r="F20" s="193">
        <f>+[6]PGG!F20</f>
        <v>3.258648</v>
      </c>
      <c r="G20" s="192"/>
      <c r="H20" s="193">
        <f>+[6]PGG!H20</f>
        <v>3.258648</v>
      </c>
      <c r="I20" s="192"/>
      <c r="J20" s="193">
        <f>+[6]PGG!J20</f>
        <v>3.258648</v>
      </c>
      <c r="K20" s="192"/>
      <c r="L20" s="193">
        <f>+[6]PGG!L20</f>
        <v>3.2586279999999999</v>
      </c>
      <c r="M20" s="192"/>
      <c r="N20" s="193">
        <f>+[6]PGG!N20</f>
        <v>3.258648</v>
      </c>
      <c r="O20" s="192"/>
      <c r="P20" s="193">
        <f>+[6]PGG!P20</f>
        <v>3.258648</v>
      </c>
      <c r="Q20" s="192"/>
      <c r="R20" s="193">
        <f>+[6]PGG!R20</f>
        <v>3.258648</v>
      </c>
      <c r="S20" s="192"/>
      <c r="T20" s="193">
        <f>+[6]PGG!T20</f>
        <v>-1.9472370000000001</v>
      </c>
      <c r="U20" s="192"/>
      <c r="V20" s="193">
        <f>+[6]PGG!V20</f>
        <v>1.523353</v>
      </c>
      <c r="W20" s="192"/>
      <c r="X20" s="193">
        <f>+[6]PGG!X20</f>
        <v>1.523353</v>
      </c>
      <c r="Y20" s="192"/>
      <c r="Z20" s="193">
        <f>+[6]PGG!Z20</f>
        <v>1.523353</v>
      </c>
      <c r="AA20" s="192"/>
      <c r="AB20" s="191">
        <f t="shared" si="0"/>
        <v>28.691986</v>
      </c>
    </row>
    <row r="21" spans="1:28" s="159" customFormat="1" ht="11.1" customHeight="1">
      <c r="A21" s="192"/>
      <c r="B21" s="191" t="s">
        <v>133</v>
      </c>
      <c r="C21" s="192"/>
      <c r="D21" s="194">
        <f>+[6]PGG!D21</f>
        <v>6.0782530699999988</v>
      </c>
      <c r="E21" s="192"/>
      <c r="F21" s="194">
        <f>+[6]PGG!F21</f>
        <v>6.5743494999999994</v>
      </c>
      <c r="G21" s="192"/>
      <c r="H21" s="194">
        <f>+[6]PGG!H21</f>
        <v>4.1953382199999991</v>
      </c>
      <c r="I21" s="192"/>
      <c r="J21" s="194">
        <f>+[6]PGG!J21</f>
        <v>5.2580506199999997</v>
      </c>
      <c r="K21" s="192"/>
      <c r="L21" s="194">
        <f>+[6]PGG!L21</f>
        <v>5.1352605599999999</v>
      </c>
      <c r="M21" s="192"/>
      <c r="N21" s="194">
        <f>+[6]PGG!N21</f>
        <v>6.9980563399999998</v>
      </c>
      <c r="O21" s="192"/>
      <c r="P21" s="194">
        <f>+[6]PGG!P21</f>
        <v>5.5001692799999997</v>
      </c>
      <c r="Q21" s="192"/>
      <c r="R21" s="194">
        <f>+[6]PGG!R21</f>
        <v>4.75549088</v>
      </c>
      <c r="S21" s="192"/>
      <c r="T21" s="194">
        <f>+[6]PGG!T21</f>
        <v>5.4309455</v>
      </c>
      <c r="U21" s="192"/>
      <c r="V21" s="194">
        <f>+[6]PGG!V21</f>
        <v>5.4332444999999998</v>
      </c>
      <c r="W21" s="192"/>
      <c r="X21" s="194">
        <f>+[6]PGG!X21</f>
        <v>5.3708354999999992</v>
      </c>
      <c r="Y21" s="192"/>
      <c r="Z21" s="194">
        <f>+[6]PGG!Z21</f>
        <v>5.7675454999999998</v>
      </c>
      <c r="AA21" s="192"/>
      <c r="AB21" s="195">
        <f t="shared" si="0"/>
        <v>66.497539470000007</v>
      </c>
    </row>
    <row r="22" spans="1:28" s="159" customFormat="1" ht="11.1" customHeight="1">
      <c r="A22" s="192"/>
      <c r="B22" s="192"/>
      <c r="C22" s="191" t="s">
        <v>38</v>
      </c>
      <c r="D22" s="195">
        <f>SUM(D14:D21)</f>
        <v>43.434906730000009</v>
      </c>
      <c r="E22" s="192"/>
      <c r="F22" s="195">
        <f>SUM(F14:F21)</f>
        <v>42.031215319999994</v>
      </c>
      <c r="G22" s="192"/>
      <c r="H22" s="195">
        <f>SUM(H14:H21)</f>
        <v>32.545616719999998</v>
      </c>
      <c r="I22" s="192"/>
      <c r="J22" s="195">
        <f>SUM(J14:J21)</f>
        <v>50.342159929999987</v>
      </c>
      <c r="K22" s="192"/>
      <c r="L22" s="195">
        <f>SUM(L14:L21)</f>
        <v>47.72102941</v>
      </c>
      <c r="M22" s="192"/>
      <c r="N22" s="195">
        <f>SUM(N14:N21)</f>
        <v>50.083699809999999</v>
      </c>
      <c r="O22" s="192"/>
      <c r="P22" s="195">
        <f>SUM(P14:P21)</f>
        <v>39.99603158</v>
      </c>
      <c r="Q22" s="192"/>
      <c r="R22" s="195">
        <f>SUM(R14:R21)</f>
        <v>-10.262035016666669</v>
      </c>
      <c r="S22" s="192"/>
      <c r="T22" s="195">
        <f>SUM(T14:T21)</f>
        <v>-8.5954446666666744</v>
      </c>
      <c r="U22" s="192"/>
      <c r="V22" s="195">
        <f>SUM(V14:V21)</f>
        <v>47.904604333333324</v>
      </c>
      <c r="W22" s="192"/>
      <c r="X22" s="195">
        <f>SUM(X14:X21)</f>
        <v>48.750398333333337</v>
      </c>
      <c r="Y22" s="192"/>
      <c r="Z22" s="195">
        <f>SUM(Z14:Z21)</f>
        <v>48.902103333333329</v>
      </c>
      <c r="AA22" s="192"/>
      <c r="AB22" s="195">
        <f>SUM(AB14:AB21)</f>
        <v>432.85428581666662</v>
      </c>
    </row>
    <row r="23" spans="1:28" s="159" customFormat="1" ht="3.9" customHeight="1">
      <c r="A23" s="192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</row>
    <row r="24" spans="1:28" s="159" customFormat="1" ht="11.1" customHeight="1">
      <c r="A24" s="196" t="s">
        <v>134</v>
      </c>
      <c r="B24" s="197"/>
      <c r="C24" s="197"/>
      <c r="D24" s="196">
        <f>D11-D22</f>
        <v>-33.239458160000012</v>
      </c>
      <c r="E24" s="197"/>
      <c r="F24" s="196">
        <f>F11-F22</f>
        <v>44.996585670000009</v>
      </c>
      <c r="G24" s="197"/>
      <c r="H24" s="196">
        <f>H11-H22</f>
        <v>55.00907901000005</v>
      </c>
      <c r="I24" s="197"/>
      <c r="J24" s="196">
        <f>J11-J22</f>
        <v>32.825073510000088</v>
      </c>
      <c r="K24" s="197"/>
      <c r="L24" s="196">
        <f>L11-L22</f>
        <v>6.3550937799999758</v>
      </c>
      <c r="M24" s="197"/>
      <c r="N24" s="196">
        <f>N11-N22</f>
        <v>18.767198569999991</v>
      </c>
      <c r="O24" s="197"/>
      <c r="P24" s="196">
        <f>P11-P22</f>
        <v>-43.562081319999926</v>
      </c>
      <c r="Q24" s="197"/>
      <c r="R24" s="196">
        <f>R11-R22</f>
        <v>10.644000146666581</v>
      </c>
      <c r="S24" s="197"/>
      <c r="T24" s="196">
        <f>T11-T22</f>
        <v>28.832277666666634</v>
      </c>
      <c r="U24" s="197"/>
      <c r="V24" s="196">
        <f>V11-V22</f>
        <v>34.647808666666677</v>
      </c>
      <c r="W24" s="197"/>
      <c r="X24" s="196">
        <f>X11-X22</f>
        <v>28.871637666666686</v>
      </c>
      <c r="Y24" s="197"/>
      <c r="Z24" s="196">
        <f>Z11-Z22</f>
        <v>24.528832666666673</v>
      </c>
      <c r="AA24" s="197"/>
      <c r="AB24" s="196">
        <f>AB11-AB22</f>
        <v>208.6760478733334</v>
      </c>
    </row>
    <row r="25" spans="1:28" s="159" customFormat="1" ht="3.9" customHeight="1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</row>
    <row r="26" spans="1:28" s="159" customFormat="1" ht="11.1" customHeight="1">
      <c r="A26" s="191" t="s">
        <v>135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</row>
    <row r="27" spans="1:28" s="159" customFormat="1" ht="11.1" customHeight="1">
      <c r="A27" s="192"/>
      <c r="B27" s="191" t="s">
        <v>136</v>
      </c>
      <c r="C27" s="192"/>
      <c r="D27" s="193">
        <v>0</v>
      </c>
      <c r="E27" s="192"/>
      <c r="F27" s="193">
        <v>0</v>
      </c>
      <c r="G27" s="192"/>
      <c r="H27" s="193">
        <v>0</v>
      </c>
      <c r="I27" s="192"/>
      <c r="J27" s="193">
        <v>0</v>
      </c>
      <c r="K27" s="192"/>
      <c r="L27" s="193">
        <v>0</v>
      </c>
      <c r="M27" s="192"/>
      <c r="N27" s="193">
        <v>0</v>
      </c>
      <c r="O27" s="192"/>
      <c r="P27" s="193">
        <v>0</v>
      </c>
      <c r="Q27" s="192"/>
      <c r="R27" s="193">
        <v>0</v>
      </c>
      <c r="S27" s="192"/>
      <c r="T27" s="193">
        <v>0</v>
      </c>
      <c r="U27" s="192"/>
      <c r="V27" s="193">
        <v>0</v>
      </c>
      <c r="W27" s="192"/>
      <c r="X27" s="193">
        <v>0</v>
      </c>
      <c r="Y27" s="192"/>
      <c r="Z27" s="193">
        <v>0</v>
      </c>
      <c r="AA27" s="192"/>
      <c r="AB27" s="191">
        <f>SUM(D27:Z27)</f>
        <v>0</v>
      </c>
    </row>
    <row r="28" spans="1:28" s="159" customFormat="1" ht="11.1" customHeight="1">
      <c r="A28" s="192"/>
      <c r="B28" s="198" t="s">
        <v>137</v>
      </c>
      <c r="C28" s="199"/>
      <c r="D28" s="193">
        <v>0</v>
      </c>
      <c r="E28" s="192"/>
      <c r="F28" s="193">
        <v>0</v>
      </c>
      <c r="G28" s="192"/>
      <c r="H28" s="193">
        <v>0</v>
      </c>
      <c r="I28" s="192"/>
      <c r="J28" s="193">
        <v>0</v>
      </c>
      <c r="K28" s="192"/>
      <c r="L28" s="193">
        <v>0</v>
      </c>
      <c r="M28" s="192"/>
      <c r="N28" s="193">
        <v>0</v>
      </c>
      <c r="O28" s="192"/>
      <c r="P28" s="193">
        <v>0</v>
      </c>
      <c r="Q28" s="192"/>
      <c r="R28" s="193">
        <v>0</v>
      </c>
      <c r="S28" s="192"/>
      <c r="T28" s="193">
        <v>0</v>
      </c>
      <c r="U28" s="192"/>
      <c r="V28" s="193">
        <v>0</v>
      </c>
      <c r="W28" s="192"/>
      <c r="X28" s="193">
        <v>0</v>
      </c>
      <c r="Y28" s="192"/>
      <c r="Z28" s="193">
        <v>0</v>
      </c>
      <c r="AA28" s="192"/>
      <c r="AB28" s="191">
        <f>SUM(D28:Z28)</f>
        <v>0</v>
      </c>
    </row>
    <row r="29" spans="1:28" s="159" customFormat="1" ht="11.1" customHeight="1">
      <c r="A29" s="192"/>
      <c r="B29" s="191" t="s">
        <v>138</v>
      </c>
      <c r="C29" s="192"/>
      <c r="D29" s="193">
        <v>1.5117999999999999E-2</v>
      </c>
      <c r="E29" s="192"/>
      <c r="F29" s="193">
        <v>1.201E-2</v>
      </c>
      <c r="G29" s="192"/>
      <c r="H29" s="193">
        <v>1.2943E-2</v>
      </c>
      <c r="I29" s="192"/>
      <c r="J29" s="193">
        <v>1.4773E-2</v>
      </c>
      <c r="K29" s="192"/>
      <c r="L29" s="193">
        <v>2.1446E-2</v>
      </c>
      <c r="M29" s="192"/>
      <c r="N29" s="193">
        <v>8.0544166666666663E-3</v>
      </c>
      <c r="O29" s="192"/>
      <c r="P29" s="193">
        <v>8.0544166666666663E-3</v>
      </c>
      <c r="Q29" s="192"/>
      <c r="R29" s="193">
        <v>8.0544166666666663E-3</v>
      </c>
      <c r="S29" s="192"/>
      <c r="T29" s="193">
        <v>8.0544166666666663E-3</v>
      </c>
      <c r="U29" s="192"/>
      <c r="V29" s="193">
        <v>8.0544166666666663E-3</v>
      </c>
      <c r="W29" s="192"/>
      <c r="X29" s="193">
        <v>8.0544166666666663E-3</v>
      </c>
      <c r="Y29" s="192"/>
      <c r="Z29" s="193">
        <v>0</v>
      </c>
      <c r="AA29" s="192"/>
      <c r="AB29" s="191">
        <f>SUM(D29:Z29)</f>
        <v>0.12461649999999996</v>
      </c>
    </row>
    <row r="30" spans="1:28" s="159" customFormat="1" ht="11.1" customHeight="1">
      <c r="A30" s="192"/>
      <c r="B30" s="191" t="s">
        <v>139</v>
      </c>
      <c r="C30" s="192"/>
      <c r="D30" s="193">
        <v>0</v>
      </c>
      <c r="E30" s="192"/>
      <c r="F30" s="193">
        <v>0</v>
      </c>
      <c r="G30" s="192"/>
      <c r="H30" s="193">
        <v>0</v>
      </c>
      <c r="I30" s="192"/>
      <c r="J30" s="193">
        <v>0</v>
      </c>
      <c r="K30" s="192"/>
      <c r="L30" s="193">
        <v>0</v>
      </c>
      <c r="M30" s="192"/>
      <c r="N30" s="193">
        <v>0</v>
      </c>
      <c r="O30" s="192"/>
      <c r="P30" s="193">
        <v>0</v>
      </c>
      <c r="Q30" s="192"/>
      <c r="R30" s="193">
        <v>0</v>
      </c>
      <c r="S30" s="192"/>
      <c r="T30" s="193">
        <v>0</v>
      </c>
      <c r="U30" s="192"/>
      <c r="V30" s="193">
        <v>0</v>
      </c>
      <c r="W30" s="192"/>
      <c r="X30" s="193">
        <v>0</v>
      </c>
      <c r="Y30" s="192"/>
      <c r="Z30" s="322">
        <f>+[6]PGG!Z30</f>
        <v>-8.4669999999999987</v>
      </c>
      <c r="AA30" s="192"/>
      <c r="AB30" s="191">
        <f>SUM(D30:Z30)</f>
        <v>-8.4669999999999987</v>
      </c>
    </row>
    <row r="31" spans="1:28" s="159" customFormat="1" ht="11.1" customHeight="1">
      <c r="A31" s="192"/>
      <c r="B31" s="191" t="s">
        <v>47</v>
      </c>
      <c r="C31" s="192"/>
      <c r="D31" s="194">
        <f>+[6]PGG!D31</f>
        <v>6.4388022499999993</v>
      </c>
      <c r="E31" s="192"/>
      <c r="F31" s="194">
        <f>+[6]PGG!F31</f>
        <v>-7.5428625499999997</v>
      </c>
      <c r="G31" s="192"/>
      <c r="H31" s="194">
        <f>+[6]PGG!H31</f>
        <v>-5.7953716600000007</v>
      </c>
      <c r="I31" s="192"/>
      <c r="J31" s="194">
        <f>+[6]PGG!J31</f>
        <v>7.9344644299999985</v>
      </c>
      <c r="K31" s="192"/>
      <c r="L31" s="194">
        <f>+[6]PGG!L31</f>
        <v>1.7858245300000002</v>
      </c>
      <c r="M31" s="192"/>
      <c r="N31" s="194">
        <f>+[6]PGG!N31</f>
        <v>-2.8694335399999997</v>
      </c>
      <c r="O31" s="192"/>
      <c r="P31" s="194">
        <f>+[6]PGG!P31</f>
        <v>0.12672286999999982</v>
      </c>
      <c r="Q31" s="192"/>
      <c r="R31" s="194">
        <f>+[6]PGG!R31</f>
        <v>-2.2150288233333342</v>
      </c>
      <c r="S31" s="192"/>
      <c r="T31" s="194">
        <f>+[6]PGG!T31</f>
        <v>3.4187199966666668</v>
      </c>
      <c r="U31" s="192"/>
      <c r="V31" s="194">
        <f>+[6]PGG!V31</f>
        <v>0.89515999666666679</v>
      </c>
      <c r="W31" s="192"/>
      <c r="X31" s="194">
        <f>+[6]PGG!X31</f>
        <v>1.3976519966666667</v>
      </c>
      <c r="Y31" s="192"/>
      <c r="Z31" s="194">
        <f>+[6]PGG!Z31-0.2</f>
        <v>-8.8794400033333325</v>
      </c>
      <c r="AA31" s="192"/>
      <c r="AB31" s="195">
        <f>SUM(D31:Z31)</f>
        <v>-5.3047905066666683</v>
      </c>
    </row>
    <row r="32" spans="1:28" s="159" customFormat="1" ht="11.1" customHeight="1">
      <c r="A32" s="192"/>
      <c r="B32" s="192"/>
      <c r="C32" s="191" t="s">
        <v>38</v>
      </c>
      <c r="D32" s="195">
        <f>SUM(D27:D31)</f>
        <v>6.4539202499999995</v>
      </c>
      <c r="E32" s="192"/>
      <c r="F32" s="195">
        <f>SUM(F27:F31)</f>
        <v>-7.5308525499999996</v>
      </c>
      <c r="G32" s="192"/>
      <c r="H32" s="195">
        <f>SUM(H27:H31)</f>
        <v>-5.7824286600000008</v>
      </c>
      <c r="I32" s="192"/>
      <c r="J32" s="195">
        <f>SUM(J27:J31)</f>
        <v>7.9492374299999984</v>
      </c>
      <c r="K32" s="192"/>
      <c r="L32" s="195">
        <f>SUM(L27:L31)</f>
        <v>1.8072705300000003</v>
      </c>
      <c r="M32" s="192"/>
      <c r="N32" s="195">
        <f>SUM(N27:N31)</f>
        <v>-2.8613791233333332</v>
      </c>
      <c r="O32" s="192"/>
      <c r="P32" s="195">
        <f>SUM(P27:P31)</f>
        <v>0.1347772866666665</v>
      </c>
      <c r="Q32" s="192"/>
      <c r="R32" s="195">
        <f>SUM(R27:R31)</f>
        <v>-2.2069744066666677</v>
      </c>
      <c r="S32" s="192"/>
      <c r="T32" s="195">
        <f>SUM(T27:T31)</f>
        <v>3.4267744133333333</v>
      </c>
      <c r="U32" s="192"/>
      <c r="V32" s="195">
        <f>SUM(V27:V31)</f>
        <v>0.90321441333333341</v>
      </c>
      <c r="W32" s="192"/>
      <c r="X32" s="195">
        <f>SUM(X27:X31)</f>
        <v>1.4057064133333335</v>
      </c>
      <c r="Y32" s="192"/>
      <c r="Z32" s="195">
        <f>SUM(Z27:Z31)</f>
        <v>-17.346440003333331</v>
      </c>
      <c r="AA32" s="192"/>
      <c r="AB32" s="195">
        <f>SUM(AB27:AB31)</f>
        <v>-13.647174006666667</v>
      </c>
    </row>
    <row r="33" spans="1:28" s="159" customFormat="1" ht="3.9" customHeight="1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</row>
    <row r="34" spans="1:28" s="159" customFormat="1" ht="11.1" customHeight="1">
      <c r="A34" s="196" t="s">
        <v>140</v>
      </c>
      <c r="B34" s="197"/>
      <c r="C34" s="197"/>
      <c r="D34" s="196">
        <f>D24+D32</f>
        <v>-26.785537910000013</v>
      </c>
      <c r="E34" s="197"/>
      <c r="F34" s="196">
        <f>F24+F32</f>
        <v>37.46573312000001</v>
      </c>
      <c r="G34" s="197"/>
      <c r="H34" s="196">
        <f>H24+H32</f>
        <v>49.22665035000005</v>
      </c>
      <c r="I34" s="197"/>
      <c r="J34" s="196">
        <f>J24+J32</f>
        <v>40.774310940000085</v>
      </c>
      <c r="K34" s="197"/>
      <c r="L34" s="196">
        <f>L24+L32</f>
        <v>8.1623643099999761</v>
      </c>
      <c r="M34" s="197"/>
      <c r="N34" s="196">
        <f>N24+N32</f>
        <v>15.905819446666658</v>
      </c>
      <c r="O34" s="197"/>
      <c r="P34" s="196">
        <f>P24+P32</f>
        <v>-43.427304033333257</v>
      </c>
      <c r="Q34" s="197"/>
      <c r="R34" s="196">
        <f>R24+R32</f>
        <v>8.437025739999914</v>
      </c>
      <c r="S34" s="197"/>
      <c r="T34" s="196">
        <f>T24+T32</f>
        <v>32.259052079999968</v>
      </c>
      <c r="U34" s="197"/>
      <c r="V34" s="196">
        <f>V24+V32</f>
        <v>35.551023080000007</v>
      </c>
      <c r="W34" s="197"/>
      <c r="X34" s="196">
        <f>X24+X32</f>
        <v>30.27734408000002</v>
      </c>
      <c r="Y34" s="197"/>
      <c r="Z34" s="196">
        <f>Z24+Z32</f>
        <v>7.1823926633333421</v>
      </c>
      <c r="AA34" s="197"/>
      <c r="AB34" s="196">
        <f>AB24+AB32</f>
        <v>195.02887386666674</v>
      </c>
    </row>
    <row r="35" spans="1:28" s="159" customFormat="1" ht="3.9" customHeight="1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</row>
    <row r="36" spans="1:28" s="159" customFormat="1" ht="11.1" customHeight="1">
      <c r="A36" s="191" t="s">
        <v>141</v>
      </c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</row>
    <row r="37" spans="1:28" s="159" customFormat="1" ht="11.1" customHeight="1">
      <c r="A37" s="192"/>
      <c r="B37" s="198" t="s">
        <v>142</v>
      </c>
      <c r="C37" s="200"/>
      <c r="D37" s="193">
        <f>+[6]PGG!D37</f>
        <v>6.0612772700000006</v>
      </c>
      <c r="E37" s="192"/>
      <c r="F37" s="193">
        <f>+[6]PGG!F37</f>
        <v>6.6843461999999993</v>
      </c>
      <c r="G37" s="192"/>
      <c r="H37" s="193">
        <f>+[6]PGG!H37</f>
        <v>6.6799542399999998</v>
      </c>
      <c r="I37" s="192"/>
      <c r="J37" s="193">
        <f>+[6]PGG!J37</f>
        <v>6.31339089</v>
      </c>
      <c r="K37" s="192"/>
      <c r="L37" s="193">
        <f>+[6]PGG!L37</f>
        <v>6.0285573399999999</v>
      </c>
      <c r="M37" s="192"/>
      <c r="N37" s="193">
        <f>+[6]PGG!N37</f>
        <v>5.9936550700000009</v>
      </c>
      <c r="O37" s="192"/>
      <c r="P37" s="193">
        <f>+[6]PGG!P37</f>
        <v>6.0849810200000007</v>
      </c>
      <c r="Q37" s="192"/>
      <c r="R37" s="193">
        <f>+[6]PGG!R37</f>
        <v>5.9968484699999998</v>
      </c>
      <c r="S37" s="192"/>
      <c r="T37" s="193">
        <f>+[6]PGG!T37</f>
        <v>8.7981090911624769</v>
      </c>
      <c r="U37" s="192"/>
      <c r="V37" s="193">
        <f>+[6]PGG!V37</f>
        <v>7.9858836244865881</v>
      </c>
      <c r="W37" s="193">
        <f>+[6]PGG!W37</f>
        <v>0</v>
      </c>
      <c r="X37" s="193">
        <f>+[6]PGG!X37</f>
        <v>7.0096719442506119</v>
      </c>
      <c r="Y37" s="192"/>
      <c r="Z37" s="193">
        <f>+[6]PGG!Z37</f>
        <v>6.9267315025495781</v>
      </c>
      <c r="AA37" s="192"/>
      <c r="AB37" s="191">
        <f>SUM(D37:Z37)</f>
        <v>80.563406662449253</v>
      </c>
    </row>
    <row r="38" spans="1:28" s="159" customFormat="1" ht="11.1" customHeight="1">
      <c r="A38" s="192"/>
      <c r="B38" s="198" t="s">
        <v>204</v>
      </c>
      <c r="C38" s="241"/>
      <c r="D38" s="193">
        <v>0</v>
      </c>
      <c r="E38" s="192"/>
      <c r="F38" s="193">
        <v>0</v>
      </c>
      <c r="G38" s="192"/>
      <c r="H38" s="193">
        <v>0</v>
      </c>
      <c r="I38" s="192"/>
      <c r="J38" s="193">
        <v>0</v>
      </c>
      <c r="K38" s="192"/>
      <c r="L38" s="193">
        <v>0</v>
      </c>
      <c r="M38" s="192"/>
      <c r="N38" s="193">
        <v>0</v>
      </c>
      <c r="O38" s="192"/>
      <c r="P38" s="193">
        <f>+[6]PGG!P38</f>
        <v>0</v>
      </c>
      <c r="Q38" s="192"/>
      <c r="R38" s="193">
        <v>0</v>
      </c>
      <c r="S38" s="192"/>
      <c r="T38" s="193">
        <v>0</v>
      </c>
      <c r="U38" s="192"/>
      <c r="V38" s="193">
        <v>0</v>
      </c>
      <c r="W38" s="192"/>
      <c r="X38" s="193">
        <v>0</v>
      </c>
      <c r="Y38" s="192"/>
      <c r="Z38" s="193">
        <v>0</v>
      </c>
      <c r="AA38" s="192"/>
      <c r="AB38" s="191">
        <f>SUM(D38:Z38)</f>
        <v>0</v>
      </c>
    </row>
    <row r="39" spans="1:28" s="159" customFormat="1" ht="11.1" customHeight="1">
      <c r="A39" s="192"/>
      <c r="B39" s="198" t="s">
        <v>143</v>
      </c>
      <c r="C39" s="200"/>
      <c r="D39" s="193">
        <f>+[6]PGG!D39</f>
        <v>-0.62429000000000001</v>
      </c>
      <c r="E39" s="192"/>
      <c r="F39" s="193">
        <f>+[6]PGG!F39</f>
        <v>-3.1566460000000003</v>
      </c>
      <c r="G39" s="192"/>
      <c r="H39" s="193">
        <f>+[6]PGG!H39</f>
        <v>-2.33405</v>
      </c>
      <c r="I39" s="192"/>
      <c r="J39" s="193">
        <f>+[6]PGG!J39</f>
        <v>-1.655707</v>
      </c>
      <c r="K39" s="192"/>
      <c r="L39" s="193">
        <f>+[6]PGG!L39</f>
        <v>-1.4767999999999999</v>
      </c>
      <c r="M39" s="192"/>
      <c r="N39" s="193">
        <f>+[6]PGG!N39</f>
        <v>-1.3875329999999999</v>
      </c>
      <c r="O39" s="192"/>
      <c r="P39" s="193">
        <f>+[6]PGG!P39</f>
        <v>-1.544767</v>
      </c>
      <c r="Q39" s="192"/>
      <c r="R39" s="193">
        <f>+[6]PGG!R39</f>
        <v>-1.8481855</v>
      </c>
      <c r="S39" s="192"/>
      <c r="T39" s="193">
        <f>+[6]PGG!T39</f>
        <v>-1.8111855000000001</v>
      </c>
      <c r="U39" s="192"/>
      <c r="V39" s="193">
        <f>+[6]PGG!V39</f>
        <v>-1.8481855</v>
      </c>
      <c r="W39" s="192">
        <f>+[6]PGG!W39</f>
        <v>0</v>
      </c>
      <c r="X39" s="193">
        <f>+[6]PGG!X39</f>
        <v>-1.8111855000000001</v>
      </c>
      <c r="Y39" s="192"/>
      <c r="Z39" s="193">
        <f>+[6]PGG!Z39</f>
        <v>-1.8481855</v>
      </c>
      <c r="AA39" s="192"/>
      <c r="AB39" s="191">
        <f>SUM(D39:Z39)</f>
        <v>-21.3467205</v>
      </c>
    </row>
    <row r="40" spans="1:28" s="159" customFormat="1" ht="11.1" customHeight="1">
      <c r="A40" s="192"/>
      <c r="B40" s="191" t="s">
        <v>144</v>
      </c>
      <c r="C40" s="192"/>
      <c r="D40" s="194">
        <f>+[6]PGG!D40</f>
        <v>-0.29050682</v>
      </c>
      <c r="E40" s="192"/>
      <c r="F40" s="194">
        <f>+[6]PGG!F40</f>
        <v>-0.45731756000000001</v>
      </c>
      <c r="G40" s="192"/>
      <c r="H40" s="194">
        <f>+[6]PGG!H40</f>
        <v>-0.49167721999999997</v>
      </c>
      <c r="I40" s="192"/>
      <c r="J40" s="194">
        <f>+[6]PGG!J40</f>
        <v>-0.19368554999999998</v>
      </c>
      <c r="K40" s="192"/>
      <c r="L40" s="194">
        <f>+[6]PGG!L40</f>
        <v>-0.22558082999999998</v>
      </c>
      <c r="M40" s="192"/>
      <c r="N40" s="194">
        <f>+[6]PGG!N40</f>
        <v>-0.23888967</v>
      </c>
      <c r="O40" s="192"/>
      <c r="P40" s="194">
        <f>+[6]PGG!P40</f>
        <v>-0.33576051000000001</v>
      </c>
      <c r="Q40" s="192"/>
      <c r="R40" s="194">
        <f>+[6]PGG!R40</f>
        <v>-0.35921233000000002</v>
      </c>
      <c r="S40" s="192"/>
      <c r="T40" s="194">
        <f>+[6]PGG!T40</f>
        <v>-0.37312364165687995</v>
      </c>
      <c r="U40" s="192"/>
      <c r="V40" s="194">
        <f>+[6]PGG!V40</f>
        <v>-0.29021876068075403</v>
      </c>
      <c r="W40" s="192">
        <f>+[6]PGG!W40</f>
        <v>0</v>
      </c>
      <c r="X40" s="194">
        <f>+[6]PGG!X40</f>
        <v>-0.25236083943331944</v>
      </c>
      <c r="Y40" s="192"/>
      <c r="Z40" s="194">
        <f>+[6]PGG!Z40</f>
        <v>-0.24458095494711085</v>
      </c>
      <c r="AA40" s="192"/>
      <c r="AB40" s="195">
        <f>SUM(D40:Z40)</f>
        <v>-3.7529146867180643</v>
      </c>
    </row>
    <row r="41" spans="1:28" s="159" customFormat="1" ht="11.1" customHeight="1">
      <c r="A41" s="192"/>
      <c r="B41" s="192"/>
      <c r="C41" s="191" t="s">
        <v>38</v>
      </c>
      <c r="D41" s="201">
        <f>SUM(D37:D40)</f>
        <v>5.1464804500000003</v>
      </c>
      <c r="E41" s="192"/>
      <c r="F41" s="201">
        <f>SUM(F37:F40)</f>
        <v>3.0703826399999992</v>
      </c>
      <c r="G41" s="192"/>
      <c r="H41" s="201">
        <f>SUM(H37:H40)</f>
        <v>3.8542270199999993</v>
      </c>
      <c r="I41" s="192"/>
      <c r="J41" s="201">
        <f>SUM(J37:J40)</f>
        <v>4.4639983399999998</v>
      </c>
      <c r="K41" s="192"/>
      <c r="L41" s="201">
        <f>SUM(L37:L40)</f>
        <v>4.3261765099999998</v>
      </c>
      <c r="M41" s="192"/>
      <c r="N41" s="201">
        <f>SUM(N37:N40)</f>
        <v>4.3672324000000016</v>
      </c>
      <c r="O41" s="192"/>
      <c r="P41" s="201">
        <f>SUM(P37:P40)</f>
        <v>4.2044535100000004</v>
      </c>
      <c r="Q41" s="192"/>
      <c r="R41" s="201">
        <f>SUM(R37:R40)</f>
        <v>3.7894506400000001</v>
      </c>
      <c r="S41" s="192"/>
      <c r="T41" s="201">
        <f>SUM(T37:T40)</f>
        <v>6.6137999495055961</v>
      </c>
      <c r="U41" s="192"/>
      <c r="V41" s="201">
        <f>SUM(V37:V40)</f>
        <v>5.8474793638058342</v>
      </c>
      <c r="W41" s="192"/>
      <c r="X41" s="201">
        <f>SUM(X37:X40)</f>
        <v>4.9461256048172926</v>
      </c>
      <c r="Y41" s="192"/>
      <c r="Z41" s="201">
        <f>SUM(Z37:Z40)</f>
        <v>4.8339650476024669</v>
      </c>
      <c r="AA41" s="192"/>
      <c r="AB41" s="201">
        <f>SUM(AB37:AB40)</f>
        <v>55.463771475731185</v>
      </c>
    </row>
    <row r="42" spans="1:28" s="159" customFormat="1" ht="3.9" customHeight="1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</row>
    <row r="43" spans="1:28" s="159" customFormat="1" ht="11.1" customHeight="1">
      <c r="A43" s="192" t="s">
        <v>86</v>
      </c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</row>
    <row r="44" spans="1:28" s="159" customFormat="1" ht="11.1" customHeight="1">
      <c r="A44" s="192"/>
      <c r="B44" s="192" t="s">
        <v>145</v>
      </c>
      <c r="C44" s="192"/>
      <c r="D44" s="202">
        <v>0</v>
      </c>
      <c r="E44" s="192"/>
      <c r="F44" s="202">
        <v>0</v>
      </c>
      <c r="G44" s="192"/>
      <c r="H44" s="202">
        <v>0</v>
      </c>
      <c r="I44" s="192"/>
      <c r="J44" s="202">
        <v>0</v>
      </c>
      <c r="K44" s="192"/>
      <c r="L44" s="202">
        <v>0</v>
      </c>
      <c r="M44" s="192"/>
      <c r="N44" s="202">
        <v>0</v>
      </c>
      <c r="O44" s="192"/>
      <c r="P44" s="202">
        <v>0</v>
      </c>
      <c r="Q44" s="192"/>
      <c r="R44" s="202">
        <v>0</v>
      </c>
      <c r="S44" s="192"/>
      <c r="T44" s="202">
        <v>0</v>
      </c>
      <c r="U44" s="192"/>
      <c r="V44" s="202">
        <v>0</v>
      </c>
      <c r="W44" s="192"/>
      <c r="X44" s="202">
        <v>0</v>
      </c>
      <c r="Y44" s="192"/>
      <c r="Z44" s="202">
        <v>0</v>
      </c>
      <c r="AA44" s="192"/>
      <c r="AB44" s="191">
        <f>SUM(D44:Z44)</f>
        <v>0</v>
      </c>
    </row>
    <row r="45" spans="1:28" s="159" customFormat="1" ht="11.1" customHeight="1">
      <c r="A45" s="192"/>
      <c r="B45" s="192" t="s">
        <v>47</v>
      </c>
      <c r="C45" s="192"/>
      <c r="D45" s="202">
        <v>-11.1</v>
      </c>
      <c r="E45" s="192"/>
      <c r="F45" s="202">
        <v>0.6</v>
      </c>
      <c r="G45" s="192"/>
      <c r="H45" s="202">
        <v>0</v>
      </c>
      <c r="I45" s="192"/>
      <c r="J45" s="202">
        <v>0</v>
      </c>
      <c r="K45" s="192"/>
      <c r="L45" s="202">
        <v>0</v>
      </c>
      <c r="M45" s="192"/>
      <c r="N45" s="202">
        <v>0</v>
      </c>
      <c r="O45" s="192"/>
      <c r="P45" s="202">
        <v>0</v>
      </c>
      <c r="Q45" s="192"/>
      <c r="R45" s="202">
        <v>0</v>
      </c>
      <c r="S45" s="192"/>
      <c r="T45" s="202">
        <v>0</v>
      </c>
      <c r="U45" s="192"/>
      <c r="V45" s="202">
        <v>0</v>
      </c>
      <c r="W45" s="192"/>
      <c r="X45" s="202">
        <v>0</v>
      </c>
      <c r="Y45" s="192"/>
      <c r="Z45" s="202">
        <v>0</v>
      </c>
      <c r="AA45" s="192"/>
      <c r="AB45" s="191">
        <f>SUM(D45:Z45)</f>
        <v>-10.5</v>
      </c>
    </row>
    <row r="46" spans="1:28" s="159" customFormat="1" ht="11.1" customHeight="1">
      <c r="A46" s="192"/>
      <c r="B46" s="192"/>
      <c r="C46" s="191" t="s">
        <v>38</v>
      </c>
      <c r="D46" s="203">
        <f>D44+D45</f>
        <v>-11.1</v>
      </c>
      <c r="E46" s="192"/>
      <c r="F46" s="203">
        <f>F44+F45</f>
        <v>0.6</v>
      </c>
      <c r="G46" s="192"/>
      <c r="H46" s="203">
        <f>H44+H45</f>
        <v>0</v>
      </c>
      <c r="I46" s="192"/>
      <c r="J46" s="203">
        <f>J44+J45</f>
        <v>0</v>
      </c>
      <c r="K46" s="192"/>
      <c r="L46" s="203">
        <f>L44+L45</f>
        <v>0</v>
      </c>
      <c r="M46" s="192"/>
      <c r="N46" s="203">
        <f>N44+N45</f>
        <v>0</v>
      </c>
      <c r="O46" s="192"/>
      <c r="P46" s="203">
        <f>P44+P45</f>
        <v>0</v>
      </c>
      <c r="Q46" s="192"/>
      <c r="R46" s="203">
        <f>R44+R45</f>
        <v>0</v>
      </c>
      <c r="S46" s="192"/>
      <c r="T46" s="203">
        <f>T44+T45</f>
        <v>0</v>
      </c>
      <c r="U46" s="192"/>
      <c r="V46" s="203">
        <f>V44+V45</f>
        <v>0</v>
      </c>
      <c r="W46" s="192"/>
      <c r="X46" s="203">
        <f>X44+X45</f>
        <v>0</v>
      </c>
      <c r="Y46" s="192"/>
      <c r="Z46" s="203">
        <f>Z44+Z45</f>
        <v>0</v>
      </c>
      <c r="AA46" s="192"/>
      <c r="AB46" s="203">
        <f>AB44+AB45</f>
        <v>-10.5</v>
      </c>
    </row>
    <row r="47" spans="1:28" s="159" customFormat="1" ht="3.9" customHeight="1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</row>
    <row r="48" spans="1:28" s="159" customFormat="1" ht="11.1" customHeight="1">
      <c r="A48" s="191" t="s">
        <v>146</v>
      </c>
      <c r="B48" s="192"/>
      <c r="C48" s="192"/>
      <c r="D48" s="194">
        <v>0.19375000000000001</v>
      </c>
      <c r="E48" s="192"/>
      <c r="F48" s="194">
        <v>0.19375000000000001</v>
      </c>
      <c r="G48" s="192"/>
      <c r="H48" s="194">
        <v>0.19375000000000001</v>
      </c>
      <c r="I48" s="192"/>
      <c r="J48" s="194">
        <v>0.19375000000000001</v>
      </c>
      <c r="K48" s="192"/>
      <c r="L48" s="194">
        <v>0.19375000000000001</v>
      </c>
      <c r="M48" s="192"/>
      <c r="N48" s="194">
        <v>0.19375000000000001</v>
      </c>
      <c r="O48" s="192"/>
      <c r="P48" s="194">
        <v>0.19375000000000001</v>
      </c>
      <c r="Q48" s="192"/>
      <c r="R48" s="194">
        <v>0.19375000000000001</v>
      </c>
      <c r="S48" s="192"/>
      <c r="T48" s="194">
        <v>0.19375000000000001</v>
      </c>
      <c r="U48" s="192"/>
      <c r="V48" s="194">
        <v>0.19375000000000001</v>
      </c>
      <c r="W48" s="192"/>
      <c r="X48" s="194">
        <v>0.19375000000000001</v>
      </c>
      <c r="Y48" s="192"/>
      <c r="Z48" s="194">
        <v>0.19375000000000001</v>
      </c>
      <c r="AA48" s="192"/>
      <c r="AB48" s="195">
        <f>SUM(D48:Z48)</f>
        <v>2.3250000000000006</v>
      </c>
    </row>
    <row r="49" spans="1:28" s="159" customFormat="1" ht="3.9" customHeight="1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</row>
    <row r="50" spans="1:28" s="159" customFormat="1" ht="11.1" customHeight="1">
      <c r="A50" s="196" t="s">
        <v>147</v>
      </c>
      <c r="B50" s="197"/>
      <c r="C50" s="197"/>
      <c r="D50" s="196">
        <f>D34-D41-D46-D48</f>
        <v>-21.025768360000015</v>
      </c>
      <c r="E50" s="197"/>
      <c r="F50" s="196">
        <f>F34-F41-F46-F48</f>
        <v>33.601600480000009</v>
      </c>
      <c r="G50" s="197"/>
      <c r="H50" s="196">
        <f>H34-H41-H46-H48</f>
        <v>45.178673330000052</v>
      </c>
      <c r="I50" s="197"/>
      <c r="J50" s="196">
        <f>J34-J41-J46-J48</f>
        <v>36.116562600000087</v>
      </c>
      <c r="K50" s="197"/>
      <c r="L50" s="196">
        <f>L34-L41-L46-L48</f>
        <v>3.6424377999999762</v>
      </c>
      <c r="M50" s="197"/>
      <c r="N50" s="196">
        <f>N34-N41-N46-N48</f>
        <v>11.344837046666656</v>
      </c>
      <c r="O50" s="197"/>
      <c r="P50" s="196">
        <f>P34-P41-P46-P48</f>
        <v>-47.825507543333259</v>
      </c>
      <c r="Q50" s="197"/>
      <c r="R50" s="196">
        <f>R34-R41-R46-R48</f>
        <v>4.4538250999999143</v>
      </c>
      <c r="S50" s="197"/>
      <c r="T50" s="196">
        <f>T34-T41-T46-T48</f>
        <v>25.451502130494369</v>
      </c>
      <c r="U50" s="197"/>
      <c r="V50" s="196">
        <f>V34-V41-V46-V48</f>
        <v>29.509793716194171</v>
      </c>
      <c r="W50" s="197"/>
      <c r="X50" s="196">
        <f>X34-X41-X46-X48</f>
        <v>25.137468475182725</v>
      </c>
      <c r="Y50" s="197"/>
      <c r="Z50" s="196">
        <f>Z34-Z41-Z46-Z48</f>
        <v>2.1546776157308751</v>
      </c>
      <c r="AA50" s="197"/>
      <c r="AB50" s="196">
        <f>AB34-AB41-AB46-AB48</f>
        <v>147.74010239093556</v>
      </c>
    </row>
    <row r="51" spans="1:28" s="159" customFormat="1" ht="3.9" customHeight="1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</row>
    <row r="52" spans="1:28" s="159" customFormat="1" ht="11.1" customHeight="1">
      <c r="A52" s="191" t="s">
        <v>148</v>
      </c>
      <c r="B52" s="197"/>
      <c r="C52" s="197"/>
      <c r="D52" s="197"/>
      <c r="E52" s="197"/>
      <c r="F52" s="197"/>
      <c r="G52" s="192"/>
      <c r="H52" s="197"/>
      <c r="I52" s="192"/>
      <c r="J52" s="197"/>
      <c r="K52" s="192"/>
      <c r="L52" s="197"/>
      <c r="M52" s="192"/>
      <c r="N52" s="197"/>
      <c r="O52" s="192"/>
      <c r="P52" s="197"/>
      <c r="Q52" s="192"/>
      <c r="R52" s="197"/>
      <c r="S52" s="192"/>
      <c r="T52" s="197"/>
      <c r="U52" s="192"/>
      <c r="V52" s="197"/>
      <c r="W52" s="192"/>
      <c r="X52" s="197"/>
      <c r="Y52" s="192"/>
      <c r="Z52" s="197"/>
      <c r="AA52" s="192"/>
      <c r="AB52" s="191"/>
    </row>
    <row r="53" spans="1:28" s="159" customFormat="1" ht="11.1" customHeight="1">
      <c r="A53" s="192"/>
      <c r="B53" s="191" t="s">
        <v>149</v>
      </c>
      <c r="C53" s="192"/>
      <c r="D53" s="193">
        <f>+[6]PGG!D53</f>
        <v>-8.2780427972499986</v>
      </c>
      <c r="E53" s="192"/>
      <c r="F53" s="193">
        <f>+[6]PGG!F53</f>
        <v>12.068603</v>
      </c>
      <c r="G53" s="192"/>
      <c r="H53" s="193">
        <f>+[6]PGG!H53</f>
        <v>17.232688229999994</v>
      </c>
      <c r="I53" s="192"/>
      <c r="J53" s="193">
        <f>+[6]PGG!J53</f>
        <v>14.955557480874997</v>
      </c>
      <c r="K53" s="192"/>
      <c r="L53" s="193">
        <f>+[6]PGG!L53</f>
        <v>1.1008449999999999</v>
      </c>
      <c r="M53" s="192"/>
      <c r="N53" s="193">
        <f>+[6]PGG!N53</f>
        <v>1.2315548200000004</v>
      </c>
      <c r="O53" s="192"/>
      <c r="P53" s="193">
        <f>+[6]PGG!P53</f>
        <v>-11.673207999999999</v>
      </c>
      <c r="Q53" s="192"/>
      <c r="R53" s="193">
        <f>+[6]PGG!R53</f>
        <v>-7.8677474499999986</v>
      </c>
      <c r="S53" s="192"/>
      <c r="T53" s="193">
        <f>+[6]PGG!T53</f>
        <v>17.711884239457071</v>
      </c>
      <c r="U53" s="192"/>
      <c r="V53" s="193">
        <f>+[6]PGG!V53</f>
        <v>9.8745111151513676</v>
      </c>
      <c r="W53" s="192"/>
      <c r="X53" s="193">
        <f>+[6]PGG!X53</f>
        <v>9.0470393913423255</v>
      </c>
      <c r="Y53" s="192"/>
      <c r="Z53" s="193">
        <f>+[6]PGG!Z53-0.2</f>
        <v>5.3301317373427333</v>
      </c>
      <c r="AA53" s="192"/>
      <c r="AB53" s="191">
        <f>SUM(D53:Z53)</f>
        <v>60.733816766918487</v>
      </c>
    </row>
    <row r="54" spans="1:28" s="159" customFormat="1" ht="11.1" customHeight="1">
      <c r="A54" s="192"/>
      <c r="B54" s="191" t="s">
        <v>150</v>
      </c>
      <c r="C54" s="192"/>
      <c r="D54" s="194">
        <f>+[6]PGG!D54</f>
        <v>-4.959163450000001</v>
      </c>
      <c r="E54" s="192"/>
      <c r="F54" s="194">
        <f>+[6]PGG!F54</f>
        <v>5.3793805950000007</v>
      </c>
      <c r="G54" s="192"/>
      <c r="H54" s="194">
        <f>+[6]PGG!H54</f>
        <v>3.9988986900000008</v>
      </c>
      <c r="I54" s="192"/>
      <c r="J54" s="194">
        <f>+[6]PGG!J54</f>
        <v>-0.87977060499999893</v>
      </c>
      <c r="K54" s="192"/>
      <c r="L54" s="194">
        <f>+[6]PGG!L54</f>
        <v>1.8476765550000003</v>
      </c>
      <c r="M54" s="192"/>
      <c r="N54" s="194">
        <f>+[6]PGG!N54</f>
        <v>5.6620847799999998</v>
      </c>
      <c r="O54" s="192"/>
      <c r="P54" s="194">
        <f>+[6]PGG!P54</f>
        <v>-7.135148120000002</v>
      </c>
      <c r="Q54" s="192"/>
      <c r="R54" s="194">
        <f>+[6]PGG!R54</f>
        <v>11.266916400000001</v>
      </c>
      <c r="S54" s="192"/>
      <c r="T54" s="194">
        <f>+[6]PGG!T54</f>
        <v>-18.306535499315199</v>
      </c>
      <c r="U54" s="192"/>
      <c r="V54" s="194">
        <f>+[6]PGG!V54</f>
        <v>2.523567649444991</v>
      </c>
      <c r="W54" s="192"/>
      <c r="X54" s="194">
        <f>+[6]PGG!X54</f>
        <v>1.0880557194420484</v>
      </c>
      <c r="Y54" s="192"/>
      <c r="Z54" s="194">
        <f>+[6]PGG!Z54</f>
        <v>-2.7027330695776155</v>
      </c>
      <c r="AA54" s="192"/>
      <c r="AB54" s="195">
        <f>SUM(D54:Z54)</f>
        <v>-2.2167703550057736</v>
      </c>
    </row>
    <row r="55" spans="1:28" s="159" customFormat="1" ht="11.1" customHeight="1">
      <c r="A55" s="192"/>
      <c r="B55" s="192"/>
      <c r="C55" s="191" t="s">
        <v>38</v>
      </c>
      <c r="D55" s="195">
        <f>SUM(D53:D54)</f>
        <v>-13.237206247250001</v>
      </c>
      <c r="E55" s="192"/>
      <c r="F55" s="195">
        <f>SUM(F53:F54)</f>
        <v>17.447983595</v>
      </c>
      <c r="G55" s="192"/>
      <c r="H55" s="195">
        <f>SUM(H53:H54)</f>
        <v>21.231586919999994</v>
      </c>
      <c r="I55" s="192"/>
      <c r="J55" s="195">
        <f>SUM(J53:J54)</f>
        <v>14.075786875874998</v>
      </c>
      <c r="K55" s="192"/>
      <c r="L55" s="195">
        <f>SUM(L53:L54)</f>
        <v>2.9485215550000001</v>
      </c>
      <c r="M55" s="192"/>
      <c r="N55" s="195">
        <f>SUM(N53:N54)</f>
        <v>6.8936396000000002</v>
      </c>
      <c r="O55" s="192"/>
      <c r="P55" s="195">
        <f>SUM(P53:P54)</f>
        <v>-18.808356119999999</v>
      </c>
      <c r="Q55" s="192"/>
      <c r="R55" s="195">
        <f>SUM(R53:R54)</f>
        <v>3.3991689500000026</v>
      </c>
      <c r="S55" s="192"/>
      <c r="T55" s="195">
        <f>SUM(T53:T54)</f>
        <v>-0.59465125985812861</v>
      </c>
      <c r="U55" s="192"/>
      <c r="V55" s="195">
        <f>SUM(V53:V54)</f>
        <v>12.398078764596359</v>
      </c>
      <c r="W55" s="192"/>
      <c r="X55" s="195">
        <f>SUM(X53:X54)</f>
        <v>10.135095110784373</v>
      </c>
      <c r="Y55" s="192"/>
      <c r="Z55" s="195">
        <f>SUM(Z53:Z54)</f>
        <v>2.6273986677651178</v>
      </c>
      <c r="AA55" s="192"/>
      <c r="AB55" s="195">
        <f>SUM(AB53:AB54)</f>
        <v>58.517046411912716</v>
      </c>
    </row>
    <row r="56" spans="1:28" s="159" customFormat="1" ht="3.9" customHeight="1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</row>
    <row r="57" spans="1:28" s="159" customFormat="1" ht="11.1" customHeight="1" thickBot="1">
      <c r="A57" s="196" t="s">
        <v>178</v>
      </c>
      <c r="B57" s="197"/>
      <c r="C57" s="197"/>
      <c r="D57" s="240">
        <f>D50-D55</f>
        <v>-7.7885621127500144</v>
      </c>
      <c r="E57" s="197"/>
      <c r="F57" s="240">
        <f>F50-F55</f>
        <v>16.153616885000009</v>
      </c>
      <c r="G57" s="197"/>
      <c r="H57" s="240">
        <f>H50-H55</f>
        <v>23.947086410000058</v>
      </c>
      <c r="I57" s="197"/>
      <c r="J57" s="240">
        <f>J50-J55</f>
        <v>22.040775724125091</v>
      </c>
      <c r="K57" s="197"/>
      <c r="L57" s="240">
        <f>L50-L55</f>
        <v>0.69391624499997606</v>
      </c>
      <c r="M57" s="197"/>
      <c r="N57" s="240">
        <f>N50-N55</f>
        <v>4.4511974466666562</v>
      </c>
      <c r="O57" s="197"/>
      <c r="P57" s="240">
        <f>P50-P55</f>
        <v>-29.01715142333326</v>
      </c>
      <c r="Q57" s="197"/>
      <c r="R57" s="240">
        <f>R50-R55</f>
        <v>1.0546561499999116</v>
      </c>
      <c r="S57" s="197"/>
      <c r="T57" s="240">
        <f>T50-T55</f>
        <v>26.046153390352497</v>
      </c>
      <c r="U57" s="197"/>
      <c r="V57" s="240">
        <f>V50-V55</f>
        <v>17.111714951597811</v>
      </c>
      <c r="W57" s="197"/>
      <c r="X57" s="240">
        <f>X50-X55</f>
        <v>15.002373364398352</v>
      </c>
      <c r="Y57" s="197"/>
      <c r="Z57" s="240">
        <f>Z50-Z55</f>
        <v>-0.47272105203424264</v>
      </c>
      <c r="AA57" s="197"/>
      <c r="AB57" s="240">
        <f>AB50-AB55</f>
        <v>89.223055979022845</v>
      </c>
    </row>
    <row r="58" spans="1:28" s="159" customFormat="1" ht="11.1" customHeight="1" thickTop="1">
      <c r="A58" s="196"/>
      <c r="B58" s="197"/>
      <c r="C58" s="197"/>
      <c r="D58" s="324"/>
      <c r="E58" s="197"/>
      <c r="F58" s="324"/>
      <c r="G58" s="197"/>
      <c r="H58" s="325"/>
      <c r="I58" s="197"/>
      <c r="J58" s="324"/>
      <c r="K58" s="197"/>
      <c r="L58" s="324"/>
      <c r="M58" s="197"/>
      <c r="N58" s="325"/>
      <c r="O58" s="197"/>
      <c r="P58" s="324"/>
      <c r="Q58" s="197"/>
      <c r="R58" s="324"/>
      <c r="S58" s="197"/>
      <c r="T58" s="325"/>
      <c r="U58" s="197"/>
      <c r="V58" s="324"/>
      <c r="W58" s="197"/>
      <c r="X58" s="324"/>
      <c r="Y58" s="197"/>
      <c r="Z58" s="325"/>
      <c r="AA58" s="197"/>
      <c r="AB58" s="324"/>
    </row>
    <row r="59" spans="1:28" ht="11.1" customHeight="1">
      <c r="A59"/>
      <c r="B59"/>
      <c r="C59"/>
      <c r="D59"/>
      <c r="E59"/>
      <c r="F59"/>
      <c r="G59"/>
      <c r="H59" s="325"/>
      <c r="I59"/>
      <c r="J59"/>
      <c r="K59"/>
      <c r="L59"/>
      <c r="M59"/>
      <c r="N59" s="325"/>
      <c r="O59"/>
      <c r="P59"/>
      <c r="Q59"/>
      <c r="R59"/>
      <c r="S59"/>
      <c r="T59" s="325"/>
      <c r="U59"/>
      <c r="V59"/>
      <c r="W59"/>
      <c r="X59"/>
      <c r="Y59"/>
      <c r="Z59" s="325"/>
      <c r="AA59"/>
      <c r="AB59"/>
    </row>
    <row r="60" spans="1:28" s="184" customFormat="1" ht="15.6">
      <c r="A60" s="180" t="str">
        <f>A1</f>
        <v>PORTLAND GENERAL GROUP</v>
      </c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5"/>
      <c r="W60" s="175"/>
      <c r="X60" s="175"/>
      <c r="Y60" s="175"/>
      <c r="Z60" s="176"/>
      <c r="AB60" s="176" t="str">
        <f ca="1">CELL("FILENAME",C60)</f>
        <v>G:\MRO\MRO\Aug01\[3rd quarter curr est.xls]Format</v>
      </c>
    </row>
    <row r="61" spans="1:28" s="184" customFormat="1" ht="15.6">
      <c r="A61" s="205" t="str">
        <f>+A2</f>
        <v>2001 CURRENT ESTIMATE - AUGUST</v>
      </c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5"/>
      <c r="W61" s="175"/>
      <c r="X61" s="175"/>
      <c r="Y61" s="175"/>
      <c r="Z61" s="179"/>
      <c r="AB61" s="179">
        <f ca="1">NOW()</f>
        <v>37151.667196180555</v>
      </c>
    </row>
    <row r="62" spans="1:28" s="184" customFormat="1" ht="15.6">
      <c r="A62" s="180" t="s">
        <v>151</v>
      </c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8"/>
      <c r="W62" s="178"/>
      <c r="X62" s="178"/>
      <c r="Y62" s="178"/>
      <c r="Z62" s="206"/>
      <c r="AB62" s="206">
        <f ca="1">NOW()</f>
        <v>37151.667196180555</v>
      </c>
    </row>
    <row r="63" spans="1:28" s="189" customFormat="1" ht="10.199999999999999">
      <c r="D63" s="185" t="s">
        <v>26</v>
      </c>
      <c r="E63" s="204"/>
      <c r="F63" s="207" t="s">
        <v>27</v>
      </c>
      <c r="G63" s="204"/>
      <c r="H63" s="207" t="s">
        <v>28</v>
      </c>
      <c r="I63" s="204"/>
      <c r="J63" s="207" t="s">
        <v>29</v>
      </c>
      <c r="K63" s="204"/>
      <c r="L63" s="188" t="s">
        <v>30</v>
      </c>
      <c r="N63" s="188" t="s">
        <v>31</v>
      </c>
      <c r="P63" s="188" t="s">
        <v>152</v>
      </c>
      <c r="R63" s="188" t="s">
        <v>33</v>
      </c>
      <c r="T63" s="188" t="s">
        <v>153</v>
      </c>
      <c r="V63" s="188" t="s">
        <v>35</v>
      </c>
      <c r="X63" s="190" t="s">
        <v>36</v>
      </c>
      <c r="Z63" s="190" t="s">
        <v>37</v>
      </c>
      <c r="AB63" s="190" t="s">
        <v>121</v>
      </c>
    </row>
    <row r="64" spans="1:28" s="184" customFormat="1" ht="10.199999999999999">
      <c r="A64" s="204" t="s">
        <v>154</v>
      </c>
    </row>
    <row r="65" spans="1:41" s="209" customFormat="1" ht="10.199999999999999">
      <c r="A65" s="208" t="s">
        <v>205</v>
      </c>
      <c r="D65" s="208">
        <f>D57</f>
        <v>-7.7885621127500144</v>
      </c>
      <c r="F65" s="208">
        <f>F57</f>
        <v>16.153616885000009</v>
      </c>
      <c r="H65" s="208">
        <f>H57</f>
        <v>23.947086410000058</v>
      </c>
      <c r="J65" s="208">
        <f>J57</f>
        <v>22.040775724125091</v>
      </c>
      <c r="L65" s="208">
        <f>L57</f>
        <v>0.69391624499997606</v>
      </c>
      <c r="N65" s="208">
        <f>N57</f>
        <v>4.4511974466666562</v>
      </c>
      <c r="P65" s="208">
        <f>P57</f>
        <v>-29.01715142333326</v>
      </c>
      <c r="R65" s="208">
        <f>R57</f>
        <v>1.0546561499999116</v>
      </c>
      <c r="T65" s="208">
        <f>T57</f>
        <v>26.046153390352497</v>
      </c>
      <c r="V65" s="208">
        <f>V57</f>
        <v>17.111714951597811</v>
      </c>
      <c r="X65" s="208">
        <f>X57</f>
        <v>15.002373364398352</v>
      </c>
      <c r="Z65" s="208">
        <f>Z57</f>
        <v>-0.47272105203424264</v>
      </c>
      <c r="AB65" s="208">
        <f t="shared" ref="AB65:AB71" si="1">SUM(D65:Z65)</f>
        <v>89.223055979022831</v>
      </c>
    </row>
    <row r="66" spans="1:41" s="192" customFormat="1" ht="10.199999999999999">
      <c r="A66" s="196" t="s">
        <v>155</v>
      </c>
      <c r="O66" s="209"/>
      <c r="Q66" s="209"/>
    </row>
    <row r="67" spans="1:41" s="192" customFormat="1" ht="10.199999999999999">
      <c r="B67" s="191" t="s">
        <v>131</v>
      </c>
      <c r="D67" s="191">
        <f>D19+D20</f>
        <v>18.619804970000001</v>
      </c>
      <c r="F67" s="191">
        <f>F19+F20</f>
        <v>16.92506904</v>
      </c>
      <c r="H67" s="191">
        <f>H19+H20</f>
        <v>15.716366780000001</v>
      </c>
      <c r="J67" s="191">
        <f>J19+J20</f>
        <v>25.631496419999998</v>
      </c>
      <c r="L67" s="191">
        <f>L19+L20+0.1</f>
        <v>12.18441638</v>
      </c>
      <c r="N67" s="191">
        <f>N19+N20</f>
        <v>16.84369611</v>
      </c>
      <c r="O67" s="209"/>
      <c r="P67" s="191">
        <f>P19+P20</f>
        <v>11.517234300000002</v>
      </c>
      <c r="Q67" s="209"/>
      <c r="R67" s="191">
        <f>R19+R20</f>
        <v>-37.64895748</v>
      </c>
      <c r="T67" s="191">
        <f>T19+T20</f>
        <v>-13.000701499999996</v>
      </c>
      <c r="V67" s="191">
        <f>V19+V20</f>
        <v>16.0924455</v>
      </c>
      <c r="X67" s="191">
        <f>X19+X20</f>
        <v>16.125215499999999</v>
      </c>
      <c r="Z67" s="191">
        <f>Z19+Z20</f>
        <v>16.1604095</v>
      </c>
      <c r="AB67" s="191">
        <f t="shared" si="1"/>
        <v>115.16649552</v>
      </c>
    </row>
    <row r="68" spans="1:41" s="159" customFormat="1">
      <c r="A68" s="192"/>
      <c r="B68" s="191" t="s">
        <v>156</v>
      </c>
      <c r="C68" s="192"/>
      <c r="D68" s="210">
        <f>D54</f>
        <v>-4.959163450000001</v>
      </c>
      <c r="E68" s="192"/>
      <c r="F68" s="210">
        <f>F54</f>
        <v>5.3793805950000007</v>
      </c>
      <c r="G68" s="192"/>
      <c r="H68" s="210">
        <f>H54</f>
        <v>3.9988986900000008</v>
      </c>
      <c r="I68" s="192"/>
      <c r="J68" s="210">
        <f>J54</f>
        <v>-0.87977060499999893</v>
      </c>
      <c r="K68" s="192"/>
      <c r="L68" s="210">
        <f>4.6-SUM(D68:J68)</f>
        <v>1.0606547699999984</v>
      </c>
      <c r="M68" s="192"/>
      <c r="N68" s="210">
        <f>N54</f>
        <v>5.6620847799999998</v>
      </c>
      <c r="O68" s="209"/>
      <c r="P68" s="210">
        <f>P54</f>
        <v>-7.135148120000002</v>
      </c>
      <c r="Q68" s="209"/>
      <c r="R68" s="210">
        <f>R54</f>
        <v>11.266916400000001</v>
      </c>
      <c r="S68" s="192"/>
      <c r="T68" s="210">
        <f>T54</f>
        <v>-18.306535499315199</v>
      </c>
      <c r="U68" s="192"/>
      <c r="V68" s="210">
        <f>V54</f>
        <v>2.523567649444991</v>
      </c>
      <c r="W68" s="192"/>
      <c r="X68" s="210">
        <f>X54</f>
        <v>1.0880557194420484</v>
      </c>
      <c r="Y68" s="192"/>
      <c r="Z68" s="210">
        <f>Z54</f>
        <v>-2.7027330695776155</v>
      </c>
      <c r="AA68" s="192"/>
      <c r="AB68" s="191">
        <f t="shared" si="1"/>
        <v>-3.0037921400057774</v>
      </c>
    </row>
    <row r="69" spans="1:41" s="159" customFormat="1">
      <c r="A69" s="192"/>
      <c r="B69" s="191" t="s">
        <v>74</v>
      </c>
      <c r="C69" s="192"/>
      <c r="D69" s="191">
        <f>-D27</f>
        <v>0</v>
      </c>
      <c r="E69" s="192"/>
      <c r="F69" s="191">
        <f>-F27</f>
        <v>0</v>
      </c>
      <c r="G69" s="192"/>
      <c r="H69" s="191">
        <f>-H27</f>
        <v>0</v>
      </c>
      <c r="I69" s="192"/>
      <c r="J69" s="191">
        <f>-J27</f>
        <v>0</v>
      </c>
      <c r="K69" s="192"/>
      <c r="L69" s="191">
        <f>-L27</f>
        <v>0</v>
      </c>
      <c r="M69" s="192"/>
      <c r="N69" s="191">
        <f>-N27</f>
        <v>0</v>
      </c>
      <c r="O69" s="209"/>
      <c r="P69" s="191">
        <f>-P27</f>
        <v>0</v>
      </c>
      <c r="Q69" s="209"/>
      <c r="R69" s="191">
        <f>-R27</f>
        <v>0</v>
      </c>
      <c r="S69" s="192"/>
      <c r="T69" s="191">
        <f>-T27</f>
        <v>0</v>
      </c>
      <c r="U69" s="192"/>
      <c r="V69" s="191">
        <f>-V27</f>
        <v>0</v>
      </c>
      <c r="W69" s="192"/>
      <c r="X69" s="191">
        <f>-X27</f>
        <v>0</v>
      </c>
      <c r="Y69" s="192"/>
      <c r="Z69" s="191">
        <f>-Z27</f>
        <v>0</v>
      </c>
      <c r="AA69" s="192"/>
      <c r="AB69" s="191">
        <f>SUM(D69:Z69)</f>
        <v>0</v>
      </c>
    </row>
    <row r="70" spans="1:41" s="159" customFormat="1">
      <c r="A70" s="192"/>
      <c r="B70" s="191" t="s">
        <v>158</v>
      </c>
      <c r="C70" s="192"/>
      <c r="D70" s="193">
        <v>0</v>
      </c>
      <c r="E70" s="192"/>
      <c r="F70" s="193">
        <v>0</v>
      </c>
      <c r="G70" s="192"/>
      <c r="H70" s="193">
        <v>0</v>
      </c>
      <c r="I70" s="192"/>
      <c r="J70" s="193">
        <v>0</v>
      </c>
      <c r="K70" s="192"/>
      <c r="L70" s="193">
        <v>-0.1</v>
      </c>
      <c r="M70" s="192"/>
      <c r="N70" s="193">
        <v>0</v>
      </c>
      <c r="O70" s="209"/>
      <c r="P70" s="193">
        <v>0</v>
      </c>
      <c r="Q70" s="209"/>
      <c r="R70" s="193">
        <v>0</v>
      </c>
      <c r="S70" s="192"/>
      <c r="T70" s="193">
        <v>0</v>
      </c>
      <c r="U70" s="192"/>
      <c r="V70" s="193">
        <v>0</v>
      </c>
      <c r="W70" s="192"/>
      <c r="X70" s="193">
        <v>0</v>
      </c>
      <c r="Y70" s="192"/>
      <c r="Z70" s="193">
        <v>8.4670000000000005</v>
      </c>
      <c r="AA70" s="192"/>
      <c r="AB70" s="191">
        <f>SUM(D70:Z70)</f>
        <v>8.3670000000000009</v>
      </c>
    </row>
    <row r="71" spans="1:41" s="159" customFormat="1">
      <c r="A71" s="192"/>
      <c r="B71" s="191" t="s">
        <v>281</v>
      </c>
      <c r="C71" s="192"/>
      <c r="D71" s="193">
        <v>-1.4</v>
      </c>
      <c r="E71" s="192"/>
      <c r="F71" s="193">
        <v>-5.3</v>
      </c>
      <c r="G71" s="192"/>
      <c r="H71" s="193">
        <v>-15.5</v>
      </c>
      <c r="I71" s="192"/>
      <c r="J71" s="193">
        <f>-4.6+1.3</f>
        <v>-3.3</v>
      </c>
      <c r="K71" s="192"/>
      <c r="L71" s="193">
        <f>-22-10.5-SUM(D71:J71)</f>
        <v>-7</v>
      </c>
      <c r="M71" s="192"/>
      <c r="N71" s="193">
        <f>-32.6-10.5-L71-J71-H71-F71-D71</f>
        <v>-10.600000000000003</v>
      </c>
      <c r="O71" s="209"/>
      <c r="P71" s="193">
        <f>4.4+16.3+0.1+6.5</f>
        <v>27.300000000000004</v>
      </c>
      <c r="Q71" s="209"/>
      <c r="R71" s="193">
        <f>3.7+17.2+0.1</f>
        <v>21</v>
      </c>
      <c r="S71" s="192"/>
      <c r="T71" s="193">
        <f>3.7+16.6+0.1</f>
        <v>20.400000000000002</v>
      </c>
      <c r="U71" s="192"/>
      <c r="V71" s="193">
        <f>3.5-4.2+0.1</f>
        <v>-0.6000000000000002</v>
      </c>
      <c r="W71" s="192"/>
      <c r="X71" s="193">
        <f>0.6-3.8</f>
        <v>-3.1999999999999997</v>
      </c>
      <c r="Y71" s="192"/>
      <c r="Z71" s="193">
        <f>0.7-3.8</f>
        <v>-3.0999999999999996</v>
      </c>
      <c r="AA71" s="192"/>
      <c r="AB71" s="191">
        <f t="shared" si="1"/>
        <v>18.700000000000003</v>
      </c>
    </row>
    <row r="72" spans="1:41">
      <c r="B72" s="191" t="s">
        <v>206</v>
      </c>
      <c r="O72" s="209"/>
      <c r="Q72" s="209"/>
    </row>
    <row r="73" spans="1:41">
      <c r="C73" s="184" t="s">
        <v>219</v>
      </c>
      <c r="D73" s="193">
        <v>0</v>
      </c>
      <c r="E73" s="192"/>
      <c r="F73" s="193">
        <v>0</v>
      </c>
      <c r="G73" s="192"/>
      <c r="H73" s="193">
        <v>0</v>
      </c>
      <c r="I73" s="192"/>
      <c r="J73" s="193">
        <v>0</v>
      </c>
      <c r="K73" s="192"/>
      <c r="L73" s="193">
        <v>0</v>
      </c>
      <c r="M73" s="192"/>
      <c r="N73" s="193">
        <v>0</v>
      </c>
      <c r="O73" s="209"/>
      <c r="P73" s="193">
        <v>0</v>
      </c>
      <c r="Q73" s="209"/>
      <c r="R73" s="193">
        <v>0</v>
      </c>
      <c r="S73" s="192"/>
      <c r="T73" s="193">
        <v>0</v>
      </c>
      <c r="U73" s="192"/>
      <c r="V73" s="193">
        <v>0</v>
      </c>
      <c r="W73" s="192"/>
      <c r="X73" s="193">
        <v>0</v>
      </c>
      <c r="Y73" s="192"/>
      <c r="Z73" s="193">
        <v>0</v>
      </c>
      <c r="AA73" s="192"/>
      <c r="AB73" s="191">
        <f>SUM(D73:Z73)</f>
        <v>0</v>
      </c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</row>
    <row r="74" spans="1:41" s="159" customFormat="1">
      <c r="A74" s="192"/>
      <c r="B74" s="191"/>
      <c r="C74" s="184" t="s">
        <v>50</v>
      </c>
      <c r="D74" s="193">
        <v>0</v>
      </c>
      <c r="E74" s="192"/>
      <c r="F74" s="193">
        <v>0</v>
      </c>
      <c r="G74" s="192"/>
      <c r="H74" s="193">
        <v>0</v>
      </c>
      <c r="I74" s="192"/>
      <c r="J74" s="193">
        <v>0</v>
      </c>
      <c r="K74" s="192"/>
      <c r="L74" s="193">
        <v>0</v>
      </c>
      <c r="M74" s="192"/>
      <c r="N74" s="193">
        <v>0</v>
      </c>
      <c r="O74" s="209"/>
      <c r="P74" s="193">
        <v>0</v>
      </c>
      <c r="Q74" s="209"/>
      <c r="R74" s="193">
        <v>0</v>
      </c>
      <c r="S74" s="192"/>
      <c r="T74" s="193">
        <v>0</v>
      </c>
      <c r="U74" s="192"/>
      <c r="V74" s="193">
        <v>0</v>
      </c>
      <c r="W74" s="192"/>
      <c r="X74" s="193">
        <v>0</v>
      </c>
      <c r="Y74" s="192"/>
      <c r="Z74" s="193">
        <v>0</v>
      </c>
      <c r="AA74" s="192"/>
      <c r="AB74" s="191">
        <f>SUM(D74:Z74)</f>
        <v>0</v>
      </c>
    </row>
    <row r="75" spans="1:41" s="159" customFormat="1">
      <c r="A75" s="192"/>
      <c r="B75" s="191"/>
      <c r="C75" s="184" t="s">
        <v>51</v>
      </c>
      <c r="D75" s="193">
        <v>0</v>
      </c>
      <c r="E75" s="192"/>
      <c r="F75" s="193">
        <v>0</v>
      </c>
      <c r="G75" s="192"/>
      <c r="H75" s="193">
        <v>0</v>
      </c>
      <c r="I75" s="192"/>
      <c r="J75" s="193">
        <v>0</v>
      </c>
      <c r="K75" s="192"/>
      <c r="L75" s="193">
        <v>0</v>
      </c>
      <c r="M75" s="192"/>
      <c r="N75" s="193">
        <v>0</v>
      </c>
      <c r="O75" s="209"/>
      <c r="P75" s="193">
        <v>0</v>
      </c>
      <c r="Q75" s="209"/>
      <c r="R75" s="193">
        <v>0</v>
      </c>
      <c r="S75" s="192"/>
      <c r="T75" s="193">
        <v>0</v>
      </c>
      <c r="U75" s="192"/>
      <c r="V75" s="193">
        <v>0</v>
      </c>
      <c r="W75" s="192"/>
      <c r="X75" s="193">
        <v>0</v>
      </c>
      <c r="Y75" s="192"/>
      <c r="Z75" s="193">
        <v>0</v>
      </c>
      <c r="AA75" s="192"/>
      <c r="AB75" s="191">
        <f>SUM(D75:Z75)</f>
        <v>0</v>
      </c>
    </row>
    <row r="76" spans="1:41" s="159" customFormat="1">
      <c r="A76" s="192"/>
      <c r="B76" s="191"/>
      <c r="C76" s="184" t="s">
        <v>220</v>
      </c>
      <c r="D76" s="193">
        <v>0</v>
      </c>
      <c r="E76" s="192"/>
      <c r="F76" s="193">
        <v>0</v>
      </c>
      <c r="G76" s="192"/>
      <c r="H76" s="193">
        <v>0</v>
      </c>
      <c r="I76" s="192"/>
      <c r="J76" s="193">
        <v>0</v>
      </c>
      <c r="K76" s="192"/>
      <c r="L76" s="193">
        <v>0</v>
      </c>
      <c r="M76" s="192"/>
      <c r="N76" s="193">
        <v>0</v>
      </c>
      <c r="O76" s="209"/>
      <c r="P76" s="193">
        <v>0</v>
      </c>
      <c r="Q76" s="209"/>
      <c r="R76" s="193">
        <v>0</v>
      </c>
      <c r="S76" s="192"/>
      <c r="T76" s="193">
        <v>0</v>
      </c>
      <c r="U76" s="192"/>
      <c r="V76" s="193">
        <v>0</v>
      </c>
      <c r="W76" s="192"/>
      <c r="X76" s="193">
        <v>0</v>
      </c>
      <c r="Y76" s="192"/>
      <c r="Z76" s="193">
        <v>0</v>
      </c>
      <c r="AA76" s="192"/>
      <c r="AB76" s="191">
        <f>SUM(D76:Z76)</f>
        <v>0</v>
      </c>
    </row>
    <row r="77" spans="1:41" s="159" customFormat="1" ht="5.0999999999999996" customHeight="1">
      <c r="A77" s="192"/>
      <c r="B77" s="191"/>
      <c r="C77" s="184"/>
      <c r="D77" s="193"/>
      <c r="E77" s="192"/>
      <c r="F77" s="193"/>
      <c r="G77" s="192"/>
      <c r="H77" s="193"/>
      <c r="I77" s="192"/>
      <c r="J77" s="193"/>
      <c r="K77" s="192"/>
      <c r="L77" s="193"/>
      <c r="M77" s="192"/>
      <c r="N77" s="193"/>
      <c r="O77" s="209"/>
      <c r="P77" s="193"/>
      <c r="Q77" s="209"/>
      <c r="R77" s="193"/>
      <c r="S77" s="192"/>
      <c r="T77" s="193"/>
      <c r="U77" s="192"/>
      <c r="V77" s="193"/>
      <c r="W77" s="192"/>
      <c r="X77" s="193"/>
      <c r="Y77" s="192"/>
      <c r="Z77" s="193"/>
      <c r="AA77" s="192"/>
      <c r="AB77" s="191"/>
    </row>
    <row r="78" spans="1:41" s="159" customFormat="1">
      <c r="A78" s="192"/>
      <c r="B78" s="191" t="s">
        <v>82</v>
      </c>
      <c r="C78" s="192"/>
      <c r="D78" s="193">
        <v>0</v>
      </c>
      <c r="E78" s="192"/>
      <c r="F78" s="193">
        <v>0</v>
      </c>
      <c r="G78" s="192"/>
      <c r="H78" s="193">
        <v>0</v>
      </c>
      <c r="I78" s="192"/>
      <c r="J78" s="193">
        <v>0</v>
      </c>
      <c r="K78" s="192"/>
      <c r="L78" s="193">
        <v>0</v>
      </c>
      <c r="M78" s="192"/>
      <c r="N78" s="193">
        <v>0</v>
      </c>
      <c r="O78" s="209"/>
      <c r="P78" s="193">
        <v>0</v>
      </c>
      <c r="Q78" s="209"/>
      <c r="R78" s="193">
        <v>0</v>
      </c>
      <c r="S78" s="192"/>
      <c r="T78" s="193">
        <v>0</v>
      </c>
      <c r="U78" s="192"/>
      <c r="V78" s="193">
        <v>0</v>
      </c>
      <c r="W78" s="192"/>
      <c r="X78" s="193">
        <v>0</v>
      </c>
      <c r="Y78" s="192"/>
      <c r="Z78" s="193">
        <v>0</v>
      </c>
      <c r="AA78" s="192"/>
      <c r="AB78" s="191">
        <f>SUM(D78:Z78)</f>
        <v>0</v>
      </c>
    </row>
    <row r="79" spans="1:41" s="159" customFormat="1">
      <c r="A79" s="192"/>
      <c r="B79" s="191" t="s">
        <v>129</v>
      </c>
      <c r="C79" s="192"/>
      <c r="D79" s="193">
        <f>+D17</f>
        <v>0</v>
      </c>
      <c r="E79" s="192"/>
      <c r="F79" s="193">
        <f>+F17</f>
        <v>0</v>
      </c>
      <c r="G79" s="192"/>
      <c r="H79" s="193">
        <f>+H17</f>
        <v>0</v>
      </c>
      <c r="I79" s="192"/>
      <c r="J79" s="193">
        <f>+J17</f>
        <v>0</v>
      </c>
      <c r="K79" s="192"/>
      <c r="L79" s="193">
        <f>+L17</f>
        <v>0</v>
      </c>
      <c r="M79" s="192"/>
      <c r="N79" s="193">
        <f>+N17</f>
        <v>0</v>
      </c>
      <c r="O79" s="209"/>
      <c r="P79" s="193">
        <f>+P17</f>
        <v>0</v>
      </c>
      <c r="Q79" s="209"/>
      <c r="R79" s="193">
        <f>+R17</f>
        <v>0</v>
      </c>
      <c r="S79" s="192"/>
      <c r="T79" s="193">
        <f>+T17</f>
        <v>0</v>
      </c>
      <c r="U79" s="192"/>
      <c r="V79" s="193">
        <f>+V17</f>
        <v>0</v>
      </c>
      <c r="W79" s="192"/>
      <c r="X79" s="193">
        <f>+X17</f>
        <v>0</v>
      </c>
      <c r="Y79" s="192"/>
      <c r="Z79" s="193">
        <f>+Z17</f>
        <v>0</v>
      </c>
      <c r="AA79" s="192"/>
      <c r="AB79" s="191">
        <f>SUM(D79:Z79)</f>
        <v>0</v>
      </c>
    </row>
    <row r="80" spans="1:41" s="159" customFormat="1">
      <c r="A80" s="192"/>
      <c r="B80" s="191" t="s">
        <v>207</v>
      </c>
      <c r="C80" s="192"/>
      <c r="D80" s="193">
        <f>+D48</f>
        <v>0.19375000000000001</v>
      </c>
      <c r="E80" s="192"/>
      <c r="F80" s="193">
        <f>+F48</f>
        <v>0.19375000000000001</v>
      </c>
      <c r="G80" s="192"/>
      <c r="H80" s="193">
        <f>+H48</f>
        <v>0.19375000000000001</v>
      </c>
      <c r="I80" s="192"/>
      <c r="J80" s="193">
        <f>+J48</f>
        <v>0.19375000000000001</v>
      </c>
      <c r="K80" s="192"/>
      <c r="L80" s="193">
        <f>+L48</f>
        <v>0.19375000000000001</v>
      </c>
      <c r="M80" s="192"/>
      <c r="N80" s="193">
        <f>+N48</f>
        <v>0.19375000000000001</v>
      </c>
      <c r="O80" s="209"/>
      <c r="P80" s="193">
        <f>+P48</f>
        <v>0.19375000000000001</v>
      </c>
      <c r="Q80" s="209"/>
      <c r="R80" s="193">
        <f>+R48</f>
        <v>0.19375000000000001</v>
      </c>
      <c r="S80" s="192"/>
      <c r="T80" s="193">
        <f>+T48</f>
        <v>0.19375000000000001</v>
      </c>
      <c r="U80" s="192"/>
      <c r="V80" s="193">
        <f>+V48</f>
        <v>0.19375000000000001</v>
      </c>
      <c r="W80" s="192"/>
      <c r="X80" s="193">
        <f>+X48</f>
        <v>0.19375000000000001</v>
      </c>
      <c r="Y80" s="192"/>
      <c r="Z80" s="193">
        <f>+Z48</f>
        <v>0.19375000000000001</v>
      </c>
      <c r="AA80" s="192"/>
      <c r="AB80" s="191">
        <f>SUM(D80:Z80)</f>
        <v>2.3250000000000006</v>
      </c>
      <c r="AC80" s="159" t="s">
        <v>349</v>
      </c>
    </row>
    <row r="81" spans="1:29" s="159" customFormat="1">
      <c r="A81" s="192"/>
      <c r="B81" s="191" t="s">
        <v>208</v>
      </c>
      <c r="C81" s="192"/>
      <c r="D81" s="193">
        <v>0</v>
      </c>
      <c r="E81" s="192"/>
      <c r="F81" s="193">
        <v>0</v>
      </c>
      <c r="G81" s="192"/>
      <c r="H81" s="193">
        <v>0</v>
      </c>
      <c r="I81" s="192"/>
      <c r="J81" s="193">
        <v>0</v>
      </c>
      <c r="K81" s="192"/>
      <c r="L81" s="193">
        <v>0</v>
      </c>
      <c r="M81" s="192"/>
      <c r="N81" s="193">
        <v>0</v>
      </c>
      <c r="O81" s="209"/>
      <c r="P81" s="193">
        <v>0</v>
      </c>
      <c r="Q81" s="209"/>
      <c r="R81" s="193">
        <v>0</v>
      </c>
      <c r="S81" s="192"/>
      <c r="T81" s="193">
        <v>0</v>
      </c>
      <c r="U81" s="192"/>
      <c r="V81" s="193">
        <v>0</v>
      </c>
      <c r="W81" s="192"/>
      <c r="X81" s="193">
        <v>0</v>
      </c>
      <c r="Y81" s="192"/>
      <c r="Z81" s="193">
        <v>0</v>
      </c>
      <c r="AA81" s="192"/>
      <c r="AB81" s="191">
        <f>SUM(D81:Z81)</f>
        <v>0</v>
      </c>
    </row>
    <row r="82" spans="1:29" s="159" customFormat="1">
      <c r="A82" s="192"/>
      <c r="B82" s="191" t="s">
        <v>215</v>
      </c>
      <c r="C82" s="192"/>
      <c r="D82" s="194">
        <v>3.1</v>
      </c>
      <c r="E82" s="192"/>
      <c r="F82" s="194">
        <f>0.5-D82</f>
        <v>-2.6</v>
      </c>
      <c r="G82" s="192"/>
      <c r="H82" s="194">
        <f>6.5-D82-F82</f>
        <v>6</v>
      </c>
      <c r="I82" s="192"/>
      <c r="J82" s="194">
        <f>8.8-D82-F82-H82</f>
        <v>2.3000000000000007</v>
      </c>
      <c r="K82" s="192"/>
      <c r="L82" s="194">
        <f>0.8-SUM(D82:K82)</f>
        <v>-8</v>
      </c>
      <c r="M82" s="192"/>
      <c r="N82" s="194">
        <f>-22.7-L82-J82-H82-F82-D82</f>
        <v>-23.5</v>
      </c>
      <c r="O82" s="209"/>
      <c r="P82" s="194">
        <f>2.1+11.7</f>
        <v>13.799999999999999</v>
      </c>
      <c r="Q82" s="209"/>
      <c r="R82" s="194">
        <v>1.9</v>
      </c>
      <c r="S82" s="192"/>
      <c r="T82" s="194">
        <v>2.1</v>
      </c>
      <c r="U82" s="192"/>
      <c r="V82" s="194">
        <v>3.6</v>
      </c>
      <c r="W82" s="192"/>
      <c r="X82" s="194">
        <v>1.9</v>
      </c>
      <c r="Y82" s="192"/>
      <c r="Z82" s="194">
        <v>2.2999999999999998</v>
      </c>
      <c r="AA82" s="192"/>
      <c r="AB82" s="195">
        <f>SUM(D82:Z82)</f>
        <v>2.8999999999999995</v>
      </c>
      <c r="AC82" s="159" t="s">
        <v>349</v>
      </c>
    </row>
    <row r="83" spans="1:29" s="159" customFormat="1" ht="3.9" customHeight="1">
      <c r="A83" s="192"/>
      <c r="B83" s="192"/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209"/>
      <c r="P83" s="192"/>
      <c r="Q83" s="209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</row>
    <row r="84" spans="1:29" s="159" customFormat="1">
      <c r="A84" s="192"/>
      <c r="B84" s="192"/>
      <c r="C84" s="196" t="s">
        <v>159</v>
      </c>
      <c r="D84" s="196">
        <f>SUM(D64:D83)</f>
        <v>7.7658294072499849</v>
      </c>
      <c r="E84" s="192"/>
      <c r="F84" s="196">
        <f>SUM(F64:F83)</f>
        <v>30.751816520000013</v>
      </c>
      <c r="G84" s="192"/>
      <c r="H84" s="196">
        <f>SUM(H64:H83)</f>
        <v>34.356101880000061</v>
      </c>
      <c r="I84" s="192"/>
      <c r="J84" s="196">
        <f>SUM(J64:J83)</f>
        <v>45.986251539125092</v>
      </c>
      <c r="K84" s="192"/>
      <c r="L84" s="196">
        <f>SUM(L64:L83)</f>
        <v>-0.96726260500002681</v>
      </c>
      <c r="M84" s="192"/>
      <c r="N84" s="196">
        <f>SUM(N64:N83)</f>
        <v>-6.9492716633333416</v>
      </c>
      <c r="O84" s="209"/>
      <c r="P84" s="196">
        <f>SUM(P64:P83)</f>
        <v>16.658684756666744</v>
      </c>
      <c r="Q84" s="209"/>
      <c r="R84" s="196">
        <f>SUM(R64:R83)</f>
        <v>-2.2336349300000866</v>
      </c>
      <c r="S84" s="192"/>
      <c r="T84" s="196">
        <f>SUM(T64:T83)</f>
        <v>17.432666391037305</v>
      </c>
      <c r="U84" s="192"/>
      <c r="V84" s="196">
        <f>SUM(V64:V83)</f>
        <v>38.921478101042808</v>
      </c>
      <c r="W84" s="192"/>
      <c r="X84" s="196">
        <f>SUM(X64:X83)</f>
        <v>31.109394583840402</v>
      </c>
      <c r="Y84" s="192"/>
      <c r="Z84" s="196">
        <f>SUM(Z64:Z83)</f>
        <v>20.845705378388143</v>
      </c>
      <c r="AA84" s="192"/>
      <c r="AB84" s="196">
        <f>SUM(AB64:AB83)</f>
        <v>233.67775935901707</v>
      </c>
    </row>
    <row r="85" spans="1:29" s="159" customFormat="1" ht="3.9" customHeight="1">
      <c r="A85" s="192"/>
      <c r="B85" s="192"/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209"/>
      <c r="P85" s="192"/>
      <c r="Q85" s="209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</row>
    <row r="86" spans="1:29" s="159" customFormat="1">
      <c r="A86" s="196" t="s">
        <v>160</v>
      </c>
      <c r="B86" s="192"/>
      <c r="C86" s="192"/>
      <c r="D86" s="193"/>
      <c r="E86" s="192"/>
      <c r="F86" s="193"/>
      <c r="G86" s="192"/>
      <c r="H86" s="193"/>
      <c r="I86" s="192"/>
      <c r="J86" s="193"/>
      <c r="K86" s="192"/>
      <c r="L86" s="193"/>
      <c r="M86" s="192"/>
      <c r="N86" s="193"/>
      <c r="O86" s="209"/>
      <c r="P86" s="193"/>
      <c r="Q86" s="209"/>
      <c r="R86" s="193"/>
      <c r="S86" s="192"/>
      <c r="T86" s="193"/>
      <c r="U86" s="192"/>
      <c r="V86" s="193"/>
      <c r="W86" s="192"/>
      <c r="X86" s="193"/>
      <c r="Y86" s="192"/>
      <c r="Z86" s="193"/>
      <c r="AA86" s="192"/>
      <c r="AB86" s="192"/>
    </row>
    <row r="87" spans="1:29" s="159" customFormat="1">
      <c r="A87" s="192"/>
      <c r="B87" s="191" t="s">
        <v>282</v>
      </c>
      <c r="C87" s="192"/>
      <c r="D87" s="193">
        <v>0.8</v>
      </c>
      <c r="E87" s="192"/>
      <c r="F87" s="193">
        <v>-40.1</v>
      </c>
      <c r="G87" s="192"/>
      <c r="H87" s="193">
        <v>-15.7</v>
      </c>
      <c r="I87" s="192"/>
      <c r="J87" s="193">
        <f>-89-D87-F87-H87</f>
        <v>-34</v>
      </c>
      <c r="K87" s="192"/>
      <c r="L87" s="193">
        <f>-49-SUM(D87:J87)</f>
        <v>40</v>
      </c>
      <c r="M87" s="192"/>
      <c r="N87" s="193">
        <f>-1.56712875493168+6.4</f>
        <v>4.8328712450683202</v>
      </c>
      <c r="O87" s="209"/>
      <c r="P87" s="193">
        <f>-20.3663678578289-20+0.4-10</f>
        <v>-49.966367857828907</v>
      </c>
      <c r="Q87" s="209"/>
      <c r="R87" s="193">
        <v>-21.250000855385441</v>
      </c>
      <c r="S87" s="192"/>
      <c r="T87" s="193">
        <v>22.265541541655896</v>
      </c>
      <c r="U87" s="192"/>
      <c r="V87" s="193">
        <v>29.885146142549463</v>
      </c>
      <c r="W87" s="192"/>
      <c r="X87" s="193">
        <v>-13.062235383452441</v>
      </c>
      <c r="Y87" s="192"/>
      <c r="Z87" s="193">
        <f>-3</f>
        <v>-3</v>
      </c>
      <c r="AA87" s="192"/>
      <c r="AB87" s="191">
        <f t="shared" ref="AB87:AB95" si="2">SUM(D87:Z87)</f>
        <v>-79.295045167393113</v>
      </c>
    </row>
    <row r="88" spans="1:29" s="159" customFormat="1">
      <c r="A88" s="192"/>
      <c r="B88" s="191" t="s">
        <v>283</v>
      </c>
      <c r="C88" s="192"/>
      <c r="D88" s="193">
        <v>-1</v>
      </c>
      <c r="E88" s="192"/>
      <c r="F88" s="193">
        <v>-2.8</v>
      </c>
      <c r="G88" s="192"/>
      <c r="H88" s="193">
        <v>-0.7</v>
      </c>
      <c r="I88" s="192"/>
      <c r="J88" s="193">
        <v>-0.2</v>
      </c>
      <c r="K88" s="192"/>
      <c r="L88" s="193">
        <f>-7.3-SUM(D88:J88)</f>
        <v>-2.5999999999999996</v>
      </c>
      <c r="M88" s="192"/>
      <c r="N88" s="193">
        <f>-8.4-J88-H88-F88-D88-L88</f>
        <v>-1.1000000000000014</v>
      </c>
      <c r="O88" s="209"/>
      <c r="P88" s="193">
        <v>-0.3</v>
      </c>
      <c r="Q88" s="209"/>
      <c r="R88" s="193">
        <v>-8.7311491370201113E-14</v>
      </c>
      <c r="S88" s="192"/>
      <c r="T88" s="193">
        <v>-6.5483618527650828E-14</v>
      </c>
      <c r="U88" s="192"/>
      <c r="V88" s="193">
        <v>8.003553375601768E-14</v>
      </c>
      <c r="W88" s="192"/>
      <c r="X88" s="193">
        <v>-3.2741809263825414E-14</v>
      </c>
      <c r="Y88" s="192"/>
      <c r="Z88" s="193">
        <v>9.0949470177292826E-15</v>
      </c>
      <c r="AA88" s="192"/>
      <c r="AB88" s="191">
        <f t="shared" si="2"/>
        <v>-8.7000000000000988</v>
      </c>
    </row>
    <row r="89" spans="1:29" s="159" customFormat="1">
      <c r="A89" s="192"/>
      <c r="B89" s="191" t="s">
        <v>284</v>
      </c>
      <c r="C89" s="192"/>
      <c r="D89" s="193">
        <v>-1.2</v>
      </c>
      <c r="E89" s="192"/>
      <c r="F89" s="193">
        <v>-1.4</v>
      </c>
      <c r="G89" s="192"/>
      <c r="H89" s="193">
        <v>-13.4</v>
      </c>
      <c r="I89" s="192"/>
      <c r="J89" s="193">
        <v>10.5</v>
      </c>
      <c r="K89" s="192"/>
      <c r="L89" s="193">
        <f>-7.9-J89-H89-F89-D89</f>
        <v>-2.3999999999999986</v>
      </c>
      <c r="M89" s="192"/>
      <c r="N89" s="193">
        <f>-55.8-N90</f>
        <v>2.8000000000000043</v>
      </c>
      <c r="O89" s="209"/>
      <c r="P89" s="193">
        <f>-32.4-N89-L89-J89-H89-F89-D89</f>
        <v>-27.300000000000008</v>
      </c>
      <c r="Q89" s="209"/>
      <c r="R89" s="193">
        <v>0</v>
      </c>
      <c r="S89" s="192"/>
      <c r="T89" s="193">
        <v>0</v>
      </c>
      <c r="U89" s="192"/>
      <c r="V89" s="193">
        <v>0</v>
      </c>
      <c r="W89" s="192"/>
      <c r="X89" s="193">
        <v>0</v>
      </c>
      <c r="Y89" s="192"/>
      <c r="Z89" s="193">
        <v>0</v>
      </c>
      <c r="AA89" s="192"/>
      <c r="AB89" s="191">
        <f t="shared" si="2"/>
        <v>-32.400000000000006</v>
      </c>
    </row>
    <row r="90" spans="1:29" s="159" customFormat="1">
      <c r="A90" s="192"/>
      <c r="B90" s="191" t="s">
        <v>285</v>
      </c>
      <c r="C90" s="192"/>
      <c r="D90" s="193">
        <v>0</v>
      </c>
      <c r="E90" s="192"/>
      <c r="F90" s="193">
        <v>0</v>
      </c>
      <c r="G90" s="192"/>
      <c r="H90" s="193">
        <v>0</v>
      </c>
      <c r="I90" s="192"/>
      <c r="J90" s="193">
        <v>0</v>
      </c>
      <c r="K90" s="192"/>
      <c r="L90" s="193">
        <v>0</v>
      </c>
      <c r="M90" s="192"/>
      <c r="N90" s="193">
        <v>-58.6</v>
      </c>
      <c r="O90" s="209"/>
      <c r="P90" s="193">
        <f>-31-N90</f>
        <v>27.6</v>
      </c>
      <c r="Q90" s="209"/>
      <c r="R90" s="193">
        <v>-46</v>
      </c>
      <c r="S90" s="192"/>
      <c r="T90" s="193">
        <v>6.4</v>
      </c>
      <c r="U90" s="192"/>
      <c r="V90" s="193">
        <v>0</v>
      </c>
      <c r="W90" s="192"/>
      <c r="X90" s="193">
        <v>0</v>
      </c>
      <c r="Y90" s="192"/>
      <c r="Z90" s="193">
        <v>0</v>
      </c>
      <c r="AA90" s="192"/>
      <c r="AB90" s="191">
        <f t="shared" si="2"/>
        <v>-70.599999999999994</v>
      </c>
    </row>
    <row r="91" spans="1:29" s="159" customFormat="1">
      <c r="A91" s="192"/>
      <c r="B91" s="191" t="s">
        <v>286</v>
      </c>
      <c r="C91" s="192"/>
      <c r="D91" s="193">
        <v>-19</v>
      </c>
      <c r="E91" s="192"/>
      <c r="F91" s="193">
        <v>57.3</v>
      </c>
      <c r="G91" s="192"/>
      <c r="H91" s="193">
        <v>-19.3</v>
      </c>
      <c r="I91" s="192"/>
      <c r="J91" s="193">
        <v>45.8</v>
      </c>
      <c r="K91" s="192"/>
      <c r="L91" s="193">
        <f>-42.6-SUM(D91:J91)</f>
        <v>-107.4</v>
      </c>
      <c r="M91" s="192"/>
      <c r="N91" s="193">
        <f>-70.0000000000001-32.3</f>
        <v>-102.3000000000001</v>
      </c>
      <c r="O91" s="209"/>
      <c r="P91" s="193">
        <f>144.9-60</f>
        <v>84.9</v>
      </c>
      <c r="Q91" s="209"/>
      <c r="R91" s="193">
        <v>-8.7311491370201113E-14</v>
      </c>
      <c r="S91" s="192"/>
      <c r="T91" s="193">
        <v>-6.5483618527650828E-14</v>
      </c>
      <c r="U91" s="192"/>
      <c r="V91" s="193">
        <v>8.003553375601768E-14</v>
      </c>
      <c r="W91" s="192"/>
      <c r="X91" s="193">
        <v>-3.2741809263825414E-14</v>
      </c>
      <c r="Y91" s="192"/>
      <c r="Z91" s="193">
        <v>9.0949470177292826E-15</v>
      </c>
      <c r="AA91" s="192"/>
      <c r="AB91" s="191">
        <f>SUM(D91:Z91)</f>
        <v>-60.000000000000185</v>
      </c>
    </row>
    <row r="92" spans="1:29" s="159" customFormat="1">
      <c r="A92" s="192"/>
      <c r="B92" s="191" t="s">
        <v>161</v>
      </c>
      <c r="C92" s="192"/>
      <c r="D92" s="193">
        <v>7</v>
      </c>
      <c r="E92" s="192"/>
      <c r="F92" s="193">
        <v>-1.2</v>
      </c>
      <c r="G92" s="192"/>
      <c r="H92" s="193">
        <v>0.3</v>
      </c>
      <c r="I92" s="192"/>
      <c r="J92" s="193">
        <v>-0.6</v>
      </c>
      <c r="K92" s="192"/>
      <c r="L92" s="193">
        <f>6.9-SUM(D92:J92)</f>
        <v>1.4000000000000004</v>
      </c>
      <c r="M92" s="192"/>
      <c r="N92" s="193">
        <f>-6.63592541427268+15.2</f>
        <v>8.5640745857273188</v>
      </c>
      <c r="O92" s="209"/>
      <c r="P92" s="193">
        <f>9.5+8.3</f>
        <v>17.8</v>
      </c>
      <c r="Q92" s="209"/>
      <c r="R92" s="193">
        <v>2.4931148062057873</v>
      </c>
      <c r="S92" s="192"/>
      <c r="T92" s="193">
        <v>-14.088568935019536</v>
      </c>
      <c r="U92" s="192"/>
      <c r="V92" s="193">
        <v>10.040477201585741</v>
      </c>
      <c r="W92" s="192"/>
      <c r="X92" s="193">
        <v>-15.794227536146471</v>
      </c>
      <c r="Y92" s="192"/>
      <c r="Z92" s="193">
        <v>-8.8912666882021227</v>
      </c>
      <c r="AA92" s="192"/>
      <c r="AB92" s="191">
        <f t="shared" si="2"/>
        <v>7.0236034341507203</v>
      </c>
    </row>
    <row r="93" spans="1:29" s="159" customFormat="1">
      <c r="A93" s="192"/>
      <c r="B93" s="191" t="s">
        <v>162</v>
      </c>
      <c r="C93" s="192"/>
      <c r="D93" s="193">
        <v>1.1142376500000009</v>
      </c>
      <c r="E93" s="192"/>
      <c r="F93" s="193">
        <v>3.3857623499999994</v>
      </c>
      <c r="G93" s="192"/>
      <c r="H93" s="193">
        <v>-4.45</v>
      </c>
      <c r="I93" s="192"/>
      <c r="J93" s="193">
        <v>-2.75</v>
      </c>
      <c r="K93" s="192"/>
      <c r="L93" s="193">
        <f>-1.3-SUM(D93:J93)</f>
        <v>1.4000000000000001</v>
      </c>
      <c r="M93" s="192"/>
      <c r="N93" s="193">
        <v>2.8</v>
      </c>
      <c r="O93" s="209"/>
      <c r="P93" s="193">
        <v>-0.1</v>
      </c>
      <c r="Q93" s="209"/>
      <c r="R93" s="193">
        <v>-1.9306626027397251</v>
      </c>
      <c r="S93" s="192"/>
      <c r="T93" s="193">
        <v>-2.5344801369862999</v>
      </c>
      <c r="U93" s="192"/>
      <c r="V93" s="193">
        <v>-2.3944087671232883</v>
      </c>
      <c r="W93" s="192"/>
      <c r="X93" s="193">
        <v>3.1433496575342468</v>
      </c>
      <c r="Y93" s="192"/>
      <c r="Z93" s="193">
        <v>5.016253561643838</v>
      </c>
      <c r="AA93" s="192"/>
      <c r="AB93" s="191">
        <f t="shared" si="2"/>
        <v>2.7000517123287708</v>
      </c>
    </row>
    <row r="94" spans="1:29" s="159" customFormat="1">
      <c r="A94" s="192"/>
      <c r="B94" s="191" t="s">
        <v>287</v>
      </c>
      <c r="C94" s="192"/>
      <c r="D94" s="193"/>
      <c r="E94" s="192"/>
      <c r="F94" s="193"/>
      <c r="G94" s="192"/>
      <c r="H94" s="193"/>
      <c r="I94" s="192"/>
      <c r="J94" s="193"/>
      <c r="K94" s="192"/>
      <c r="L94" s="193"/>
      <c r="M94" s="192"/>
      <c r="N94" s="193"/>
      <c r="O94" s="209"/>
      <c r="P94" s="193"/>
      <c r="Q94" s="209"/>
      <c r="R94" s="193"/>
      <c r="S94" s="192"/>
      <c r="T94" s="193"/>
      <c r="U94" s="192"/>
      <c r="V94" s="193"/>
      <c r="W94" s="192"/>
      <c r="X94" s="193"/>
      <c r="Y94" s="192"/>
      <c r="Z94" s="193"/>
      <c r="AA94" s="192"/>
      <c r="AB94" s="191">
        <f>SUM(D94:Z94)</f>
        <v>0</v>
      </c>
    </row>
    <row r="95" spans="1:29" s="159" customFormat="1">
      <c r="A95" s="192"/>
      <c r="B95" s="191" t="s">
        <v>288</v>
      </c>
      <c r="C95" s="192"/>
      <c r="D95" s="194">
        <v>0.6</v>
      </c>
      <c r="E95" s="192"/>
      <c r="F95" s="194">
        <f>1.4-1.4-D95</f>
        <v>-0.6</v>
      </c>
      <c r="G95" s="192"/>
      <c r="H95" s="194">
        <f>2-13.4-D95-F95</f>
        <v>-11.4</v>
      </c>
      <c r="I95" s="192"/>
      <c r="J95" s="194">
        <f>-10.5+1.9-H95-F95-D95</f>
        <v>2.8000000000000007</v>
      </c>
      <c r="K95" s="192"/>
      <c r="L95" s="194">
        <f>1.3-SUM(D95:J95)</f>
        <v>9.9</v>
      </c>
      <c r="M95" s="192"/>
      <c r="N95" s="194">
        <v>2.2999999999999998</v>
      </c>
      <c r="O95" s="209"/>
      <c r="P95" s="194">
        <v>-7.9</v>
      </c>
      <c r="Q95" s="209"/>
      <c r="R95" s="194">
        <v>1.6609813681369925</v>
      </c>
      <c r="S95" s="192"/>
      <c r="T95" s="194">
        <v>1.6608148763517747</v>
      </c>
      <c r="U95" s="192"/>
      <c r="V95" s="194">
        <v>1.6606480416207561</v>
      </c>
      <c r="W95" s="192"/>
      <c r="X95" s="194">
        <v>-19.241227704705686</v>
      </c>
      <c r="Y95" s="192"/>
      <c r="Z95" s="194">
        <v>1.6603133404941472</v>
      </c>
      <c r="AA95" s="192"/>
      <c r="AB95" s="195">
        <f t="shared" si="2"/>
        <v>-16.898470078102015</v>
      </c>
    </row>
    <row r="96" spans="1:29" s="159" customFormat="1" ht="3.9" customHeight="1">
      <c r="A96" s="192"/>
      <c r="B96" s="192"/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209"/>
      <c r="P96" s="192"/>
      <c r="Q96" s="209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</row>
    <row r="97" spans="1:28" s="159" customFormat="1">
      <c r="A97" s="197"/>
      <c r="B97" s="196" t="s">
        <v>163</v>
      </c>
      <c r="C97" s="192"/>
      <c r="D97" s="211">
        <f>SUM(D86:D96)</f>
        <v>-11.685762349999997</v>
      </c>
      <c r="E97" s="192"/>
      <c r="F97" s="211">
        <f>SUM(F86:F96)</f>
        <v>14.585762350000001</v>
      </c>
      <c r="G97" s="192"/>
      <c r="H97" s="211">
        <f>SUM(H86:H96)</f>
        <v>-64.650000000000006</v>
      </c>
      <c r="I97" s="192"/>
      <c r="J97" s="211">
        <f>SUM(J86:J96)</f>
        <v>21.549999999999994</v>
      </c>
      <c r="K97" s="192"/>
      <c r="L97" s="211">
        <f>SUM(L86:L96)</f>
        <v>-59.699999999999996</v>
      </c>
      <c r="M97" s="192"/>
      <c r="N97" s="211">
        <f>SUM(N86:N96)</f>
        <v>-140.70305416920442</v>
      </c>
      <c r="O97" s="209"/>
      <c r="P97" s="211">
        <f>SUM(P86:P96)</f>
        <v>44.733632142171103</v>
      </c>
      <c r="Q97" s="209"/>
      <c r="R97" s="211">
        <f>SUM(R86:R96)</f>
        <v>-65.026567283782583</v>
      </c>
      <c r="S97" s="192"/>
      <c r="T97" s="211">
        <f>SUM(T86:T96)</f>
        <v>13.70330734600171</v>
      </c>
      <c r="U97" s="192"/>
      <c r="V97" s="211">
        <f>SUM(V86:V96)</f>
        <v>39.191862618632832</v>
      </c>
      <c r="W97" s="192"/>
      <c r="X97" s="211">
        <f>SUM(X86:X96)</f>
        <v>-44.954340966770417</v>
      </c>
      <c r="Y97" s="192"/>
      <c r="Z97" s="211">
        <f>SUM(Z86:Z96)</f>
        <v>-5.21469978606412</v>
      </c>
      <c r="AA97" s="192"/>
      <c r="AB97" s="211">
        <f>SUM(AB86:AB96)</f>
        <v>-258.16986009901598</v>
      </c>
    </row>
    <row r="98" spans="1:28" s="159" customFormat="1" ht="3.9" customHeight="1">
      <c r="A98" s="197"/>
      <c r="B98" s="192"/>
      <c r="C98" s="197"/>
      <c r="D98" s="197"/>
      <c r="E98" s="192"/>
      <c r="F98" s="197"/>
      <c r="G98" s="192"/>
      <c r="H98" s="197"/>
      <c r="I98" s="192"/>
      <c r="J98" s="197"/>
      <c r="K98" s="192"/>
      <c r="L98" s="197"/>
      <c r="M98" s="192"/>
      <c r="N98" s="197"/>
      <c r="O98" s="209"/>
      <c r="P98" s="197"/>
      <c r="Q98" s="209"/>
      <c r="R98" s="197"/>
      <c r="S98" s="192"/>
      <c r="T98" s="197"/>
      <c r="U98" s="192"/>
      <c r="V98" s="197"/>
      <c r="W98" s="192"/>
      <c r="X98" s="197"/>
      <c r="Y98" s="192"/>
      <c r="Z98" s="197"/>
      <c r="AA98" s="192"/>
      <c r="AB98" s="197"/>
    </row>
    <row r="99" spans="1:28" s="239" customFormat="1">
      <c r="A99" s="247" t="s">
        <v>164</v>
      </c>
      <c r="B99" s="196"/>
      <c r="C99" s="197"/>
      <c r="D99" s="211">
        <f>D84+D97</f>
        <v>-3.9199329427500125</v>
      </c>
      <c r="E99" s="197"/>
      <c r="F99" s="211">
        <f>F84+F97</f>
        <v>45.337578870000016</v>
      </c>
      <c r="G99" s="197"/>
      <c r="H99" s="211">
        <f>H84+H97</f>
        <v>-30.293898119999945</v>
      </c>
      <c r="I99" s="197"/>
      <c r="J99" s="211">
        <f>J84+J97</f>
        <v>67.536251539125089</v>
      </c>
      <c r="K99" s="197"/>
      <c r="L99" s="211">
        <f>L84+L97</f>
        <v>-60.667262605000019</v>
      </c>
      <c r="M99" s="197"/>
      <c r="N99" s="211">
        <f>N84+N97</f>
        <v>-147.65232583253777</v>
      </c>
      <c r="O99" s="209"/>
      <c r="P99" s="211">
        <f>P84+P97</f>
        <v>61.392316898837848</v>
      </c>
      <c r="Q99" s="209"/>
      <c r="R99" s="211">
        <f>R84+R97</f>
        <v>-67.260202213782676</v>
      </c>
      <c r="S99" s="197"/>
      <c r="T99" s="211">
        <f>T84+T97</f>
        <v>31.135973737039016</v>
      </c>
      <c r="U99" s="197"/>
      <c r="V99" s="211">
        <f>V84+V97</f>
        <v>78.113340719675648</v>
      </c>
      <c r="W99" s="197"/>
      <c r="X99" s="211">
        <f>X84+X97</f>
        <v>-13.844946382930015</v>
      </c>
      <c r="Y99" s="197"/>
      <c r="Z99" s="211">
        <f>Z84+Z97</f>
        <v>15.631005592324023</v>
      </c>
      <c r="AA99" s="197"/>
      <c r="AB99" s="211">
        <f>AB84+AB97</f>
        <v>-24.492100739998904</v>
      </c>
    </row>
    <row r="100" spans="1:28" s="159" customFormat="1" ht="5.0999999999999996" customHeight="1">
      <c r="A100" s="192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209"/>
      <c r="P100" s="192"/>
      <c r="Q100" s="209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</row>
    <row r="101" spans="1:28" s="159" customFormat="1">
      <c r="A101" s="196" t="s">
        <v>165</v>
      </c>
      <c r="B101" s="192"/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209"/>
      <c r="P101" s="192"/>
      <c r="Q101" s="209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</row>
    <row r="102" spans="1:28" s="159" customFormat="1">
      <c r="A102" s="192"/>
      <c r="B102" s="191" t="s">
        <v>166</v>
      </c>
      <c r="C102" s="197"/>
      <c r="D102" s="193">
        <v>0</v>
      </c>
      <c r="E102" s="192"/>
      <c r="F102" s="193">
        <v>0</v>
      </c>
      <c r="G102" s="192"/>
      <c r="H102" s="193">
        <v>0</v>
      </c>
      <c r="I102" s="192"/>
      <c r="J102" s="193">
        <v>0</v>
      </c>
      <c r="K102" s="192"/>
      <c r="L102" s="193">
        <v>0</v>
      </c>
      <c r="M102" s="192"/>
      <c r="N102" s="193">
        <v>0</v>
      </c>
      <c r="O102" s="209"/>
      <c r="P102" s="193">
        <v>0</v>
      </c>
      <c r="Q102" s="209"/>
      <c r="R102" s="193">
        <v>0</v>
      </c>
      <c r="S102" s="192"/>
      <c r="T102" s="193">
        <v>0</v>
      </c>
      <c r="U102" s="192"/>
      <c r="V102" s="193">
        <v>0</v>
      </c>
      <c r="W102" s="192"/>
      <c r="X102" s="193">
        <v>0</v>
      </c>
      <c r="Y102" s="192"/>
      <c r="Z102" s="193">
        <v>0</v>
      </c>
      <c r="AA102" s="192"/>
      <c r="AB102" s="191">
        <f t="shared" ref="AB102:AB107" si="3">SUM(D102:Z102)</f>
        <v>0</v>
      </c>
    </row>
    <row r="103" spans="1:28" s="159" customFormat="1">
      <c r="A103" s="192"/>
      <c r="B103" s="191" t="s">
        <v>53</v>
      </c>
      <c r="C103" s="192"/>
      <c r="D103" s="193">
        <v>-10.7</v>
      </c>
      <c r="E103" s="192"/>
      <c r="F103" s="193">
        <v>-20.6</v>
      </c>
      <c r="G103" s="192"/>
      <c r="H103" s="193">
        <v>-22</v>
      </c>
      <c r="I103" s="192"/>
      <c r="J103" s="193">
        <f>-17.7+1.3</f>
        <v>-16.399999999999999</v>
      </c>
      <c r="K103" s="192"/>
      <c r="L103" s="193">
        <f>-88.1+0.3-SUM(D103:J103)</f>
        <v>-18.100000000000009</v>
      </c>
      <c r="M103" s="192"/>
      <c r="N103" s="193">
        <f>-14.6527380952381-5.9</f>
        <v>-20.552738095238098</v>
      </c>
      <c r="O103" s="209"/>
      <c r="P103" s="193">
        <f>-13.7-8.2+3.3</f>
        <v>-18.599999999999998</v>
      </c>
      <c r="Q103" s="209"/>
      <c r="R103" s="193">
        <f>-13.7-8.2+3.3</f>
        <v>-18.599999999999998</v>
      </c>
      <c r="S103" s="192"/>
      <c r="T103" s="193">
        <f>-13.7-8.2+3.3</f>
        <v>-18.599999999999998</v>
      </c>
      <c r="U103" s="192"/>
      <c r="V103" s="193">
        <f>-13.7-8.2+3.3</f>
        <v>-18.599999999999998</v>
      </c>
      <c r="W103" s="192"/>
      <c r="X103" s="193">
        <f>-13.7-8.2+3.3</f>
        <v>-18.599999999999998</v>
      </c>
      <c r="Y103" s="192"/>
      <c r="Z103" s="193">
        <f>-13.7-8.2+3.3</f>
        <v>-18.599999999999998</v>
      </c>
      <c r="AA103" s="192"/>
      <c r="AB103" s="191">
        <f t="shared" si="3"/>
        <v>-219.95273809523806</v>
      </c>
    </row>
    <row r="104" spans="1:28" s="159" customFormat="1">
      <c r="A104" s="192"/>
      <c r="B104" s="191" t="s">
        <v>217</v>
      </c>
      <c r="C104" s="192"/>
      <c r="D104" s="193">
        <v>0</v>
      </c>
      <c r="E104" s="192"/>
      <c r="F104" s="193">
        <v>0</v>
      </c>
      <c r="G104" s="192"/>
      <c r="H104" s="193">
        <v>0</v>
      </c>
      <c r="I104" s="192"/>
      <c r="J104" s="193">
        <v>0</v>
      </c>
      <c r="K104" s="192"/>
      <c r="L104" s="193">
        <v>0</v>
      </c>
      <c r="M104" s="192"/>
      <c r="N104" s="193">
        <v>0</v>
      </c>
      <c r="O104" s="209"/>
      <c r="P104" s="193">
        <v>0</v>
      </c>
      <c r="Q104" s="209"/>
      <c r="R104" s="193">
        <v>0</v>
      </c>
      <c r="S104" s="192"/>
      <c r="T104" s="193">
        <v>0</v>
      </c>
      <c r="U104" s="192"/>
      <c r="V104" s="193">
        <v>0</v>
      </c>
      <c r="W104" s="192"/>
      <c r="X104" s="193">
        <v>0</v>
      </c>
      <c r="Y104" s="192"/>
      <c r="Z104" s="193">
        <v>0</v>
      </c>
      <c r="AA104" s="192"/>
      <c r="AB104" s="191">
        <f t="shared" si="3"/>
        <v>0</v>
      </c>
    </row>
    <row r="105" spans="1:28" s="159" customFormat="1">
      <c r="A105" s="192"/>
      <c r="B105" s="191" t="s">
        <v>54</v>
      </c>
      <c r="C105" s="192"/>
      <c r="D105" s="193">
        <v>0</v>
      </c>
      <c r="E105" s="192"/>
      <c r="F105" s="193">
        <v>0</v>
      </c>
      <c r="G105" s="192"/>
      <c r="H105" s="193">
        <v>0</v>
      </c>
      <c r="I105" s="192"/>
      <c r="J105" s="193">
        <v>0</v>
      </c>
      <c r="K105" s="192"/>
      <c r="L105" s="193">
        <v>0</v>
      </c>
      <c r="M105" s="192"/>
      <c r="N105" s="193">
        <v>0</v>
      </c>
      <c r="O105" s="209"/>
      <c r="P105" s="193">
        <v>0</v>
      </c>
      <c r="Q105" s="209"/>
      <c r="R105" s="193">
        <v>0</v>
      </c>
      <c r="S105" s="192"/>
      <c r="T105" s="193">
        <v>0</v>
      </c>
      <c r="U105" s="192"/>
      <c r="V105" s="193">
        <v>0</v>
      </c>
      <c r="W105" s="192"/>
      <c r="X105" s="193">
        <v>0</v>
      </c>
      <c r="Y105" s="192"/>
      <c r="Z105" s="193">
        <v>0</v>
      </c>
      <c r="AA105" s="192"/>
      <c r="AB105" s="191">
        <f t="shared" si="3"/>
        <v>0</v>
      </c>
    </row>
    <row r="106" spans="1:28" s="159" customFormat="1">
      <c r="A106" s="192"/>
      <c r="B106" s="191" t="s">
        <v>167</v>
      </c>
      <c r="C106" s="192"/>
      <c r="D106" s="193">
        <v>0</v>
      </c>
      <c r="E106" s="192"/>
      <c r="F106" s="193">
        <v>0</v>
      </c>
      <c r="G106" s="192"/>
      <c r="H106" s="193">
        <v>0</v>
      </c>
      <c r="I106" s="192"/>
      <c r="J106" s="193">
        <v>0</v>
      </c>
      <c r="K106" s="192"/>
      <c r="L106" s="193">
        <v>0</v>
      </c>
      <c r="M106" s="192"/>
      <c r="N106" s="193">
        <v>0</v>
      </c>
      <c r="O106" s="209"/>
      <c r="P106" s="193">
        <v>0</v>
      </c>
      <c r="Q106" s="209"/>
      <c r="R106" s="193">
        <v>0</v>
      </c>
      <c r="S106" s="192"/>
      <c r="T106" s="193">
        <v>0</v>
      </c>
      <c r="U106" s="192"/>
      <c r="V106" s="193">
        <v>0</v>
      </c>
      <c r="W106" s="192"/>
      <c r="X106" s="193">
        <v>0</v>
      </c>
      <c r="Y106" s="192"/>
      <c r="Z106" s="193">
        <v>0</v>
      </c>
      <c r="AA106" s="192"/>
      <c r="AB106" s="191">
        <f t="shared" si="3"/>
        <v>0</v>
      </c>
    </row>
    <row r="107" spans="1:28" s="159" customFormat="1">
      <c r="A107" s="192"/>
      <c r="B107" s="191" t="s">
        <v>68</v>
      </c>
      <c r="C107" s="192"/>
      <c r="D107" s="194">
        <v>-7.6</v>
      </c>
      <c r="E107" s="192"/>
      <c r="F107" s="194">
        <f>5.4-D107</f>
        <v>13</v>
      </c>
      <c r="G107" s="192"/>
      <c r="H107" s="194">
        <f>10.7-D107-F107</f>
        <v>5.2999999999999972</v>
      </c>
      <c r="I107" s="192"/>
      <c r="J107" s="194">
        <f>4.5-H107-F107-D107</f>
        <v>-6.1999999999999975</v>
      </c>
      <c r="K107" s="192"/>
      <c r="L107" s="194">
        <f>9.1-SUM(D107:J107)</f>
        <v>4.5999999999999996</v>
      </c>
      <c r="M107" s="192"/>
      <c r="N107" s="194">
        <v>3.9</v>
      </c>
      <c r="O107" s="209"/>
      <c r="P107" s="194">
        <f>-1.55702314327453+9+1.8</f>
        <v>9.2429768567254698</v>
      </c>
      <c r="Q107" s="209"/>
      <c r="R107" s="194">
        <v>-1.5797136485048777</v>
      </c>
      <c r="S107" s="192"/>
      <c r="T107" s="194">
        <v>1.5</v>
      </c>
      <c r="U107" s="192"/>
      <c r="V107" s="194">
        <v>-1.4603020940140723</v>
      </c>
      <c r="W107" s="192"/>
      <c r="X107" s="194">
        <v>-1.4224441727666381</v>
      </c>
      <c r="Y107" s="192"/>
      <c r="Z107" s="194">
        <v>5.0999999999999996</v>
      </c>
      <c r="AA107" s="192"/>
      <c r="AB107" s="195">
        <f t="shared" si="3"/>
        <v>24.380516941439879</v>
      </c>
    </row>
    <row r="108" spans="1:28" s="159" customFormat="1" ht="3.9" customHeight="1">
      <c r="A108" s="192"/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209"/>
      <c r="P108" s="192"/>
      <c r="Q108" s="209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</row>
    <row r="109" spans="1:28" s="239" customFormat="1">
      <c r="A109" s="197"/>
      <c r="B109" s="196" t="s">
        <v>165</v>
      </c>
      <c r="C109" s="197"/>
      <c r="D109" s="211">
        <f>SUM(D102:D107)</f>
        <v>-18.299999999999997</v>
      </c>
      <c r="E109" s="197"/>
      <c r="F109" s="211">
        <f>SUM(F102:F107)</f>
        <v>-7.6000000000000014</v>
      </c>
      <c r="G109" s="197"/>
      <c r="H109" s="211">
        <f>SUM(H102:H107)</f>
        <v>-16.700000000000003</v>
      </c>
      <c r="I109" s="197"/>
      <c r="J109" s="211">
        <f>SUM(J102:J107)</f>
        <v>-22.599999999999994</v>
      </c>
      <c r="K109" s="197"/>
      <c r="L109" s="211">
        <f>SUM(L102:L107)</f>
        <v>-13.500000000000009</v>
      </c>
      <c r="M109" s="197"/>
      <c r="N109" s="211">
        <f>SUM(N102:N107)</f>
        <v>-16.652738095238099</v>
      </c>
      <c r="O109" s="209"/>
      <c r="P109" s="211">
        <f>SUM(P102:P107)</f>
        <v>-9.3570231432745281</v>
      </c>
      <c r="Q109" s="209"/>
      <c r="R109" s="211">
        <f>SUM(R102:R107)</f>
        <v>-20.179713648504876</v>
      </c>
      <c r="S109" s="197"/>
      <c r="T109" s="211">
        <f>SUM(T102:T107)</f>
        <v>-17.099999999999998</v>
      </c>
      <c r="U109" s="197"/>
      <c r="V109" s="211">
        <f>SUM(V102:V107)</f>
        <v>-20.060302094014069</v>
      </c>
      <c r="W109" s="197"/>
      <c r="X109" s="211">
        <f>SUM(X102:X107)</f>
        <v>-20.022444172766637</v>
      </c>
      <c r="Y109" s="197"/>
      <c r="Z109" s="211">
        <f>SUM(Z102:Z107)</f>
        <v>-13.499999999999998</v>
      </c>
      <c r="AA109" s="197"/>
      <c r="AB109" s="211">
        <f>SUM(AB102:AB107)</f>
        <v>-195.57222115379818</v>
      </c>
    </row>
    <row r="110" spans="1:28" s="159" customFormat="1" ht="3.9" customHeight="1">
      <c r="A110" s="192"/>
      <c r="B110" s="192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209"/>
      <c r="P110" s="192"/>
      <c r="Q110" s="209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</row>
    <row r="111" spans="1:28" s="159" customFormat="1">
      <c r="A111" s="196" t="s">
        <v>168</v>
      </c>
      <c r="B111" s="192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209"/>
      <c r="P111" s="192"/>
      <c r="Q111" s="209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</row>
    <row r="112" spans="1:28" s="159" customFormat="1">
      <c r="A112" s="192"/>
      <c r="B112" s="191" t="s">
        <v>169</v>
      </c>
      <c r="C112" s="197"/>
      <c r="D112" s="193">
        <v>-16.2</v>
      </c>
      <c r="E112" s="192"/>
      <c r="F112" s="193">
        <v>-0.83</v>
      </c>
      <c r="G112" s="192"/>
      <c r="H112" s="193">
        <v>-0.77999999999999758</v>
      </c>
      <c r="I112" s="192"/>
      <c r="J112" s="193">
        <v>-0.8</v>
      </c>
      <c r="K112" s="192"/>
      <c r="L112" s="193">
        <f>-3.7+5.4-SUM(D112:J112)</f>
        <v>20.309999999999995</v>
      </c>
      <c r="M112" s="192"/>
      <c r="N112" s="193">
        <f>188.7-3.6-L112-J112-H112-F112-D112</f>
        <v>183.4</v>
      </c>
      <c r="O112" s="209"/>
      <c r="P112" s="193">
        <f>35.1303363810058-81</f>
        <v>-45.869663618994203</v>
      </c>
      <c r="Q112" s="209"/>
      <c r="R112" s="193">
        <v>42.7</v>
      </c>
      <c r="S112" s="192"/>
      <c r="T112" s="193">
        <v>18.8</v>
      </c>
      <c r="U112" s="192"/>
      <c r="V112" s="193">
        <f>10.7+92.6-26.7</f>
        <v>76.599999999999994</v>
      </c>
      <c r="W112" s="192"/>
      <c r="X112" s="193">
        <f>37.016949792903-37</f>
        <v>1.6949792902998695E-2</v>
      </c>
      <c r="Y112" s="192"/>
      <c r="Z112" s="193">
        <f>-5.49993251527567+5.5</f>
        <v>6.7484724329602841E-5</v>
      </c>
      <c r="AA112" s="192"/>
      <c r="AB112" s="191">
        <f t="shared" ref="AB112:AB117" si="4">SUM(D112:Z112)</f>
        <v>277.34735365863321</v>
      </c>
    </row>
    <row r="113" spans="1:29" s="159" customFormat="1">
      <c r="A113" s="192"/>
      <c r="B113" s="191" t="s">
        <v>170</v>
      </c>
      <c r="C113" s="197"/>
      <c r="D113" s="193">
        <v>0</v>
      </c>
      <c r="E113" s="192"/>
      <c r="F113" s="193">
        <v>0</v>
      </c>
      <c r="G113" s="192"/>
      <c r="H113" s="193">
        <v>0</v>
      </c>
      <c r="I113" s="192"/>
      <c r="J113" s="193">
        <v>0</v>
      </c>
      <c r="K113" s="192"/>
      <c r="L113" s="193">
        <v>0</v>
      </c>
      <c r="M113" s="192"/>
      <c r="N113" s="193">
        <v>-1.9402549011893201E-14</v>
      </c>
      <c r="O113" s="209"/>
      <c r="P113" s="193">
        <v>-1.9402549011893201E-14</v>
      </c>
      <c r="Q113" s="209"/>
      <c r="R113" s="193">
        <v>1.4999999999999807</v>
      </c>
      <c r="S113" s="192"/>
      <c r="T113" s="193">
        <v>-1.9402549011893201E-14</v>
      </c>
      <c r="U113" s="192"/>
      <c r="V113" s="193">
        <v>-1.9402549011893201E-14</v>
      </c>
      <c r="W113" s="192"/>
      <c r="X113" s="193">
        <v>-1.9402549011893201E-14</v>
      </c>
      <c r="Y113" s="192"/>
      <c r="Z113" s="193">
        <v>-1.9402549011893201E-14</v>
      </c>
      <c r="AA113" s="192"/>
      <c r="AB113" s="191">
        <f t="shared" si="4"/>
        <v>1.4999999999998646</v>
      </c>
      <c r="AC113" s="159" t="s">
        <v>349</v>
      </c>
    </row>
    <row r="114" spans="1:29" s="159" customFormat="1">
      <c r="A114" s="192"/>
      <c r="B114" s="191" t="s">
        <v>171</v>
      </c>
      <c r="C114" s="192"/>
      <c r="D114" s="193">
        <v>0</v>
      </c>
      <c r="E114" s="192"/>
      <c r="F114" s="193">
        <v>0</v>
      </c>
      <c r="G114" s="192"/>
      <c r="H114" s="193">
        <v>0</v>
      </c>
      <c r="I114" s="192"/>
      <c r="J114" s="193">
        <v>0</v>
      </c>
      <c r="K114" s="192"/>
      <c r="L114" s="193">
        <v>0</v>
      </c>
      <c r="M114" s="192"/>
      <c r="N114" s="193">
        <v>0</v>
      </c>
      <c r="O114" s="209"/>
      <c r="P114" s="193">
        <v>0</v>
      </c>
      <c r="Q114" s="209"/>
      <c r="R114" s="193">
        <v>0</v>
      </c>
      <c r="S114" s="192"/>
      <c r="T114" s="193">
        <v>0</v>
      </c>
      <c r="U114" s="192"/>
      <c r="V114" s="193">
        <v>0</v>
      </c>
      <c r="W114" s="192"/>
      <c r="X114" s="193">
        <v>0</v>
      </c>
      <c r="Y114" s="192"/>
      <c r="Z114" s="193">
        <v>0</v>
      </c>
      <c r="AA114" s="192"/>
      <c r="AB114" s="191">
        <f t="shared" si="4"/>
        <v>0</v>
      </c>
    </row>
    <row r="115" spans="1:29" s="159" customFormat="1">
      <c r="A115" s="192"/>
      <c r="B115" s="191" t="s">
        <v>172</v>
      </c>
      <c r="C115" s="192"/>
      <c r="D115" s="193">
        <v>0</v>
      </c>
      <c r="E115" s="192"/>
      <c r="F115" s="193">
        <v>0</v>
      </c>
      <c r="G115" s="192"/>
      <c r="H115" s="319"/>
      <c r="I115" s="192"/>
      <c r="J115" s="193">
        <v>0</v>
      </c>
      <c r="K115" s="192"/>
      <c r="L115" s="193">
        <v>0</v>
      </c>
      <c r="M115" s="192"/>
      <c r="N115" s="193"/>
      <c r="O115" s="209"/>
      <c r="P115" s="193">
        <v>0</v>
      </c>
      <c r="Q115" s="209"/>
      <c r="R115" s="193">
        <v>0</v>
      </c>
      <c r="S115" s="192"/>
      <c r="T115" s="193"/>
      <c r="U115" s="192"/>
      <c r="V115" s="193">
        <v>0</v>
      </c>
      <c r="W115" s="192"/>
      <c r="X115" s="193">
        <v>0</v>
      </c>
      <c r="Y115" s="192"/>
      <c r="Z115" s="193"/>
      <c r="AA115" s="192"/>
      <c r="AB115" s="191">
        <f t="shared" si="4"/>
        <v>0</v>
      </c>
    </row>
    <row r="116" spans="1:29" s="159" customFormat="1">
      <c r="A116" s="192"/>
      <c r="B116" s="191" t="s">
        <v>173</v>
      </c>
      <c r="C116" s="192"/>
      <c r="D116" s="193">
        <v>-0.56000000000000005</v>
      </c>
      <c r="E116" s="192"/>
      <c r="F116" s="193">
        <v>-1.8749999999999933E-2</v>
      </c>
      <c r="G116" s="192"/>
      <c r="H116" s="193">
        <v>0</v>
      </c>
      <c r="I116" s="192"/>
      <c r="J116" s="193">
        <v>-0.58125000000000004</v>
      </c>
      <c r="K116" s="192"/>
      <c r="L116" s="193">
        <f>-1.2-SUM(D116:J116)</f>
        <v>-3.9999999999999813E-2</v>
      </c>
      <c r="M116" s="192"/>
      <c r="N116" s="193">
        <v>0</v>
      </c>
      <c r="O116" s="209"/>
      <c r="P116" s="193">
        <v>-0.58125000000000004</v>
      </c>
      <c r="Q116" s="209"/>
      <c r="R116" s="193">
        <v>0</v>
      </c>
      <c r="S116" s="192"/>
      <c r="T116" s="193">
        <v>0</v>
      </c>
      <c r="U116" s="192"/>
      <c r="V116" s="193">
        <v>-0.58125000000000004</v>
      </c>
      <c r="W116" s="192"/>
      <c r="X116" s="193">
        <v>0</v>
      </c>
      <c r="Y116" s="192"/>
      <c r="Z116" s="193">
        <v>0</v>
      </c>
      <c r="AA116" s="192"/>
      <c r="AB116" s="191">
        <f t="shared" si="4"/>
        <v>-2.3624999999999998</v>
      </c>
    </row>
    <row r="117" spans="1:29" s="159" customFormat="1">
      <c r="A117" s="192"/>
      <c r="B117" s="191" t="s">
        <v>211</v>
      </c>
      <c r="C117" s="192"/>
      <c r="D117" s="194">
        <v>0</v>
      </c>
      <c r="E117" s="192"/>
      <c r="F117" s="194">
        <v>0</v>
      </c>
      <c r="G117" s="192"/>
      <c r="H117" s="194">
        <v>0</v>
      </c>
      <c r="I117" s="192"/>
      <c r="J117" s="194">
        <v>0</v>
      </c>
      <c r="K117" s="192"/>
      <c r="L117" s="194">
        <v>0</v>
      </c>
      <c r="M117" s="192"/>
      <c r="N117" s="194">
        <v>0</v>
      </c>
      <c r="O117" s="209"/>
      <c r="P117" s="194">
        <v>0</v>
      </c>
      <c r="Q117" s="209"/>
      <c r="R117" s="194">
        <v>0</v>
      </c>
      <c r="S117" s="192"/>
      <c r="T117" s="194">
        <v>0</v>
      </c>
      <c r="U117" s="192"/>
      <c r="V117" s="194">
        <v>0</v>
      </c>
      <c r="W117" s="192"/>
      <c r="X117" s="194">
        <v>0</v>
      </c>
      <c r="Y117" s="192"/>
      <c r="Z117" s="194">
        <v>0</v>
      </c>
      <c r="AA117" s="192"/>
      <c r="AB117" s="195">
        <f t="shared" si="4"/>
        <v>0</v>
      </c>
    </row>
    <row r="118" spans="1:29" s="159" customFormat="1" ht="3.9" customHeight="1">
      <c r="A118" s="192"/>
      <c r="B118" s="192"/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209"/>
      <c r="P118" s="192"/>
      <c r="Q118" s="209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</row>
    <row r="119" spans="1:29" s="239" customFormat="1">
      <c r="A119" s="197"/>
      <c r="B119" s="196" t="s">
        <v>168</v>
      </c>
      <c r="C119" s="197"/>
      <c r="D119" s="211">
        <f>SUM(D112:D117)</f>
        <v>-16.759999999999998</v>
      </c>
      <c r="E119" s="197"/>
      <c r="F119" s="211">
        <f>SUM(F112:F117)</f>
        <v>-0.84874999999999989</v>
      </c>
      <c r="G119" s="197"/>
      <c r="H119" s="211">
        <f>SUM(H112:H117)</f>
        <v>-0.77999999999999758</v>
      </c>
      <c r="I119" s="197"/>
      <c r="J119" s="211">
        <f>SUM(J112:J117)</f>
        <v>-1.3812500000000001</v>
      </c>
      <c r="K119" s="197"/>
      <c r="L119" s="211">
        <f>SUM(L112:L117)</f>
        <v>20.269999999999996</v>
      </c>
      <c r="M119" s="197"/>
      <c r="N119" s="211">
        <f>SUM(N112:N117)</f>
        <v>183.39999999999998</v>
      </c>
      <c r="O119" s="209"/>
      <c r="P119" s="211">
        <f>SUM(P112:P117)</f>
        <v>-46.450913618994221</v>
      </c>
      <c r="Q119" s="209"/>
      <c r="R119" s="211">
        <f>SUM(R112:R117)</f>
        <v>44.199999999999982</v>
      </c>
      <c r="S119" s="197"/>
      <c r="T119" s="211">
        <f>SUM(T112:T117)</f>
        <v>18.799999999999983</v>
      </c>
      <c r="U119" s="197"/>
      <c r="V119" s="211">
        <f>SUM(V112:V117)</f>
        <v>76.018749999999983</v>
      </c>
      <c r="W119" s="197"/>
      <c r="X119" s="211">
        <f>SUM(X112:X117)</f>
        <v>1.6949792902979294E-2</v>
      </c>
      <c r="Y119" s="197"/>
      <c r="Z119" s="211">
        <f>SUM(Z112:Z117)</f>
        <v>6.7484724310200298E-5</v>
      </c>
      <c r="AA119" s="197"/>
      <c r="AB119" s="211">
        <f>SUM(AB112:AB117)</f>
        <v>276.48485365863309</v>
      </c>
    </row>
    <row r="120" spans="1:29" s="159" customFormat="1" ht="3.9" customHeight="1">
      <c r="A120" s="192"/>
      <c r="B120" s="192"/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209"/>
      <c r="P120" s="192"/>
      <c r="Q120" s="209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</row>
    <row r="121" spans="1:29" s="239" customFormat="1">
      <c r="A121" s="247" t="s">
        <v>209</v>
      </c>
      <c r="B121" s="196"/>
      <c r="C121" s="197"/>
      <c r="D121" s="211">
        <f>+D99+D109+D119</f>
        <v>-38.979932942750011</v>
      </c>
      <c r="E121" s="197"/>
      <c r="F121" s="211">
        <f>+F99+F109+F119</f>
        <v>36.888828870000012</v>
      </c>
      <c r="G121" s="197"/>
      <c r="H121" s="211">
        <f>+H99+H109+H119</f>
        <v>-47.773898119999942</v>
      </c>
      <c r="I121" s="197"/>
      <c r="J121" s="211">
        <f>+J99+J109+J119</f>
        <v>43.555001539125094</v>
      </c>
      <c r="K121" s="197"/>
      <c r="L121" s="211">
        <f>+L99+L109+L119</f>
        <v>-53.897262605000037</v>
      </c>
      <c r="M121" s="197"/>
      <c r="N121" s="211">
        <f>+N99+N109+N119</f>
        <v>19.094936072224101</v>
      </c>
      <c r="O121" s="209"/>
      <c r="P121" s="211">
        <f>+P99+P109+P119</f>
        <v>5.584380136569095</v>
      </c>
      <c r="Q121" s="209"/>
      <c r="R121" s="211">
        <f>+R99+R109+R119</f>
        <v>-43.239915862287567</v>
      </c>
      <c r="S121" s="197"/>
      <c r="T121" s="211">
        <f>+T99+T109+T119</f>
        <v>32.835973737038998</v>
      </c>
      <c r="U121" s="197"/>
      <c r="V121" s="211">
        <f>+V99+V109+V119</f>
        <v>134.07178862566155</v>
      </c>
      <c r="W121" s="197"/>
      <c r="X121" s="211">
        <f>+X99+X109+X119</f>
        <v>-33.850440762793674</v>
      </c>
      <c r="Y121" s="197"/>
      <c r="Z121" s="211">
        <f>+Z99+Z109+Z119</f>
        <v>2.1310730770483346</v>
      </c>
      <c r="AA121" s="197"/>
      <c r="AB121" s="211">
        <f>+AB99+AB109+AB119</f>
        <v>56.420531764835999</v>
      </c>
    </row>
    <row r="122" spans="1:29" s="159" customFormat="1" ht="3.9" customHeight="1">
      <c r="A122" s="192"/>
      <c r="B122" s="192"/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209"/>
      <c r="P122" s="192"/>
      <c r="Q122" s="209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</row>
    <row r="123" spans="1:29" s="245" customFormat="1">
      <c r="A123" s="215" t="s">
        <v>210</v>
      </c>
      <c r="B123" s="243"/>
      <c r="C123" s="215"/>
      <c r="D123" s="244"/>
      <c r="E123" s="215"/>
      <c r="F123" s="244"/>
      <c r="G123" s="215"/>
      <c r="H123" s="244"/>
      <c r="I123" s="215"/>
      <c r="J123" s="244"/>
      <c r="K123" s="215"/>
      <c r="L123" s="244"/>
      <c r="M123" s="215"/>
      <c r="N123" s="244"/>
      <c r="O123" s="209"/>
      <c r="P123" s="244"/>
      <c r="Q123" s="209"/>
      <c r="R123" s="244"/>
      <c r="S123" s="215"/>
      <c r="T123" s="244"/>
      <c r="U123" s="215"/>
      <c r="V123" s="244"/>
      <c r="W123" s="215"/>
      <c r="X123" s="244"/>
      <c r="Y123" s="215"/>
      <c r="Z123" s="244"/>
      <c r="AA123" s="215"/>
      <c r="AB123" s="244"/>
    </row>
    <row r="124" spans="1:29" s="245" customFormat="1">
      <c r="A124" s="215"/>
      <c r="B124" s="246" t="s">
        <v>212</v>
      </c>
      <c r="C124" s="215"/>
      <c r="D124" s="244">
        <f>2-1.1</f>
        <v>0.89999999999999991</v>
      </c>
      <c r="E124" s="215"/>
      <c r="F124" s="244">
        <f>-0.5+10.7+1.3-D124-1</f>
        <v>9.6</v>
      </c>
      <c r="G124" s="215"/>
      <c r="H124" s="244">
        <f>-D124-F124+2+5.6-0.5-1</f>
        <v>-4.4000000000000004</v>
      </c>
      <c r="I124" s="215"/>
      <c r="J124" s="244">
        <f>19.4-H124-F124-D124</f>
        <v>13.299999999999997</v>
      </c>
      <c r="K124" s="215"/>
      <c r="L124" s="244">
        <f>30.3-SUM(D124:J124)</f>
        <v>10.900000000000002</v>
      </c>
      <c r="M124" s="215"/>
      <c r="N124" s="244">
        <f>-30.3+1.8</f>
        <v>-28.5</v>
      </c>
      <c r="O124" s="209"/>
      <c r="P124" s="244">
        <f>1.2-0.4</f>
        <v>0.79999999999999993</v>
      </c>
      <c r="Q124" s="209"/>
      <c r="R124" s="244">
        <v>0</v>
      </c>
      <c r="S124" s="215"/>
      <c r="T124" s="244">
        <v>0</v>
      </c>
      <c r="U124" s="215"/>
      <c r="V124" s="244">
        <v>0</v>
      </c>
      <c r="W124" s="215"/>
      <c r="X124" s="244">
        <v>0</v>
      </c>
      <c r="Y124" s="215"/>
      <c r="Z124" s="244">
        <v>-40</v>
      </c>
      <c r="AA124" s="215"/>
      <c r="AB124" s="246">
        <f>SUM(D124:Z124)</f>
        <v>-37.4</v>
      </c>
      <c r="AC124" s="245" t="s">
        <v>349</v>
      </c>
    </row>
    <row r="125" spans="1:29" s="245" customFormat="1">
      <c r="A125" s="215"/>
      <c r="B125" s="246" t="s">
        <v>213</v>
      </c>
      <c r="C125" s="215"/>
      <c r="D125" s="244">
        <v>1.1000000000000001</v>
      </c>
      <c r="E125" s="215"/>
      <c r="F125" s="244">
        <v>1</v>
      </c>
      <c r="G125" s="215"/>
      <c r="H125" s="244">
        <v>1</v>
      </c>
      <c r="I125" s="215"/>
      <c r="J125" s="244">
        <f>3.9-H125-F125-D125</f>
        <v>0.79999999999999982</v>
      </c>
      <c r="K125" s="215"/>
      <c r="L125" s="244">
        <f>4.7-SUM(D125:J125)</f>
        <v>0.80000000000000027</v>
      </c>
      <c r="M125" s="215"/>
      <c r="N125" s="244">
        <v>0.7</v>
      </c>
      <c r="O125" s="209"/>
      <c r="P125" s="244">
        <v>0.7</v>
      </c>
      <c r="Q125" s="209"/>
      <c r="R125" s="244">
        <v>0</v>
      </c>
      <c r="S125" s="215"/>
      <c r="T125" s="244">
        <v>0</v>
      </c>
      <c r="U125" s="215"/>
      <c r="V125" s="244">
        <v>0</v>
      </c>
      <c r="W125" s="215"/>
      <c r="X125" s="244">
        <v>0</v>
      </c>
      <c r="Y125" s="215"/>
      <c r="Z125" s="244">
        <v>0</v>
      </c>
      <c r="AA125" s="215"/>
      <c r="AB125" s="246">
        <f>SUM(D125:Z125)</f>
        <v>6.1000000000000005</v>
      </c>
      <c r="AC125" s="245" t="s">
        <v>349</v>
      </c>
    </row>
    <row r="126" spans="1:29" s="245" customFormat="1">
      <c r="A126" s="215"/>
      <c r="B126" s="246" t="s">
        <v>214</v>
      </c>
      <c r="C126" s="215"/>
      <c r="D126" s="244">
        <v>0</v>
      </c>
      <c r="E126" s="215"/>
      <c r="F126" s="244">
        <v>0</v>
      </c>
      <c r="G126" s="215"/>
      <c r="H126" s="244">
        <v>0</v>
      </c>
      <c r="I126" s="215"/>
      <c r="J126" s="244">
        <v>0</v>
      </c>
      <c r="K126" s="215"/>
      <c r="L126" s="244">
        <f>-22-J126-H126-F126-D126</f>
        <v>-22</v>
      </c>
      <c r="M126" s="215"/>
      <c r="N126" s="244">
        <f>16.9-20</f>
        <v>-3.1000000000000014</v>
      </c>
      <c r="O126" s="209"/>
      <c r="P126" s="244">
        <v>0</v>
      </c>
      <c r="Q126" s="209"/>
      <c r="R126" s="244">
        <v>0</v>
      </c>
      <c r="S126" s="215"/>
      <c r="T126" s="244">
        <v>0</v>
      </c>
      <c r="U126" s="215"/>
      <c r="V126" s="244">
        <v>0</v>
      </c>
      <c r="W126" s="215"/>
      <c r="X126" s="244">
        <v>0</v>
      </c>
      <c r="Y126" s="215"/>
      <c r="Z126" s="244">
        <v>0</v>
      </c>
      <c r="AA126" s="215"/>
      <c r="AB126" s="246">
        <f>SUM(D126:Z126)</f>
        <v>-25.1</v>
      </c>
      <c r="AC126" s="245" t="s">
        <v>10</v>
      </c>
    </row>
    <row r="127" spans="1:29" s="159" customFormat="1" ht="3.9" customHeight="1">
      <c r="A127" s="192"/>
      <c r="B127" s="192"/>
      <c r="C127" s="192"/>
      <c r="D127" s="192">
        <v>0</v>
      </c>
      <c r="E127" s="192"/>
      <c r="F127" s="192">
        <v>0</v>
      </c>
      <c r="G127" s="192"/>
      <c r="H127" s="192">
        <v>0</v>
      </c>
      <c r="I127" s="192"/>
      <c r="J127" s="192">
        <v>0</v>
      </c>
      <c r="K127" s="192"/>
      <c r="L127" s="192">
        <v>0</v>
      </c>
      <c r="M127" s="192"/>
      <c r="N127" s="192">
        <v>0</v>
      </c>
      <c r="O127" s="209"/>
      <c r="P127" s="192">
        <v>0</v>
      </c>
      <c r="Q127" s="209"/>
      <c r="R127" s="192">
        <v>0</v>
      </c>
      <c r="S127" s="192"/>
      <c r="T127" s="192">
        <v>0</v>
      </c>
      <c r="U127" s="192"/>
      <c r="V127" s="192">
        <v>0</v>
      </c>
      <c r="W127" s="192"/>
      <c r="X127" s="192">
        <v>0</v>
      </c>
      <c r="Y127" s="192"/>
      <c r="Z127" s="192">
        <v>0</v>
      </c>
      <c r="AA127" s="192"/>
      <c r="AB127" s="192"/>
    </row>
    <row r="128" spans="1:29" s="159" customFormat="1" ht="13.8" thickBot="1">
      <c r="A128" s="214"/>
      <c r="B128" s="215" t="s">
        <v>174</v>
      </c>
      <c r="C128" s="215"/>
      <c r="D128" s="242">
        <f>SUM(D123:D127)</f>
        <v>2</v>
      </c>
      <c r="E128" s="215"/>
      <c r="F128" s="242">
        <f>SUM(F123:F127)</f>
        <v>10.6</v>
      </c>
      <c r="G128" s="215"/>
      <c r="H128" s="242">
        <f>SUM(H123:H127)</f>
        <v>-3.4000000000000004</v>
      </c>
      <c r="I128" s="215"/>
      <c r="J128" s="242">
        <f>SUM(J123:J127)</f>
        <v>14.099999999999998</v>
      </c>
      <c r="K128" s="215"/>
      <c r="L128" s="242">
        <f>SUM(L123:L127)</f>
        <v>-10.299999999999997</v>
      </c>
      <c r="M128" s="215"/>
      <c r="N128" s="242">
        <f>SUM(N123:N127)</f>
        <v>-30.900000000000002</v>
      </c>
      <c r="O128" s="209"/>
      <c r="P128" s="242">
        <f>SUM(P123:P127)</f>
        <v>1.5</v>
      </c>
      <c r="Q128" s="209"/>
      <c r="R128" s="242">
        <f>SUM(R123:R127)</f>
        <v>0</v>
      </c>
      <c r="S128" s="215"/>
      <c r="T128" s="242">
        <f>SUM(T123:T127)</f>
        <v>0</v>
      </c>
      <c r="U128" s="215"/>
      <c r="V128" s="242">
        <f>SUM(V123:V127)</f>
        <v>0</v>
      </c>
      <c r="W128" s="215"/>
      <c r="X128" s="242">
        <f>SUM(X123:X127)</f>
        <v>0</v>
      </c>
      <c r="Y128" s="215"/>
      <c r="Z128" s="242">
        <f>SUM(Z123:Z127)</f>
        <v>-40</v>
      </c>
      <c r="AA128" s="192"/>
      <c r="AB128" s="242">
        <f>SUM(AB123:AB127)</f>
        <v>-56.4</v>
      </c>
    </row>
    <row r="129" spans="1:28" s="159" customFormat="1" ht="3.9" customHeight="1" thickTop="1">
      <c r="A129" s="192"/>
      <c r="B129" s="192"/>
      <c r="C129" s="192"/>
      <c r="D129" s="192"/>
      <c r="E129" s="192"/>
      <c r="F129" s="192"/>
      <c r="G129" s="192"/>
      <c r="H129" s="192"/>
      <c r="I129" s="192"/>
      <c r="J129" s="192"/>
      <c r="K129" s="192"/>
      <c r="L129" s="192"/>
      <c r="M129" s="192"/>
      <c r="N129" s="192"/>
      <c r="O129" s="209"/>
      <c r="P129" s="192"/>
      <c r="Q129" s="209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</row>
    <row r="130" spans="1:28" s="159" customFormat="1" ht="15" customHeight="1">
      <c r="A130" s="196"/>
      <c r="B130" s="248" t="s">
        <v>216</v>
      </c>
      <c r="C130" s="197"/>
      <c r="D130" s="212">
        <f>+D121+D128</f>
        <v>-36.979932942750011</v>
      </c>
      <c r="E130" s="202"/>
      <c r="F130" s="212">
        <f>+F121+F128</f>
        <v>47.488828870000013</v>
      </c>
      <c r="G130" s="212">
        <f>-G128-G121</f>
        <v>0</v>
      </c>
      <c r="H130" s="212">
        <f>+H121+H128</f>
        <v>-51.17389811999994</v>
      </c>
      <c r="I130" s="202"/>
      <c r="J130" s="212">
        <f>+J121+J128</f>
        <v>57.655001539125095</v>
      </c>
      <c r="K130" s="202"/>
      <c r="L130" s="212">
        <f>+L121+L128</f>
        <v>-64.197262605000034</v>
      </c>
      <c r="M130" s="202"/>
      <c r="N130" s="212">
        <f>+N121+N128</f>
        <v>-11.805063927775901</v>
      </c>
      <c r="O130" s="209"/>
      <c r="P130" s="212">
        <f>+P121+P128</f>
        <v>7.084380136569095</v>
      </c>
      <c r="Q130" s="209"/>
      <c r="R130" s="212">
        <f>+R121+R128</f>
        <v>-43.239915862287567</v>
      </c>
      <c r="S130" s="202"/>
      <c r="T130" s="212">
        <f>+T121+T128</f>
        <v>32.835973737038998</v>
      </c>
      <c r="U130" s="202"/>
      <c r="V130" s="212">
        <f>+V121+V128</f>
        <v>134.07178862566155</v>
      </c>
      <c r="W130" s="202"/>
      <c r="X130" s="212">
        <f>+X121+X128</f>
        <v>-33.850440762793674</v>
      </c>
      <c r="Y130" s="202"/>
      <c r="Z130" s="212">
        <f>+Z121+Z128</f>
        <v>-37.868926922951665</v>
      </c>
      <c r="AA130" s="192"/>
      <c r="AB130" s="195">
        <f>SUM(D130:Z130)</f>
        <v>2.0531764835951094E-2</v>
      </c>
    </row>
    <row r="131" spans="1:28" s="159" customFormat="1" ht="3.9" customHeight="1">
      <c r="A131" s="191"/>
      <c r="B131" s="192"/>
      <c r="C131" s="192"/>
      <c r="D131" s="213"/>
      <c r="E131" s="192"/>
      <c r="F131" s="213"/>
      <c r="G131" s="192"/>
      <c r="H131" s="213"/>
      <c r="I131" s="192"/>
      <c r="J131" s="213"/>
      <c r="K131" s="192"/>
      <c r="L131" s="213"/>
      <c r="M131" s="192"/>
      <c r="N131" s="213"/>
      <c r="O131" s="209"/>
      <c r="P131" s="213"/>
      <c r="Q131" s="209"/>
      <c r="R131" s="213"/>
      <c r="S131" s="192"/>
      <c r="T131" s="213"/>
      <c r="U131" s="192"/>
      <c r="V131" s="213"/>
      <c r="W131" s="192"/>
      <c r="X131" s="319"/>
      <c r="Y131" s="192"/>
      <c r="Z131" s="213"/>
      <c r="AA131" s="192"/>
      <c r="AB131" s="192"/>
    </row>
    <row r="132" spans="1:28">
      <c r="D132" s="216"/>
      <c r="F132" s="216"/>
      <c r="H132" s="216"/>
      <c r="J132" s="216"/>
      <c r="L132" s="216"/>
      <c r="N132" s="216"/>
      <c r="O132" s="209"/>
      <c r="P132" s="216"/>
      <c r="Q132" s="209"/>
      <c r="R132" s="216"/>
      <c r="T132" s="216"/>
      <c r="V132" s="216"/>
      <c r="X132" s="319"/>
      <c r="Z132" s="216"/>
    </row>
    <row r="133" spans="1:28">
      <c r="D133" s="216"/>
      <c r="F133" s="216"/>
      <c r="H133" s="216"/>
      <c r="J133" s="216"/>
      <c r="L133" s="216"/>
      <c r="N133" s="216"/>
      <c r="O133" s="209"/>
      <c r="P133" s="216"/>
      <c r="Q133" s="209"/>
      <c r="R133" s="216"/>
      <c r="T133" s="216"/>
      <c r="V133" s="216"/>
      <c r="X133" s="216"/>
      <c r="Z133" s="216"/>
    </row>
    <row r="134" spans="1:28">
      <c r="D134" s="216"/>
      <c r="F134" s="216"/>
      <c r="H134" s="216"/>
      <c r="J134" s="216"/>
      <c r="L134" s="216"/>
      <c r="N134" s="216"/>
      <c r="O134" s="209"/>
      <c r="P134" s="216"/>
      <c r="Q134" s="209"/>
      <c r="R134" s="216"/>
      <c r="T134" s="216"/>
      <c r="V134" s="216"/>
      <c r="X134" s="216"/>
      <c r="Z134" s="216"/>
    </row>
    <row r="135" spans="1:28">
      <c r="D135" s="216"/>
      <c r="F135" s="216"/>
      <c r="H135" s="216"/>
      <c r="J135" s="216"/>
      <c r="L135" s="216"/>
      <c r="N135" s="216"/>
      <c r="O135" s="209"/>
      <c r="P135" s="216"/>
      <c r="Q135" s="209"/>
      <c r="R135" s="216"/>
      <c r="T135" s="216"/>
      <c r="V135" s="216"/>
      <c r="X135" s="216"/>
      <c r="Z135" s="216"/>
    </row>
    <row r="136" spans="1:28">
      <c r="D136" s="216"/>
      <c r="F136" s="216"/>
      <c r="H136" s="216"/>
      <c r="J136" s="216"/>
      <c r="L136" s="216"/>
      <c r="N136" s="216"/>
      <c r="O136" s="209"/>
      <c r="P136" s="216"/>
      <c r="Q136" s="209"/>
      <c r="R136" s="216"/>
      <c r="T136" s="216"/>
      <c r="V136" s="216"/>
      <c r="X136" s="216"/>
      <c r="Z136" s="216"/>
    </row>
    <row r="137" spans="1:28">
      <c r="D137" s="216"/>
      <c r="F137" s="216"/>
      <c r="H137" s="216"/>
      <c r="J137" s="216"/>
      <c r="L137" s="216"/>
      <c r="N137" s="216"/>
      <c r="O137" s="209"/>
      <c r="P137" s="216"/>
      <c r="Q137" s="209"/>
      <c r="R137" s="216"/>
      <c r="T137" s="216"/>
      <c r="V137" s="216"/>
      <c r="X137" s="216"/>
      <c r="Z137" s="216"/>
    </row>
    <row r="138" spans="1:28">
      <c r="D138" s="216"/>
      <c r="F138" s="216"/>
      <c r="H138" s="216"/>
      <c r="J138" s="216"/>
      <c r="L138" s="216"/>
      <c r="N138" s="216"/>
      <c r="O138" s="209"/>
      <c r="P138" s="216"/>
      <c r="Q138" s="209"/>
      <c r="R138" s="216"/>
      <c r="T138" s="216"/>
      <c r="V138" s="216"/>
      <c r="X138" s="216"/>
      <c r="Z138" s="216"/>
    </row>
    <row r="139" spans="1:28">
      <c r="D139" s="216"/>
      <c r="F139" s="216"/>
      <c r="H139" s="216"/>
      <c r="J139" s="216"/>
      <c r="L139" s="216"/>
      <c r="N139" s="216"/>
      <c r="O139" s="209"/>
      <c r="P139" s="216"/>
      <c r="Q139" s="209"/>
      <c r="R139" s="216"/>
      <c r="T139" s="216"/>
      <c r="V139" s="216"/>
      <c r="X139" s="216"/>
      <c r="Z139" s="216"/>
    </row>
    <row r="140" spans="1:28">
      <c r="D140" s="216"/>
      <c r="F140" s="216"/>
      <c r="H140" s="216"/>
      <c r="J140" s="216"/>
      <c r="L140" s="216"/>
      <c r="N140" s="216"/>
      <c r="O140" s="209"/>
      <c r="P140" s="216"/>
      <c r="Q140" s="209"/>
      <c r="R140" s="216"/>
      <c r="T140" s="216"/>
      <c r="V140" s="216"/>
      <c r="X140" s="216"/>
      <c r="Z140" s="216"/>
    </row>
    <row r="141" spans="1:28">
      <c r="D141" s="216"/>
      <c r="F141" s="216"/>
      <c r="H141" s="216"/>
      <c r="J141" s="216"/>
      <c r="L141" s="216"/>
      <c r="N141" s="216"/>
      <c r="O141" s="209"/>
      <c r="P141" s="216"/>
      <c r="Q141" s="209"/>
      <c r="R141" s="216"/>
      <c r="T141" s="216"/>
      <c r="V141" s="216"/>
      <c r="X141" s="216"/>
      <c r="Z141" s="216"/>
    </row>
    <row r="142" spans="1:28">
      <c r="D142" s="216"/>
      <c r="F142" s="216"/>
      <c r="H142" s="216"/>
      <c r="J142" s="216"/>
      <c r="L142" s="216"/>
      <c r="N142" s="216"/>
      <c r="O142" s="209"/>
      <c r="P142" s="216"/>
      <c r="Q142" s="209"/>
      <c r="R142" s="216"/>
      <c r="T142" s="216"/>
      <c r="V142" s="216"/>
      <c r="X142" s="216"/>
      <c r="Z142" s="216"/>
    </row>
    <row r="143" spans="1:28">
      <c r="D143" s="216"/>
      <c r="F143" s="216"/>
      <c r="H143" s="216"/>
      <c r="J143" s="216"/>
      <c r="L143" s="216"/>
      <c r="N143" s="216"/>
      <c r="O143" s="209"/>
      <c r="P143" s="216"/>
      <c r="Q143" s="209"/>
      <c r="R143" s="216"/>
      <c r="T143" s="216"/>
      <c r="V143" s="216"/>
      <c r="X143" s="216"/>
      <c r="Z143" s="216"/>
    </row>
    <row r="144" spans="1:28">
      <c r="D144" s="216"/>
      <c r="F144" s="216"/>
      <c r="H144" s="216"/>
      <c r="J144" s="216"/>
      <c r="L144" s="216"/>
      <c r="N144" s="216"/>
      <c r="O144" s="209"/>
      <c r="P144" s="216"/>
      <c r="Q144" s="209"/>
      <c r="R144" s="216"/>
      <c r="T144" s="216"/>
      <c r="V144" s="216"/>
      <c r="X144" s="216"/>
      <c r="Z144" s="216"/>
    </row>
    <row r="145" spans="4:26">
      <c r="D145" s="216"/>
      <c r="F145" s="216"/>
      <c r="H145" s="216"/>
      <c r="J145" s="216"/>
      <c r="L145" s="216"/>
      <c r="N145" s="216"/>
      <c r="O145" s="209"/>
      <c r="P145" s="216"/>
      <c r="Q145" s="209"/>
      <c r="R145" s="216"/>
      <c r="T145" s="216"/>
      <c r="V145" s="216"/>
      <c r="X145" s="216"/>
      <c r="Z145" s="216"/>
    </row>
    <row r="146" spans="4:26">
      <c r="D146" s="216"/>
      <c r="F146" s="216"/>
      <c r="H146" s="216"/>
      <c r="J146" s="216"/>
      <c r="L146" s="216"/>
      <c r="N146" s="216"/>
      <c r="P146" s="216"/>
      <c r="R146" s="216"/>
      <c r="T146" s="216"/>
      <c r="V146" s="216"/>
      <c r="X146" s="216"/>
      <c r="Z146" s="216"/>
    </row>
    <row r="147" spans="4:26">
      <c r="D147" s="216"/>
      <c r="F147" s="216"/>
      <c r="H147" s="216"/>
      <c r="J147" s="216"/>
      <c r="L147" s="216"/>
      <c r="N147" s="216"/>
      <c r="P147" s="216"/>
      <c r="R147" s="216"/>
      <c r="T147" s="216"/>
      <c r="V147" s="216"/>
      <c r="X147" s="216"/>
      <c r="Z147" s="216"/>
    </row>
  </sheetData>
  <pageMargins left="0.5" right="0.5" top="0.5" bottom="0.5" header="0.5" footer="0.5"/>
  <pageSetup scale="65" fitToHeight="2" orientation="landscape" r:id="rId1"/>
  <headerFooter alignWithMargins="0"/>
  <rowBreaks count="1" manualBreakCount="1">
    <brk id="59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6"/>
  <sheetViews>
    <sheetView zoomScale="75" workbookViewId="0">
      <pane xSplit="1" topLeftCell="B1" activePane="topRight" state="frozen"/>
      <selection pane="topRight" activeCell="H16" sqref="H16"/>
    </sheetView>
  </sheetViews>
  <sheetFormatPr defaultColWidth="12.5546875" defaultRowHeight="15"/>
  <cols>
    <col min="1" max="1" width="32" style="91" customWidth="1"/>
    <col min="2" max="2" width="8.109375" style="91" customWidth="1"/>
    <col min="3" max="3" width="2.33203125" style="91" customWidth="1"/>
    <col min="4" max="4" width="8.109375" style="91" customWidth="1"/>
    <col min="5" max="5" width="2.33203125" style="91" customWidth="1"/>
    <col min="6" max="6" width="8.109375" style="91" customWidth="1"/>
    <col min="7" max="7" width="2.33203125" style="91" customWidth="1"/>
    <col min="8" max="8" width="8.109375" style="91" customWidth="1"/>
    <col min="9" max="9" width="2.33203125" style="91" customWidth="1"/>
    <col min="10" max="10" width="8.109375" style="91" customWidth="1"/>
    <col min="11" max="11" width="2.33203125" style="91" customWidth="1"/>
    <col min="12" max="12" width="8.109375" style="91" customWidth="1"/>
    <col min="13" max="13" width="2.33203125" style="91" customWidth="1"/>
    <col min="14" max="14" width="8.109375" style="91" customWidth="1"/>
    <col min="15" max="15" width="2.33203125" style="91" customWidth="1"/>
    <col min="16" max="17" width="8.109375" style="91" customWidth="1"/>
    <col min="18" max="18" width="2.33203125" style="91" customWidth="1"/>
    <col min="19" max="19" width="8.109375" style="91" customWidth="1"/>
    <col min="20" max="20" width="2.33203125" style="91" customWidth="1"/>
    <col min="21" max="21" width="8.109375" style="91" customWidth="1"/>
    <col min="22" max="22" width="2.33203125" style="91" customWidth="1"/>
    <col min="23" max="23" width="8.109375" style="91" customWidth="1"/>
    <col min="24" max="24" width="2.33203125" style="91" customWidth="1"/>
    <col min="25" max="25" width="8.109375" style="91" customWidth="1"/>
    <col min="26" max="26" width="2.33203125" style="91" customWidth="1"/>
    <col min="27" max="27" width="8.109375" style="91" customWidth="1"/>
    <col min="28" max="16384" width="12.5546875" style="91"/>
  </cols>
  <sheetData>
    <row r="1" spans="1:27" ht="17.399999999999999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spans="1:27" ht="17.399999999999999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ht="17.399999999999999">
      <c r="A3" s="40" t="s">
        <v>62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17.399999999999999">
      <c r="A4" s="151" t="s">
        <v>63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</row>
    <row r="5" spans="1:27" ht="17.399999999999999">
      <c r="A5" s="66" t="s">
        <v>2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 spans="1:2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1:27" s="92" customFormat="1" ht="13.8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spans="1:27" s="92" customFormat="1" ht="13.8">
      <c r="A8" s="69"/>
      <c r="B8" s="70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 spans="1:27" s="92" customFormat="1" ht="13.8">
      <c r="A9" s="71"/>
      <c r="B9" s="70" t="s">
        <v>25</v>
      </c>
      <c r="C9" s="72"/>
      <c r="D9" s="74" t="s">
        <v>53</v>
      </c>
      <c r="E9" s="73"/>
      <c r="F9" s="74"/>
      <c r="G9" s="73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s="92" customFormat="1" ht="13.8">
      <c r="A10" s="75"/>
      <c r="B10" s="154" t="s">
        <v>107</v>
      </c>
      <c r="C10" s="75"/>
      <c r="D10" s="155" t="s">
        <v>26</v>
      </c>
      <c r="E10" s="76"/>
      <c r="F10" s="155" t="s">
        <v>27</v>
      </c>
      <c r="G10" s="76"/>
      <c r="H10" s="155" t="s">
        <v>28</v>
      </c>
      <c r="I10" s="76"/>
      <c r="J10" s="155" t="s">
        <v>29</v>
      </c>
      <c r="K10" s="76"/>
      <c r="L10" s="155" t="s">
        <v>30</v>
      </c>
      <c r="M10" s="76"/>
      <c r="N10" s="155" t="s">
        <v>31</v>
      </c>
      <c r="O10" s="76"/>
      <c r="P10" s="155" t="s">
        <v>32</v>
      </c>
      <c r="Q10" s="155" t="s">
        <v>33</v>
      </c>
      <c r="R10" s="76"/>
      <c r="S10" s="155" t="s">
        <v>34</v>
      </c>
      <c r="T10" s="76"/>
      <c r="U10" s="155" t="s">
        <v>35</v>
      </c>
      <c r="V10" s="76"/>
      <c r="W10" s="155" t="s">
        <v>36</v>
      </c>
      <c r="X10" s="76"/>
      <c r="Y10" s="155" t="s">
        <v>37</v>
      </c>
      <c r="Z10" s="76"/>
      <c r="AA10" s="155" t="s">
        <v>38</v>
      </c>
    </row>
    <row r="11" spans="1:27" s="92" customFormat="1" ht="13.8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 spans="1:27" s="92" customFormat="1" ht="13.8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</row>
    <row r="13" spans="1:27" s="93" customFormat="1">
      <c r="A13" s="51" t="s">
        <v>249</v>
      </c>
      <c r="B13" s="78">
        <v>5.8</v>
      </c>
      <c r="C13" s="79"/>
      <c r="D13" s="316">
        <v>0.116666666666667</v>
      </c>
      <c r="E13" s="80"/>
      <c r="F13" s="316">
        <v>0.11666666666666665</v>
      </c>
      <c r="G13" s="80"/>
      <c r="H13" s="316">
        <f>0.3-SUM(D13:F13)</f>
        <v>6.6666666666666319E-2</v>
      </c>
      <c r="I13" s="80"/>
      <c r="J13" s="316">
        <v>0.1222222222222222</v>
      </c>
      <c r="K13" s="80"/>
      <c r="L13" s="316">
        <v>0.12222222222222222</v>
      </c>
      <c r="M13" s="80"/>
      <c r="N13" s="316">
        <v>0.12222222222222222</v>
      </c>
      <c r="O13" s="80"/>
      <c r="P13" s="316">
        <f>0.64-D13-F13-H13-J13-L13-N13</f>
        <v>-2.6666666666666616E-2</v>
      </c>
      <c r="Q13" s="316">
        <f>($AA13-SUM($D13:$N13))/6</f>
        <v>0.12222222222222222</v>
      </c>
      <c r="R13" s="80"/>
      <c r="S13" s="316">
        <f>($AA13-SUM($D13:$N13))/6</f>
        <v>0.12222222222222222</v>
      </c>
      <c r="T13" s="80"/>
      <c r="U13" s="316">
        <f>($AA13-SUM($D13:$N13))/6</f>
        <v>0.12222222222222222</v>
      </c>
      <c r="V13" s="80"/>
      <c r="W13" s="316">
        <f>($AA13-SUM($D13:$N13))/6</f>
        <v>0.12222222222222222</v>
      </c>
      <c r="X13" s="316"/>
      <c r="Y13" s="316">
        <f>($AA13-SUM($D13:$N13))/6</f>
        <v>0.12222222222222222</v>
      </c>
      <c r="Z13" s="316"/>
      <c r="AA13" s="79">
        <f>1.4</f>
        <v>1.4</v>
      </c>
    </row>
    <row r="14" spans="1:27" s="93" customFormat="1">
      <c r="A14" s="51" t="s">
        <v>250</v>
      </c>
      <c r="B14" s="78">
        <v>1.1000000000000001</v>
      </c>
      <c r="C14" s="79"/>
      <c r="D14" s="316">
        <v>0.16666666666666666</v>
      </c>
      <c r="E14" s="80"/>
      <c r="F14" s="316">
        <v>0.16666666666666666</v>
      </c>
      <c r="G14" s="80"/>
      <c r="H14" s="316">
        <f>0.8-SUM(D14:F14)</f>
        <v>0.46666666666666673</v>
      </c>
      <c r="I14" s="80"/>
      <c r="J14" s="316">
        <v>0.13333333333333333</v>
      </c>
      <c r="K14" s="80"/>
      <c r="L14" s="316">
        <v>0.13333333333333333</v>
      </c>
      <c r="M14" s="80"/>
      <c r="N14" s="316">
        <v>0.13333333333333333</v>
      </c>
      <c r="O14" s="80"/>
      <c r="P14" s="316">
        <f>2.7-D14-F14-H14-J14-L14-N14</f>
        <v>1.5000000000000004</v>
      </c>
      <c r="Q14" s="316">
        <f>($AA14-SUM($D14:$N14))/6</f>
        <v>0.13333333333333333</v>
      </c>
      <c r="R14" s="80"/>
      <c r="S14" s="316">
        <f>($AA14-SUM($D14:$N14))/6</f>
        <v>0.13333333333333333</v>
      </c>
      <c r="T14" s="80"/>
      <c r="U14" s="316">
        <f>($AA14-SUM($D14:$N14))/6</f>
        <v>0.13333333333333333</v>
      </c>
      <c r="V14" s="80"/>
      <c r="W14" s="316">
        <f>($AA14-SUM($D14:$N14))/6</f>
        <v>0.13333333333333333</v>
      </c>
      <c r="X14" s="316"/>
      <c r="Y14" s="316">
        <f>($AA14-SUM($D14:$N14))/6</f>
        <v>0.13333333333333333</v>
      </c>
      <c r="Z14" s="79"/>
      <c r="AA14" s="79">
        <v>2</v>
      </c>
    </row>
    <row r="15" spans="1:27" s="93" customFormat="1">
      <c r="A15" s="51" t="s">
        <v>251</v>
      </c>
      <c r="B15" s="78">
        <v>0.5</v>
      </c>
      <c r="C15" s="79"/>
      <c r="D15" s="316">
        <v>0.1</v>
      </c>
      <c r="E15" s="80"/>
      <c r="F15" s="316">
        <v>0.1</v>
      </c>
      <c r="G15" s="80"/>
      <c r="H15" s="316">
        <f>0.1-SUM(D15:F15)</f>
        <v>-0.1</v>
      </c>
      <c r="I15" s="80"/>
      <c r="J15" s="316">
        <v>0.1222222222222222</v>
      </c>
      <c r="K15" s="80"/>
      <c r="L15" s="316">
        <v>0.12222222222222222</v>
      </c>
      <c r="M15" s="80"/>
      <c r="N15" s="316">
        <v>0.12222222222222222</v>
      </c>
      <c r="O15" s="80"/>
      <c r="P15" s="316">
        <f>0.77-D15-F15-H15-J15-L15-N15</f>
        <v>0.30333333333333334</v>
      </c>
      <c r="Q15" s="316">
        <f>($AA15-SUM($D15:$N15))/6</f>
        <v>0.12222222222222222</v>
      </c>
      <c r="R15" s="80"/>
      <c r="S15" s="316">
        <f>($AA15-SUM($D15:$N15))/6</f>
        <v>0.12222222222222222</v>
      </c>
      <c r="T15" s="80"/>
      <c r="U15" s="316">
        <f>($AA15-SUM($D15:$N15))/6</f>
        <v>0.12222222222222222</v>
      </c>
      <c r="V15" s="80"/>
      <c r="W15" s="316">
        <f>($AA15-SUM($D15:$N15))/6</f>
        <v>0.12222222222222222</v>
      </c>
      <c r="X15" s="316"/>
      <c r="Y15" s="316">
        <f>($AA15-SUM($D15:$N15))/6</f>
        <v>0.12222222222222222</v>
      </c>
      <c r="Z15" s="79"/>
      <c r="AA15" s="79">
        <v>1.2</v>
      </c>
    </row>
    <row r="16" spans="1:27" s="93" customFormat="1">
      <c r="A16" s="51" t="s">
        <v>252</v>
      </c>
      <c r="B16" s="78">
        <v>7.1</v>
      </c>
      <c r="C16" s="79"/>
      <c r="D16" s="316">
        <v>0.20833333333333334</v>
      </c>
      <c r="E16" s="80"/>
      <c r="F16" s="316">
        <v>0.20833333333333334</v>
      </c>
      <c r="G16" s="80"/>
      <c r="H16" s="316">
        <f>0.7-SUM(D16:F16)</f>
        <v>0.28333333333333327</v>
      </c>
      <c r="I16" s="80"/>
      <c r="J16" s="316">
        <v>0.2</v>
      </c>
      <c r="K16" s="80"/>
      <c r="L16" s="316">
        <v>0.2</v>
      </c>
      <c r="M16" s="80"/>
      <c r="N16" s="316">
        <v>0.2</v>
      </c>
      <c r="O16" s="80"/>
      <c r="P16" s="316">
        <f>($AA16-SUM($D16:$N16))/6</f>
        <v>0.20000000000000004</v>
      </c>
      <c r="Q16" s="316">
        <f>($AA16-SUM($D16:$N16))/6</f>
        <v>0.20000000000000004</v>
      </c>
      <c r="R16" s="80"/>
      <c r="S16" s="316">
        <f>($AA16-SUM($D16:$N16))/6</f>
        <v>0.20000000000000004</v>
      </c>
      <c r="T16" s="80"/>
      <c r="U16" s="316">
        <f>($AA16-SUM($D16:$N16))/6</f>
        <v>0.20000000000000004</v>
      </c>
      <c r="V16" s="80"/>
      <c r="W16" s="316">
        <f>($AA16-SUM($D16:$N16))/6</f>
        <v>0.20000000000000004</v>
      </c>
      <c r="X16" s="316"/>
      <c r="Y16" s="316">
        <f>($AA16-SUM($D16:$N16))/6</f>
        <v>0.20000000000000004</v>
      </c>
      <c r="Z16" s="79"/>
      <c r="AA16" s="79">
        <v>2.5</v>
      </c>
    </row>
    <row r="17" spans="1:27" s="93" customFormat="1">
      <c r="A17" s="51" t="s">
        <v>297</v>
      </c>
      <c r="B17" s="78">
        <v>0</v>
      </c>
      <c r="C17" s="79"/>
      <c r="D17" s="316">
        <v>0</v>
      </c>
      <c r="E17" s="80"/>
      <c r="F17" s="316">
        <v>4.04</v>
      </c>
      <c r="G17" s="80"/>
      <c r="H17" s="316">
        <v>1.9</v>
      </c>
      <c r="I17" s="80"/>
      <c r="J17" s="316">
        <v>0.32700000000000001</v>
      </c>
      <c r="K17" s="80"/>
      <c r="L17" s="316">
        <v>0.55500000000000005</v>
      </c>
      <c r="M17" s="80"/>
      <c r="N17" s="316">
        <v>2.8610000000000002</v>
      </c>
      <c r="O17" s="80"/>
      <c r="P17" s="316">
        <f>11.8-D17-F17-H17-J17-L17-N17</f>
        <v>2.1170000000000013</v>
      </c>
      <c r="Q17" s="316">
        <f>($AA17-SUM($D17:$N17))/2</f>
        <v>1.3585000000000003</v>
      </c>
      <c r="R17" s="80"/>
      <c r="S17" s="316">
        <v>0</v>
      </c>
      <c r="T17" s="80"/>
      <c r="U17" s="316">
        <v>0</v>
      </c>
      <c r="V17" s="80"/>
      <c r="W17" s="316">
        <v>0</v>
      </c>
      <c r="X17" s="316"/>
      <c r="Y17" s="323">
        <v>0</v>
      </c>
      <c r="Z17" s="79"/>
      <c r="AA17" s="79">
        <v>12.4</v>
      </c>
    </row>
    <row r="18" spans="1:27" s="93" customFormat="1">
      <c r="A18" s="51" t="s">
        <v>253</v>
      </c>
      <c r="B18" s="78">
        <v>10.1</v>
      </c>
      <c r="C18" s="79"/>
      <c r="D18" s="316">
        <v>1.3083333333333333</v>
      </c>
      <c r="E18" s="80"/>
      <c r="F18" s="316">
        <v>1.3083333333333333</v>
      </c>
      <c r="G18" s="80"/>
      <c r="H18" s="316">
        <f>1.7-SUM(D18:F18)</f>
        <v>-0.91666666666666674</v>
      </c>
      <c r="I18" s="80"/>
      <c r="J18" s="316">
        <v>1</v>
      </c>
      <c r="K18" s="80"/>
      <c r="L18" s="316">
        <v>1</v>
      </c>
      <c r="M18" s="80"/>
      <c r="N18" s="316">
        <v>1</v>
      </c>
      <c r="O18" s="80"/>
      <c r="P18" s="316">
        <f>7.5-D18-F18-H18-J18-L18-N18</f>
        <v>2.8</v>
      </c>
      <c r="Q18" s="316">
        <f t="shared" ref="Q18:Q28" si="0">($AA18-SUM($D18:$N18))/6</f>
        <v>0.99999999999999989</v>
      </c>
      <c r="R18" s="80"/>
      <c r="S18" s="316">
        <f t="shared" ref="S18:S28" si="1">($AA18-SUM($D18:$N18))/6</f>
        <v>0.99999999999999989</v>
      </c>
      <c r="T18" s="80"/>
      <c r="U18" s="316">
        <f t="shared" ref="U18:U28" si="2">($AA18-SUM($D18:$N18))/6</f>
        <v>0.99999999999999989</v>
      </c>
      <c r="V18" s="80"/>
      <c r="W18" s="316">
        <f t="shared" ref="W18:W28" si="3">($AA18-SUM($D18:$N18))/6</f>
        <v>0.99999999999999989</v>
      </c>
      <c r="X18" s="316"/>
      <c r="Y18" s="316">
        <f t="shared" ref="Y18:Y28" si="4">($AA18-SUM($D18:$N18))/6</f>
        <v>0.99999999999999989</v>
      </c>
      <c r="Z18" s="79"/>
      <c r="AA18" s="79">
        <v>10.7</v>
      </c>
    </row>
    <row r="19" spans="1:27" s="93" customFormat="1">
      <c r="A19" s="51" t="s">
        <v>254</v>
      </c>
      <c r="B19" s="78">
        <v>5.5</v>
      </c>
      <c r="C19" s="79"/>
      <c r="D19" s="316">
        <v>0</v>
      </c>
      <c r="E19" s="80"/>
      <c r="F19" s="316">
        <v>0</v>
      </c>
      <c r="G19" s="80"/>
      <c r="H19" s="316">
        <f>1.3-SUM(D19:F19)</f>
        <v>1.3</v>
      </c>
      <c r="I19" s="80"/>
      <c r="J19" s="316">
        <v>0.41111111111111115</v>
      </c>
      <c r="K19" s="80"/>
      <c r="L19" s="316">
        <v>0.41111111111111109</v>
      </c>
      <c r="M19" s="80"/>
      <c r="N19" s="316">
        <v>0.41</v>
      </c>
      <c r="O19" s="80"/>
      <c r="P19" s="316">
        <f t="shared" ref="P19:P28" si="5">($AA19-SUM($D19:$N19))/6</f>
        <v>0.41129629629629627</v>
      </c>
      <c r="Q19" s="316">
        <f t="shared" si="0"/>
        <v>0.41129629629629627</v>
      </c>
      <c r="R19" s="80"/>
      <c r="S19" s="316">
        <f t="shared" si="1"/>
        <v>0.41129629629629627</v>
      </c>
      <c r="T19" s="80"/>
      <c r="U19" s="316">
        <f t="shared" si="2"/>
        <v>0.41129629629629627</v>
      </c>
      <c r="V19" s="80"/>
      <c r="W19" s="316">
        <f t="shared" si="3"/>
        <v>0.41129629629629627</v>
      </c>
      <c r="X19" s="316"/>
      <c r="Y19" s="316">
        <f t="shared" si="4"/>
        <v>0.41129629629629627</v>
      </c>
      <c r="Z19" s="79"/>
      <c r="AA19" s="79">
        <v>5</v>
      </c>
    </row>
    <row r="20" spans="1:27" s="93" customFormat="1">
      <c r="A20" s="51" t="s">
        <v>255</v>
      </c>
      <c r="B20" s="78">
        <v>14.3</v>
      </c>
      <c r="C20" s="79"/>
      <c r="D20" s="316">
        <v>0.96666666666666667</v>
      </c>
      <c r="E20" s="80"/>
      <c r="F20" s="316">
        <v>0.96666666666666667</v>
      </c>
      <c r="G20" s="80"/>
      <c r="H20" s="316">
        <f>4.1-SUM(D20:F20)</f>
        <v>2.1666666666666661</v>
      </c>
      <c r="I20" s="80"/>
      <c r="J20" s="316">
        <v>0.83333333333333337</v>
      </c>
      <c r="K20" s="80"/>
      <c r="L20" s="316">
        <v>0.83333333333333337</v>
      </c>
      <c r="M20" s="80"/>
      <c r="N20" s="316">
        <v>0.83</v>
      </c>
      <c r="O20" s="80"/>
      <c r="P20" s="316">
        <f t="shared" si="5"/>
        <v>0.83388888888888901</v>
      </c>
      <c r="Q20" s="316">
        <f t="shared" si="0"/>
        <v>0.83388888888888901</v>
      </c>
      <c r="R20" s="80"/>
      <c r="S20" s="316">
        <f t="shared" si="1"/>
        <v>0.83388888888888901</v>
      </c>
      <c r="T20" s="80"/>
      <c r="U20" s="316">
        <f t="shared" si="2"/>
        <v>0.83388888888888901</v>
      </c>
      <c r="V20" s="80"/>
      <c r="W20" s="316">
        <f t="shared" si="3"/>
        <v>0.83388888888888901</v>
      </c>
      <c r="X20" s="316"/>
      <c r="Y20" s="316">
        <f t="shared" si="4"/>
        <v>0.83388888888888901</v>
      </c>
      <c r="Z20" s="79"/>
      <c r="AA20" s="79">
        <f>11.6</f>
        <v>11.6</v>
      </c>
    </row>
    <row r="21" spans="1:27" s="93" customFormat="1">
      <c r="A21" s="51" t="s">
        <v>256</v>
      </c>
      <c r="B21" s="78">
        <v>81.400000000000006</v>
      </c>
      <c r="C21" s="79"/>
      <c r="D21" s="316">
        <f>0.625+0.1</f>
        <v>0.72499999999999998</v>
      </c>
      <c r="E21" s="80"/>
      <c r="F21" s="316">
        <f>9.325+1.3-4.04</f>
        <v>6.585</v>
      </c>
      <c r="G21" s="80"/>
      <c r="H21" s="316">
        <f>22.6-SUM(D21:F21)+5.2-1.9</f>
        <v>18.590000000000003</v>
      </c>
      <c r="I21" s="80"/>
      <c r="J21" s="316">
        <f>4.82222222222222+1.2-0.33</f>
        <v>5.6922222222222203</v>
      </c>
      <c r="K21" s="80"/>
      <c r="L21" s="316">
        <f>4.50972222222222+3.2-0.56</f>
        <v>7.1497222222222199</v>
      </c>
      <c r="M21" s="80"/>
      <c r="N21" s="316">
        <f>10.2-2.86</f>
        <v>7.34</v>
      </c>
      <c r="O21" s="80"/>
      <c r="P21" s="316">
        <f t="shared" si="5"/>
        <v>6.3280092592592583</v>
      </c>
      <c r="Q21" s="316">
        <f t="shared" si="0"/>
        <v>6.3280092592592583</v>
      </c>
      <c r="R21" s="80"/>
      <c r="S21" s="316">
        <f t="shared" si="1"/>
        <v>6.3280092592592583</v>
      </c>
      <c r="T21" s="80"/>
      <c r="U21" s="316">
        <f t="shared" si="2"/>
        <v>6.3280092592592583</v>
      </c>
      <c r="V21" s="80"/>
      <c r="W21" s="316">
        <f t="shared" si="3"/>
        <v>6.3280092592592583</v>
      </c>
      <c r="X21" s="316"/>
      <c r="Y21" s="316">
        <f t="shared" si="4"/>
        <v>6.3280092592592583</v>
      </c>
      <c r="Z21" s="79"/>
      <c r="AA21" s="79">
        <v>84.05</v>
      </c>
    </row>
    <row r="22" spans="1:27" s="93" customFormat="1">
      <c r="A22" s="51" t="s">
        <v>257</v>
      </c>
      <c r="B22" s="78">
        <v>22.1</v>
      </c>
      <c r="C22" s="79"/>
      <c r="D22" s="316">
        <v>2.0916666666666668</v>
      </c>
      <c r="E22" s="80"/>
      <c r="F22" s="316">
        <v>2.0916666666666668</v>
      </c>
      <c r="G22" s="80"/>
      <c r="H22" s="316">
        <f>3.6-SUM(D22:F22)</f>
        <v>-0.58333333333333348</v>
      </c>
      <c r="I22" s="80"/>
      <c r="J22" s="316">
        <v>2.3888888888888888</v>
      </c>
      <c r="K22" s="80"/>
      <c r="L22" s="316">
        <v>2.3888888888888893</v>
      </c>
      <c r="M22" s="80"/>
      <c r="N22" s="316">
        <v>2.39</v>
      </c>
      <c r="O22" s="80"/>
      <c r="P22" s="316">
        <f t="shared" si="5"/>
        <v>3.1220370370370367</v>
      </c>
      <c r="Q22" s="316">
        <f t="shared" si="0"/>
        <v>3.1220370370370367</v>
      </c>
      <c r="R22" s="80"/>
      <c r="S22" s="316">
        <f t="shared" si="1"/>
        <v>3.1220370370370367</v>
      </c>
      <c r="T22" s="80"/>
      <c r="U22" s="316">
        <f t="shared" si="2"/>
        <v>3.1220370370370367</v>
      </c>
      <c r="V22" s="80"/>
      <c r="W22" s="316">
        <f t="shared" si="3"/>
        <v>3.1220370370370367</v>
      </c>
      <c r="X22" s="316"/>
      <c r="Y22" s="316">
        <f t="shared" si="4"/>
        <v>3.1220370370370367</v>
      </c>
      <c r="Z22" s="79"/>
      <c r="AA22" s="79">
        <f>25.1+4.4</f>
        <v>29.5</v>
      </c>
    </row>
    <row r="23" spans="1:27" s="93" customFormat="1">
      <c r="A23" s="51" t="s">
        <v>258</v>
      </c>
      <c r="B23" s="78">
        <v>18.899999999999999</v>
      </c>
      <c r="C23" s="79"/>
      <c r="D23" s="316">
        <v>2.6416666666666666</v>
      </c>
      <c r="E23" s="80"/>
      <c r="F23" s="316">
        <v>2.6416666666666666</v>
      </c>
      <c r="G23" s="80"/>
      <c r="H23" s="316">
        <f>4.5-SUM(D23:F23)</f>
        <v>-0.78333333333333321</v>
      </c>
      <c r="I23" s="80"/>
      <c r="J23" s="316">
        <v>3.0222222222222221</v>
      </c>
      <c r="K23" s="80"/>
      <c r="L23" s="316">
        <v>3.0222222222222221</v>
      </c>
      <c r="M23" s="80"/>
      <c r="N23" s="316">
        <v>3.02</v>
      </c>
      <c r="O23" s="80"/>
      <c r="P23" s="316">
        <f t="shared" si="5"/>
        <v>3.0225925925925927</v>
      </c>
      <c r="Q23" s="316">
        <f t="shared" si="0"/>
        <v>3.0225925925925927</v>
      </c>
      <c r="R23" s="80"/>
      <c r="S23" s="316">
        <f t="shared" si="1"/>
        <v>3.0225925925925927</v>
      </c>
      <c r="T23" s="80"/>
      <c r="U23" s="316">
        <f t="shared" si="2"/>
        <v>3.0225925925925927</v>
      </c>
      <c r="V23" s="80"/>
      <c r="W23" s="316">
        <f t="shared" si="3"/>
        <v>3.0225925925925927</v>
      </c>
      <c r="X23" s="316"/>
      <c r="Y23" s="316">
        <f t="shared" si="4"/>
        <v>3.0225925925925927</v>
      </c>
      <c r="Z23" s="79"/>
      <c r="AA23" s="79">
        <f>31.7</f>
        <v>31.7</v>
      </c>
    </row>
    <row r="24" spans="1:27" s="93" customFormat="1">
      <c r="A24" s="51" t="s">
        <v>259</v>
      </c>
      <c r="B24" s="78">
        <v>4.4000000000000004</v>
      </c>
      <c r="C24" s="79"/>
      <c r="D24" s="316">
        <v>2.5000000000000001E-2</v>
      </c>
      <c r="E24" s="80"/>
      <c r="F24" s="316">
        <v>2.5000000000000001E-2</v>
      </c>
      <c r="G24" s="80"/>
      <c r="H24" s="316">
        <f>-0.03-SUM(D24:F24)</f>
        <v>-0.08</v>
      </c>
      <c r="I24" s="80"/>
      <c r="J24" s="316">
        <v>3.666666666666666E-2</v>
      </c>
      <c r="K24" s="80"/>
      <c r="L24" s="316">
        <v>3.6666666666666667E-2</v>
      </c>
      <c r="M24" s="80"/>
      <c r="N24" s="316">
        <v>0.04</v>
      </c>
      <c r="O24" s="80"/>
      <c r="P24" s="316">
        <f t="shared" si="5"/>
        <v>3.6111111111111115E-2</v>
      </c>
      <c r="Q24" s="316">
        <f t="shared" si="0"/>
        <v>3.6111111111111115E-2</v>
      </c>
      <c r="R24" s="80"/>
      <c r="S24" s="316">
        <f t="shared" si="1"/>
        <v>3.6111111111111115E-2</v>
      </c>
      <c r="T24" s="80"/>
      <c r="U24" s="316">
        <f t="shared" si="2"/>
        <v>3.6111111111111115E-2</v>
      </c>
      <c r="V24" s="80"/>
      <c r="W24" s="316">
        <f t="shared" si="3"/>
        <v>3.6111111111111115E-2</v>
      </c>
      <c r="X24" s="316"/>
      <c r="Y24" s="316">
        <f t="shared" si="4"/>
        <v>3.6111111111111115E-2</v>
      </c>
      <c r="Z24" s="79"/>
      <c r="AA24" s="79">
        <v>0.3</v>
      </c>
    </row>
    <row r="25" spans="1:27" s="93" customFormat="1">
      <c r="A25" s="51" t="s">
        <v>260</v>
      </c>
      <c r="B25" s="78">
        <v>0</v>
      </c>
      <c r="C25" s="79"/>
      <c r="D25" s="316">
        <v>0</v>
      </c>
      <c r="E25" s="80"/>
      <c r="F25" s="316">
        <v>0</v>
      </c>
      <c r="G25" s="80"/>
      <c r="H25" s="316">
        <f>$AA25/12</f>
        <v>0</v>
      </c>
      <c r="I25" s="80"/>
      <c r="J25" s="316">
        <v>0</v>
      </c>
      <c r="K25" s="80"/>
      <c r="L25" s="316">
        <v>0</v>
      </c>
      <c r="M25" s="80"/>
      <c r="N25" s="316">
        <f>($AA25-SUM($D25:$L25))/7</f>
        <v>0</v>
      </c>
      <c r="O25" s="80"/>
      <c r="P25" s="316">
        <f t="shared" si="5"/>
        <v>0</v>
      </c>
      <c r="Q25" s="316">
        <f t="shared" si="0"/>
        <v>0</v>
      </c>
      <c r="R25" s="80"/>
      <c r="S25" s="316">
        <f t="shared" si="1"/>
        <v>0</v>
      </c>
      <c r="T25" s="80"/>
      <c r="U25" s="316">
        <f t="shared" si="2"/>
        <v>0</v>
      </c>
      <c r="V25" s="80"/>
      <c r="W25" s="316">
        <f t="shared" si="3"/>
        <v>0</v>
      </c>
      <c r="X25" s="316"/>
      <c r="Y25" s="316">
        <f t="shared" si="4"/>
        <v>0</v>
      </c>
      <c r="Z25" s="79"/>
      <c r="AA25" s="79">
        <v>0</v>
      </c>
    </row>
    <row r="26" spans="1:27" s="93" customFormat="1">
      <c r="A26" s="51" t="s">
        <v>261</v>
      </c>
      <c r="B26" s="78">
        <v>1.7</v>
      </c>
      <c r="C26" s="79"/>
      <c r="D26" s="316">
        <v>0.14166666666666666</v>
      </c>
      <c r="E26" s="80"/>
      <c r="F26" s="316">
        <v>0.14166666666666666</v>
      </c>
      <c r="G26" s="80"/>
      <c r="H26" s="316">
        <f>6.4-SUM(D26:F26)</f>
        <v>6.1166666666666671</v>
      </c>
      <c r="I26" s="80"/>
      <c r="J26" s="316">
        <v>-0.52222222222222225</v>
      </c>
      <c r="K26" s="80"/>
      <c r="L26" s="316">
        <v>-0.52222222222222225</v>
      </c>
      <c r="M26" s="80"/>
      <c r="N26" s="316">
        <v>-0.52</v>
      </c>
      <c r="O26" s="80"/>
      <c r="P26" s="316">
        <f t="shared" si="5"/>
        <v>-0.52259259259259272</v>
      </c>
      <c r="Q26" s="316">
        <f t="shared" si="0"/>
        <v>-0.52259259259259272</v>
      </c>
      <c r="R26" s="80"/>
      <c r="S26" s="316">
        <f t="shared" si="1"/>
        <v>-0.52259259259259272</v>
      </c>
      <c r="T26" s="80"/>
      <c r="U26" s="316">
        <f t="shared" si="2"/>
        <v>-0.52259259259259272</v>
      </c>
      <c r="V26" s="80"/>
      <c r="W26" s="316">
        <f t="shared" si="3"/>
        <v>-0.52259259259259272</v>
      </c>
      <c r="X26" s="316"/>
      <c r="Y26" s="316">
        <f t="shared" si="4"/>
        <v>-0.52259259259259272</v>
      </c>
      <c r="Z26" s="79"/>
      <c r="AA26" s="79">
        <v>1.7</v>
      </c>
    </row>
    <row r="27" spans="1:27" s="93" customFormat="1">
      <c r="A27" s="51" t="s">
        <v>262</v>
      </c>
      <c r="B27" s="78">
        <v>28.6</v>
      </c>
      <c r="C27" s="79"/>
      <c r="D27" s="316">
        <v>1.5166666666666666</v>
      </c>
      <c r="E27" s="80"/>
      <c r="F27" s="316">
        <v>1.5166666666666666</v>
      </c>
      <c r="G27" s="80"/>
      <c r="H27" s="316">
        <f>0.6-SUM(D27:F27)</f>
        <v>-2.4333333333333331</v>
      </c>
      <c r="I27" s="80"/>
      <c r="J27" s="316">
        <v>1.9555555555555553</v>
      </c>
      <c r="K27" s="80"/>
      <c r="L27" s="316">
        <v>1.9555555555555555</v>
      </c>
      <c r="M27" s="80"/>
      <c r="N27" s="316">
        <v>1.96</v>
      </c>
      <c r="O27" s="80"/>
      <c r="P27" s="316">
        <f t="shared" si="5"/>
        <v>1.9548148148148148</v>
      </c>
      <c r="Q27" s="316">
        <f t="shared" si="0"/>
        <v>1.9548148148148148</v>
      </c>
      <c r="R27" s="80"/>
      <c r="S27" s="316">
        <f t="shared" si="1"/>
        <v>1.9548148148148148</v>
      </c>
      <c r="T27" s="80"/>
      <c r="U27" s="316">
        <f t="shared" si="2"/>
        <v>1.9548148148148148</v>
      </c>
      <c r="V27" s="80"/>
      <c r="W27" s="316">
        <f t="shared" si="3"/>
        <v>1.9548148148148148</v>
      </c>
      <c r="X27" s="316"/>
      <c r="Y27" s="316">
        <f t="shared" si="4"/>
        <v>1.9548148148148148</v>
      </c>
      <c r="Z27" s="79"/>
      <c r="AA27" s="79">
        <f>18.2</f>
        <v>18.2</v>
      </c>
    </row>
    <row r="28" spans="1:27" s="93" customFormat="1">
      <c r="A28" s="51" t="s">
        <v>263</v>
      </c>
      <c r="B28" s="78">
        <v>12.1</v>
      </c>
      <c r="C28" s="79"/>
      <c r="D28" s="316">
        <v>0.64166666666666672</v>
      </c>
      <c r="E28" s="80"/>
      <c r="F28" s="316">
        <v>0.64166666666666672</v>
      </c>
      <c r="G28" s="80"/>
      <c r="H28" s="316">
        <f>1.3-SUM(D28:F28)</f>
        <v>1.6666666666666607E-2</v>
      </c>
      <c r="I28" s="80"/>
      <c r="J28" s="316">
        <v>0.71111111111111114</v>
      </c>
      <c r="K28" s="80"/>
      <c r="L28" s="316">
        <v>0.71111111111111114</v>
      </c>
      <c r="M28" s="80"/>
      <c r="N28" s="316">
        <v>0.71</v>
      </c>
      <c r="O28" s="80"/>
      <c r="P28" s="316">
        <f t="shared" si="5"/>
        <v>0.71129629629629632</v>
      </c>
      <c r="Q28" s="316">
        <f t="shared" si="0"/>
        <v>0.71129629629629632</v>
      </c>
      <c r="R28" s="80"/>
      <c r="S28" s="316">
        <f t="shared" si="1"/>
        <v>0.71129629629629632</v>
      </c>
      <c r="T28" s="80"/>
      <c r="U28" s="316">
        <f t="shared" si="2"/>
        <v>0.71129629629629632</v>
      </c>
      <c r="V28" s="80"/>
      <c r="W28" s="316">
        <f t="shared" si="3"/>
        <v>0.71129629629629632</v>
      </c>
      <c r="X28" s="316"/>
      <c r="Y28" s="316">
        <f t="shared" si="4"/>
        <v>0.71129629629629632</v>
      </c>
      <c r="Z28" s="79"/>
      <c r="AA28" s="79">
        <f>7.7</f>
        <v>7.7</v>
      </c>
    </row>
    <row r="29" spans="1:27" s="93" customFormat="1">
      <c r="A29" s="51"/>
      <c r="B29" s="78"/>
      <c r="C29" s="79"/>
      <c r="D29" s="316"/>
      <c r="E29" s="80"/>
      <c r="F29" s="316"/>
      <c r="G29" s="80"/>
      <c r="H29" s="316"/>
      <c r="I29" s="80"/>
      <c r="J29" s="316"/>
      <c r="K29" s="80"/>
      <c r="L29" s="316"/>
      <c r="M29" s="80"/>
      <c r="N29" s="316"/>
      <c r="O29" s="80"/>
      <c r="P29" s="316"/>
      <c r="Q29" s="316"/>
      <c r="R29" s="80"/>
      <c r="S29" s="316"/>
      <c r="T29" s="80"/>
      <c r="U29" s="316"/>
      <c r="V29" s="80"/>
      <c r="W29" s="316"/>
      <c r="X29" s="80"/>
      <c r="Y29" s="316"/>
      <c r="Z29" s="79"/>
      <c r="AA29" s="79"/>
    </row>
    <row r="30" spans="1:27" s="93" customFormat="1">
      <c r="A30" s="51"/>
      <c r="B30" s="78"/>
      <c r="C30" s="79"/>
      <c r="D30" s="316"/>
      <c r="E30" s="80"/>
      <c r="F30" s="316"/>
      <c r="G30" s="80"/>
      <c r="H30" s="316"/>
      <c r="I30" s="80"/>
      <c r="J30" s="316"/>
      <c r="K30" s="80"/>
      <c r="L30" s="316"/>
      <c r="M30" s="80"/>
      <c r="N30" s="316"/>
      <c r="O30" s="80"/>
      <c r="P30" s="316"/>
      <c r="Q30" s="316"/>
      <c r="R30" s="80"/>
      <c r="S30" s="316"/>
      <c r="T30" s="80"/>
      <c r="U30" s="316"/>
      <c r="V30" s="80"/>
      <c r="W30" s="316"/>
      <c r="X30" s="80"/>
      <c r="Y30" s="316"/>
      <c r="Z30" s="79"/>
      <c r="AA30" s="79"/>
    </row>
    <row r="31" spans="1:27" s="93" customFormat="1">
      <c r="A31" s="51"/>
      <c r="B31" s="78"/>
      <c r="C31" s="79"/>
      <c r="D31" s="316"/>
      <c r="E31" s="80"/>
      <c r="F31" s="316"/>
      <c r="G31" s="80"/>
      <c r="H31" s="316"/>
      <c r="I31" s="80"/>
      <c r="J31" s="316"/>
      <c r="K31" s="80"/>
      <c r="L31" s="316"/>
      <c r="M31" s="80"/>
      <c r="N31" s="316"/>
      <c r="O31" s="80"/>
      <c r="P31" s="316"/>
      <c r="Q31" s="316"/>
      <c r="R31" s="80"/>
      <c r="S31" s="316"/>
      <c r="T31" s="80"/>
      <c r="U31" s="316"/>
      <c r="V31" s="80"/>
      <c r="W31" s="316"/>
      <c r="X31" s="80"/>
      <c r="Y31" s="316"/>
      <c r="Z31" s="79"/>
      <c r="AA31" s="79"/>
    </row>
    <row r="32" spans="1:27" s="275" customFormat="1" ht="5.0999999999999996" customHeight="1">
      <c r="A32" s="261"/>
      <c r="B32" s="269"/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</row>
    <row r="33" spans="1:29" s="93" customFormat="1" ht="14.4" thickBot="1">
      <c r="A33" s="84" t="s">
        <v>230</v>
      </c>
      <c r="B33" s="272">
        <f>SUM(B13:B32)</f>
        <v>213.6</v>
      </c>
      <c r="C33" s="86"/>
      <c r="D33" s="272">
        <f>SUM(D13:D32)</f>
        <v>10.65</v>
      </c>
      <c r="E33" s="87"/>
      <c r="F33" s="272">
        <f>SUM(F13:F32)</f>
        <v>20.549999999999997</v>
      </c>
      <c r="G33" s="87"/>
      <c r="H33" s="272">
        <f>SUM(H13:H32)</f>
        <v>26.01</v>
      </c>
      <c r="I33" s="87"/>
      <c r="J33" s="272">
        <f>SUM(J13:J32)</f>
        <v>16.433666666666667</v>
      </c>
      <c r="K33" s="87"/>
      <c r="L33" s="272">
        <f>SUM(L13:L32)</f>
        <v>18.119166666666665</v>
      </c>
      <c r="M33" s="87"/>
      <c r="N33" s="272">
        <f>SUM(N13:N32)</f>
        <v>20.61877777777778</v>
      </c>
      <c r="O33" s="87"/>
      <c r="P33" s="272">
        <f>SUM(P13:P32)</f>
        <v>22.791120370370368</v>
      </c>
      <c r="Q33" s="272">
        <f>SUM(Q13:Q32)</f>
        <v>18.833731481481482</v>
      </c>
      <c r="R33" s="271">
        <f>SUM(R13:R32)</f>
        <v>0</v>
      </c>
      <c r="S33" s="272">
        <f>SUM(S13:S32)</f>
        <v>17.475231481481483</v>
      </c>
      <c r="T33" s="87"/>
      <c r="U33" s="272">
        <f>SUM(U13:U32)</f>
        <v>17.475231481481483</v>
      </c>
      <c r="V33" s="87"/>
      <c r="W33" s="272">
        <f>SUM(W13:W32)</f>
        <v>17.475231481481483</v>
      </c>
      <c r="X33" s="87"/>
      <c r="Y33" s="272">
        <f>SUM(Y13:Y32)</f>
        <v>17.475231481481483</v>
      </c>
      <c r="Z33" s="87"/>
      <c r="AA33" s="272">
        <f>SUM(AA13:AA32)</f>
        <v>219.94999999999996</v>
      </c>
      <c r="AC33" s="93">
        <f>+AA33-AB33</f>
        <v>219.94999999999996</v>
      </c>
    </row>
    <row r="34" spans="1:29" ht="15.6" thickTop="1">
      <c r="A34" s="6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</row>
    <row r="35" spans="1:29">
      <c r="A35" s="6" t="str">
        <f ca="1">CELL("filename",A1)</f>
        <v>G:\MRO\MRO\Aug01\[3rd quarter curr est.xls]CapEx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</row>
    <row r="36" spans="1:29">
      <c r="A36" s="7">
        <f ca="1">NOW()</f>
        <v>37151.667196180555</v>
      </c>
    </row>
  </sheetData>
  <printOptions horizontalCentered="1"/>
  <pageMargins left="0.5" right="0.5" top="0.75" bottom="0.75" header="0.5" footer="0.5"/>
  <pageSetup scale="7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/>
  </sheetViews>
  <sheetFormatPr defaultColWidth="12.5546875" defaultRowHeight="15"/>
  <cols>
    <col min="1" max="1" width="40.109375" style="91" customWidth="1"/>
    <col min="2" max="2" width="8.6640625" style="91" customWidth="1"/>
    <col min="3" max="3" width="2.33203125" style="91" customWidth="1"/>
    <col min="4" max="4" width="8.6640625" style="91" customWidth="1"/>
    <col min="5" max="5" width="2.33203125" style="91" customWidth="1"/>
    <col min="6" max="6" width="8.6640625" style="91" customWidth="1"/>
    <col min="7" max="7" width="2.33203125" style="91" customWidth="1"/>
    <col min="8" max="8" width="8.6640625" style="91" customWidth="1"/>
    <col min="9" max="9" width="2.33203125" style="91" customWidth="1"/>
    <col min="10" max="10" width="8.6640625" style="91" customWidth="1"/>
    <col min="11" max="11" width="2.33203125" style="91" customWidth="1"/>
    <col min="12" max="12" width="8.6640625" style="91" customWidth="1"/>
    <col min="13" max="13" width="2.33203125" style="91" customWidth="1"/>
    <col min="14" max="14" width="8.6640625" style="91" customWidth="1"/>
    <col min="15" max="15" width="2.33203125" style="91" customWidth="1"/>
    <col min="16" max="16" width="8.6640625" style="91" customWidth="1"/>
    <col min="17" max="17" width="2.33203125" style="91" customWidth="1"/>
    <col min="18" max="18" width="8.6640625" style="91" customWidth="1"/>
    <col min="19" max="19" width="2.33203125" style="91" customWidth="1"/>
    <col min="20" max="20" width="8.6640625" style="91" customWidth="1"/>
    <col min="21" max="21" width="2.33203125" style="91" customWidth="1"/>
    <col min="22" max="22" width="8.6640625" style="91" customWidth="1"/>
    <col min="23" max="23" width="2.33203125" style="91" customWidth="1"/>
    <col min="24" max="24" width="8.6640625" style="91" customWidth="1"/>
    <col min="25" max="25" width="2.33203125" style="91" customWidth="1"/>
    <col min="26" max="26" width="8.6640625" style="91" customWidth="1"/>
    <col min="27" max="27" width="2.33203125" style="91" customWidth="1"/>
    <col min="28" max="28" width="8.6640625" style="91" customWidth="1"/>
    <col min="29" max="16384" width="12.5546875" style="91"/>
  </cols>
  <sheetData>
    <row r="1" spans="1:28" ht="17.399999999999999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28" ht="17.399999999999999">
      <c r="A2" s="40" t="s">
        <v>64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17.399999999999999">
      <c r="A3" s="40" t="s">
        <v>65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ht="17.399999999999999">
      <c r="A4" s="151" t="s">
        <v>63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</row>
    <row r="5" spans="1:28" ht="17.399999999999999">
      <c r="A5" s="66" t="s">
        <v>2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8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spans="1:28" s="92" customFormat="1" ht="13.8">
      <c r="A7" s="71"/>
      <c r="B7" s="70" t="s">
        <v>25</v>
      </c>
      <c r="C7" s="72"/>
      <c r="D7" s="74" t="s">
        <v>66</v>
      </c>
      <c r="E7" s="73"/>
      <c r="F7" s="74"/>
      <c r="G7" s="7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28" s="92" customFormat="1" ht="13.8">
      <c r="A8" s="75"/>
      <c r="B8" s="154" t="s">
        <v>107</v>
      </c>
      <c r="C8" s="75"/>
      <c r="D8" s="155" t="s">
        <v>26</v>
      </c>
      <c r="E8" s="76"/>
      <c r="F8" s="155" t="s">
        <v>27</v>
      </c>
      <c r="G8" s="76"/>
      <c r="H8" s="155" t="s">
        <v>28</v>
      </c>
      <c r="I8" s="76"/>
      <c r="J8" s="155" t="s">
        <v>29</v>
      </c>
      <c r="K8" s="76"/>
      <c r="L8" s="155" t="s">
        <v>30</v>
      </c>
      <c r="M8" s="76"/>
      <c r="N8" s="155" t="s">
        <v>31</v>
      </c>
      <c r="O8" s="76"/>
      <c r="P8" s="155" t="s">
        <v>32</v>
      </c>
      <c r="Q8" s="76"/>
      <c r="R8" s="155" t="s">
        <v>33</v>
      </c>
      <c r="S8" s="76"/>
      <c r="T8" s="155" t="s">
        <v>34</v>
      </c>
      <c r="U8" s="76"/>
      <c r="V8" s="155" t="s">
        <v>35</v>
      </c>
      <c r="W8" s="76"/>
      <c r="X8" s="155" t="s">
        <v>36</v>
      </c>
      <c r="Y8" s="76"/>
      <c r="Z8" s="155" t="s">
        <v>37</v>
      </c>
      <c r="AA8" s="76"/>
      <c r="AB8" s="155" t="s">
        <v>38</v>
      </c>
    </row>
    <row r="9" spans="1:28" s="92" customFormat="1" ht="13.8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spans="1:28" s="92" customFormat="1" ht="13.8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28" s="92" customFormat="1" ht="13.8">
      <c r="A11" s="72" t="s">
        <v>54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spans="1:28" s="93" customFormat="1" ht="13.8">
      <c r="A12" s="250" t="s">
        <v>10</v>
      </c>
      <c r="B12" s="78">
        <v>0</v>
      </c>
      <c r="C12" s="79"/>
      <c r="D12" s="78">
        <v>0</v>
      </c>
      <c r="E12" s="79"/>
      <c r="F12" s="78">
        <v>0</v>
      </c>
      <c r="G12" s="79"/>
      <c r="H12" s="78">
        <v>0</v>
      </c>
      <c r="I12" s="79"/>
      <c r="J12" s="78">
        <v>0</v>
      </c>
      <c r="K12" s="79"/>
      <c r="L12" s="78">
        <v>0</v>
      </c>
      <c r="M12" s="79"/>
      <c r="N12" s="78">
        <v>0</v>
      </c>
      <c r="O12" s="79"/>
      <c r="P12" s="78">
        <v>0</v>
      </c>
      <c r="Q12" s="79"/>
      <c r="R12" s="78">
        <v>0</v>
      </c>
      <c r="S12" s="79"/>
      <c r="T12" s="78">
        <v>0</v>
      </c>
      <c r="U12" s="79"/>
      <c r="V12" s="78">
        <v>0</v>
      </c>
      <c r="W12" s="79"/>
      <c r="X12" s="78">
        <v>0</v>
      </c>
      <c r="Y12" s="79"/>
      <c r="Z12" s="78">
        <v>0</v>
      </c>
      <c r="AA12" s="79"/>
      <c r="AB12" s="79">
        <f>SUM(C12:Z12)</f>
        <v>0</v>
      </c>
    </row>
    <row r="13" spans="1:28" s="93" customFormat="1" ht="13.8">
      <c r="A13" s="250" t="s">
        <v>10</v>
      </c>
      <c r="B13" s="78">
        <v>0</v>
      </c>
      <c r="C13" s="79"/>
      <c r="D13" s="78">
        <v>0</v>
      </c>
      <c r="E13" s="79"/>
      <c r="F13" s="78">
        <v>0</v>
      </c>
      <c r="G13" s="79"/>
      <c r="H13" s="78">
        <v>0</v>
      </c>
      <c r="I13" s="79"/>
      <c r="J13" s="78">
        <v>0</v>
      </c>
      <c r="K13" s="79"/>
      <c r="L13" s="78">
        <v>0</v>
      </c>
      <c r="M13" s="79"/>
      <c r="N13" s="78">
        <v>0</v>
      </c>
      <c r="O13" s="79"/>
      <c r="P13" s="78">
        <v>0</v>
      </c>
      <c r="Q13" s="79"/>
      <c r="R13" s="78">
        <v>0</v>
      </c>
      <c r="S13" s="79"/>
      <c r="T13" s="78">
        <v>0</v>
      </c>
      <c r="U13" s="79"/>
      <c r="V13" s="78">
        <v>0</v>
      </c>
      <c r="W13" s="79"/>
      <c r="X13" s="78">
        <v>0</v>
      </c>
      <c r="Y13" s="79"/>
      <c r="Z13" s="78">
        <v>0</v>
      </c>
      <c r="AA13" s="79"/>
      <c r="AB13" s="79">
        <f>SUM(C13:Z13)</f>
        <v>0</v>
      </c>
    </row>
    <row r="14" spans="1:28" s="93" customFormat="1" ht="13.8">
      <c r="A14" s="250" t="s">
        <v>10</v>
      </c>
      <c r="B14" s="78">
        <v>0</v>
      </c>
      <c r="C14" s="79"/>
      <c r="D14" s="78">
        <v>0</v>
      </c>
      <c r="E14" s="79"/>
      <c r="F14" s="78">
        <v>0</v>
      </c>
      <c r="G14" s="79"/>
      <c r="H14" s="78">
        <v>0</v>
      </c>
      <c r="I14" s="79"/>
      <c r="J14" s="78">
        <v>0</v>
      </c>
      <c r="K14" s="79"/>
      <c r="L14" s="78">
        <v>0</v>
      </c>
      <c r="M14" s="79"/>
      <c r="N14" s="78">
        <v>0</v>
      </c>
      <c r="O14" s="79"/>
      <c r="P14" s="78">
        <v>0</v>
      </c>
      <c r="Q14" s="79"/>
      <c r="R14" s="78">
        <v>0</v>
      </c>
      <c r="S14" s="79"/>
      <c r="T14" s="78">
        <v>0</v>
      </c>
      <c r="U14" s="79"/>
      <c r="V14" s="78">
        <v>0</v>
      </c>
      <c r="W14" s="79"/>
      <c r="X14" s="78">
        <v>0</v>
      </c>
      <c r="Y14" s="79"/>
      <c r="Z14" s="78">
        <v>0</v>
      </c>
      <c r="AA14" s="79"/>
      <c r="AB14" s="79">
        <f>SUM(C14:Z14)</f>
        <v>0</v>
      </c>
    </row>
    <row r="15" spans="1:28" s="93" customFormat="1" ht="13.8">
      <c r="A15" s="250" t="s">
        <v>10</v>
      </c>
      <c r="B15" s="78">
        <v>0</v>
      </c>
      <c r="C15" s="79"/>
      <c r="D15" s="78">
        <v>0</v>
      </c>
      <c r="E15" s="79"/>
      <c r="F15" s="78">
        <v>0</v>
      </c>
      <c r="G15" s="79"/>
      <c r="H15" s="78">
        <v>0</v>
      </c>
      <c r="I15" s="79"/>
      <c r="J15" s="78">
        <v>0</v>
      </c>
      <c r="K15" s="79"/>
      <c r="L15" s="78">
        <v>0</v>
      </c>
      <c r="M15" s="79"/>
      <c r="N15" s="78">
        <v>0</v>
      </c>
      <c r="O15" s="79"/>
      <c r="P15" s="78">
        <v>0</v>
      </c>
      <c r="Q15" s="79"/>
      <c r="R15" s="78">
        <v>0</v>
      </c>
      <c r="S15" s="79"/>
      <c r="T15" s="78">
        <v>0</v>
      </c>
      <c r="U15" s="79"/>
      <c r="V15" s="78">
        <v>0</v>
      </c>
      <c r="W15" s="79"/>
      <c r="X15" s="78">
        <v>0</v>
      </c>
      <c r="Y15" s="79"/>
      <c r="Z15" s="78">
        <v>0</v>
      </c>
      <c r="AA15" s="79"/>
      <c r="AB15" s="79">
        <f>SUM(C15:Z15)</f>
        <v>0</v>
      </c>
    </row>
    <row r="16" spans="1:28" s="93" customFormat="1" ht="13.8">
      <c r="A16" s="250" t="s">
        <v>10</v>
      </c>
      <c r="B16" s="78">
        <v>0</v>
      </c>
      <c r="C16" s="79"/>
      <c r="D16" s="78">
        <v>0</v>
      </c>
      <c r="E16" s="79"/>
      <c r="F16" s="78">
        <v>0</v>
      </c>
      <c r="G16" s="79"/>
      <c r="H16" s="78">
        <v>0</v>
      </c>
      <c r="I16" s="79"/>
      <c r="J16" s="78">
        <v>0</v>
      </c>
      <c r="K16" s="79"/>
      <c r="L16" s="78">
        <v>0</v>
      </c>
      <c r="M16" s="79"/>
      <c r="N16" s="78">
        <v>0</v>
      </c>
      <c r="O16" s="79"/>
      <c r="P16" s="78">
        <v>0</v>
      </c>
      <c r="Q16" s="79"/>
      <c r="R16" s="78">
        <v>0</v>
      </c>
      <c r="S16" s="79"/>
      <c r="T16" s="78">
        <v>0</v>
      </c>
      <c r="U16" s="79"/>
      <c r="V16" s="78">
        <v>0</v>
      </c>
      <c r="W16" s="79"/>
      <c r="X16" s="78">
        <v>0</v>
      </c>
      <c r="Y16" s="79"/>
      <c r="Z16" s="78">
        <v>0</v>
      </c>
      <c r="AA16" s="79"/>
      <c r="AB16" s="79">
        <f>SUM(C16:Z16)</f>
        <v>0</v>
      </c>
    </row>
    <row r="17" spans="1:28" s="93" customFormat="1" ht="5.0999999999999996" customHeight="1">
      <c r="A17" s="250"/>
      <c r="B17" s="78"/>
      <c r="C17" s="79"/>
      <c r="D17" s="78"/>
      <c r="E17" s="79"/>
      <c r="F17" s="78"/>
      <c r="G17" s="79"/>
      <c r="H17" s="78"/>
      <c r="I17" s="79"/>
      <c r="J17" s="78"/>
      <c r="K17" s="79"/>
      <c r="L17" s="78"/>
      <c r="M17" s="79"/>
      <c r="N17" s="78"/>
      <c r="O17" s="79"/>
      <c r="P17" s="78"/>
      <c r="Q17" s="79"/>
      <c r="R17" s="78"/>
      <c r="S17" s="79"/>
      <c r="T17" s="78"/>
      <c r="U17" s="79"/>
      <c r="V17" s="78"/>
      <c r="W17" s="79"/>
      <c r="X17" s="78"/>
      <c r="Y17" s="79"/>
      <c r="Z17" s="78"/>
      <c r="AA17" s="79"/>
      <c r="AB17" s="79"/>
    </row>
    <row r="18" spans="1:28" s="287" customFormat="1" ht="13.8">
      <c r="A18" s="256" t="s">
        <v>47</v>
      </c>
      <c r="B18" s="265">
        <f>+B20-SUM(B11:B17)</f>
        <v>0</v>
      </c>
      <c r="C18" s="265"/>
      <c r="D18" s="265">
        <f>+D20-SUM(D11:D17)</f>
        <v>0</v>
      </c>
      <c r="E18" s="265"/>
      <c r="F18" s="265">
        <f>+F20-SUM(F11:F17)</f>
        <v>0</v>
      </c>
      <c r="G18" s="265"/>
      <c r="H18" s="265">
        <f>+H20-SUM(H11:H17)</f>
        <v>0</v>
      </c>
      <c r="I18" s="265"/>
      <c r="J18" s="265">
        <f>+J20-SUM(J11:J17)</f>
        <v>0</v>
      </c>
      <c r="K18" s="265"/>
      <c r="L18" s="265">
        <f>+L20-SUM(L11:L17)</f>
        <v>0</v>
      </c>
      <c r="M18" s="265"/>
      <c r="N18" s="265">
        <f>+N20-SUM(N11:N17)</f>
        <v>0</v>
      </c>
      <c r="O18" s="265"/>
      <c r="P18" s="265">
        <f>+P20-SUM(P11:P17)</f>
        <v>0</v>
      </c>
      <c r="Q18" s="265"/>
      <c r="R18" s="265">
        <f>+R20-SUM(R11:R17)</f>
        <v>0</v>
      </c>
      <c r="S18" s="265"/>
      <c r="T18" s="265">
        <f>+T20-SUM(T11:T17)</f>
        <v>0</v>
      </c>
      <c r="U18" s="265"/>
      <c r="V18" s="265">
        <f>+V20-SUM(V11:V17)</f>
        <v>0</v>
      </c>
      <c r="W18" s="265"/>
      <c r="X18" s="265">
        <f>+X20-SUM(X11:X17)</f>
        <v>0</v>
      </c>
      <c r="Y18" s="265"/>
      <c r="Z18" s="265">
        <f>+Z20-SUM(Z11:Z17)</f>
        <v>0</v>
      </c>
      <c r="AA18" s="265"/>
      <c r="AB18" s="265">
        <f>+AB20-SUM(AB11:AB17)</f>
        <v>0</v>
      </c>
    </row>
    <row r="19" spans="1:28" s="158" customFormat="1" ht="5.0999999999999996" customHeight="1">
      <c r="A19" s="276"/>
      <c r="B19" s="78"/>
      <c r="C19" s="79"/>
      <c r="D19" s="78"/>
      <c r="E19" s="79"/>
      <c r="F19" s="78"/>
      <c r="G19" s="79"/>
      <c r="H19" s="78"/>
      <c r="I19" s="79"/>
      <c r="J19" s="78"/>
      <c r="K19" s="79"/>
      <c r="L19" s="78"/>
      <c r="M19" s="79"/>
      <c r="N19" s="78"/>
      <c r="O19" s="79"/>
      <c r="P19" s="78"/>
      <c r="Q19" s="79"/>
      <c r="R19" s="78"/>
      <c r="S19" s="79"/>
      <c r="T19" s="78"/>
      <c r="U19" s="79"/>
      <c r="V19" s="78"/>
      <c r="W19" s="79"/>
      <c r="X19" s="78"/>
      <c r="Y19" s="79"/>
      <c r="Z19" s="78"/>
      <c r="AA19" s="79"/>
      <c r="AB19" s="78"/>
    </row>
    <row r="20" spans="1:28" s="93" customFormat="1" ht="14.4" thickBot="1">
      <c r="A20" s="285" t="s">
        <v>231</v>
      </c>
      <c r="B20" s="286">
        <f>+Format!D105</f>
        <v>0</v>
      </c>
      <c r="C20" s="251"/>
      <c r="D20" s="286">
        <f>+Format!F105</f>
        <v>0</v>
      </c>
      <c r="E20" s="251"/>
      <c r="F20" s="286">
        <f>+Format!H105</f>
        <v>0</v>
      </c>
      <c r="G20" s="251"/>
      <c r="H20" s="286">
        <f>+Format!J105</f>
        <v>0</v>
      </c>
      <c r="I20" s="251"/>
      <c r="J20" s="286">
        <f>+Format!L105</f>
        <v>0</v>
      </c>
      <c r="K20" s="251"/>
      <c r="L20" s="286">
        <f>+Format!N105</f>
        <v>0</v>
      </c>
      <c r="M20" s="251"/>
      <c r="N20" s="286">
        <f>+Format!P105</f>
        <v>0</v>
      </c>
      <c r="O20" s="251"/>
      <c r="P20" s="286">
        <f>+Format!R105</f>
        <v>0</v>
      </c>
      <c r="Q20" s="251"/>
      <c r="R20" s="286">
        <f>+Format!T105</f>
        <v>0</v>
      </c>
      <c r="S20" s="251"/>
      <c r="T20" s="286">
        <f>+Format!V105</f>
        <v>0</v>
      </c>
      <c r="U20" s="251"/>
      <c r="V20" s="286">
        <f>+Format!X105</f>
        <v>0</v>
      </c>
      <c r="W20" s="251"/>
      <c r="X20" s="286">
        <f>+Format!Z105</f>
        <v>0</v>
      </c>
      <c r="Y20" s="251"/>
      <c r="Z20" s="286">
        <f>+Format!AB105</f>
        <v>0</v>
      </c>
      <c r="AA20" s="251"/>
      <c r="AB20" s="286">
        <f>+Format!AD105</f>
        <v>0</v>
      </c>
    </row>
    <row r="21" spans="1:28" s="93" customFormat="1" ht="14.4" thickTop="1">
      <c r="A21" s="250"/>
      <c r="B21" s="78"/>
      <c r="C21" s="79"/>
      <c r="D21" s="78"/>
      <c r="E21" s="79"/>
      <c r="F21" s="78"/>
      <c r="G21" s="79"/>
      <c r="H21" s="78"/>
      <c r="I21" s="79"/>
      <c r="J21" s="78"/>
      <c r="K21" s="79"/>
      <c r="L21" s="78"/>
      <c r="M21" s="79"/>
      <c r="N21" s="78"/>
      <c r="O21" s="79"/>
      <c r="P21" s="78"/>
      <c r="Q21" s="79"/>
      <c r="R21" s="78"/>
      <c r="S21" s="79"/>
      <c r="T21" s="78"/>
      <c r="U21" s="79"/>
      <c r="V21" s="78"/>
      <c r="W21" s="79"/>
      <c r="X21" s="78"/>
      <c r="Y21" s="79"/>
      <c r="Z21" s="78"/>
      <c r="AA21" s="79"/>
      <c r="AB21" s="79"/>
    </row>
    <row r="22" spans="1:28" s="93" customFormat="1" ht="13.8">
      <c r="A22" s="157" t="s">
        <v>67</v>
      </c>
      <c r="B22" s="78"/>
      <c r="C22" s="79"/>
      <c r="D22" s="78"/>
      <c r="E22" s="79"/>
      <c r="F22" s="78"/>
      <c r="G22" s="79"/>
      <c r="H22" s="78"/>
      <c r="I22" s="79"/>
      <c r="J22" s="78"/>
      <c r="K22" s="79"/>
      <c r="L22" s="78"/>
      <c r="M22" s="79"/>
      <c r="N22" s="78"/>
      <c r="O22" s="79"/>
      <c r="P22" s="78"/>
      <c r="Q22" s="79"/>
      <c r="R22" s="78"/>
      <c r="S22" s="79"/>
      <c r="T22" s="78"/>
      <c r="U22" s="79"/>
      <c r="V22" s="78"/>
      <c r="W22" s="79"/>
      <c r="X22" s="78"/>
      <c r="Y22" s="79"/>
      <c r="Z22" s="78"/>
      <c r="AA22" s="79"/>
      <c r="AB22" s="79"/>
    </row>
    <row r="23" spans="1:28" s="93" customFormat="1" ht="13.8">
      <c r="A23" s="250" t="s">
        <v>10</v>
      </c>
      <c r="B23" s="78">
        <v>0</v>
      </c>
      <c r="C23" s="79"/>
      <c r="D23" s="78">
        <v>0</v>
      </c>
      <c r="E23" s="79"/>
      <c r="F23" s="78">
        <v>0</v>
      </c>
      <c r="G23" s="79"/>
      <c r="H23" s="78">
        <v>0</v>
      </c>
      <c r="I23" s="79"/>
      <c r="J23" s="78">
        <v>0</v>
      </c>
      <c r="K23" s="79"/>
      <c r="L23" s="78">
        <v>0</v>
      </c>
      <c r="M23" s="79"/>
      <c r="N23" s="78">
        <v>0</v>
      </c>
      <c r="O23" s="79"/>
      <c r="P23" s="78">
        <v>0</v>
      </c>
      <c r="Q23" s="79"/>
      <c r="R23" s="78">
        <v>0</v>
      </c>
      <c r="S23" s="79"/>
      <c r="T23" s="78">
        <v>0</v>
      </c>
      <c r="U23" s="79"/>
      <c r="V23" s="78">
        <v>0</v>
      </c>
      <c r="W23" s="79"/>
      <c r="X23" s="78">
        <v>0</v>
      </c>
      <c r="Y23" s="79"/>
      <c r="Z23" s="78">
        <v>0</v>
      </c>
      <c r="AA23" s="79"/>
      <c r="AB23" s="79">
        <f>SUM(C23:Z23)</f>
        <v>0</v>
      </c>
    </row>
    <row r="24" spans="1:28" s="93" customFormat="1" ht="13.8">
      <c r="A24" s="250" t="s">
        <v>10</v>
      </c>
      <c r="B24" s="78">
        <v>0</v>
      </c>
      <c r="C24" s="79"/>
      <c r="D24" s="78">
        <v>0</v>
      </c>
      <c r="E24" s="79"/>
      <c r="F24" s="78">
        <v>0</v>
      </c>
      <c r="G24" s="79"/>
      <c r="H24" s="78">
        <v>0</v>
      </c>
      <c r="I24" s="79"/>
      <c r="J24" s="78">
        <v>0</v>
      </c>
      <c r="K24" s="79"/>
      <c r="L24" s="78">
        <v>0</v>
      </c>
      <c r="M24" s="79"/>
      <c r="N24" s="78">
        <v>0</v>
      </c>
      <c r="O24" s="79"/>
      <c r="P24" s="78">
        <v>0</v>
      </c>
      <c r="Q24" s="79"/>
      <c r="R24" s="78">
        <v>0</v>
      </c>
      <c r="S24" s="79"/>
      <c r="T24" s="78">
        <v>0</v>
      </c>
      <c r="U24" s="79"/>
      <c r="V24" s="78">
        <v>0</v>
      </c>
      <c r="W24" s="79"/>
      <c r="X24" s="78">
        <v>0</v>
      </c>
      <c r="Y24" s="79"/>
      <c r="Z24" s="78">
        <v>0</v>
      </c>
      <c r="AA24" s="79"/>
      <c r="AB24" s="79">
        <f>SUM(C24:Z24)</f>
        <v>0</v>
      </c>
    </row>
    <row r="25" spans="1:28" s="93" customFormat="1" ht="13.8">
      <c r="A25" s="250" t="s">
        <v>10</v>
      </c>
      <c r="B25" s="78">
        <v>0</v>
      </c>
      <c r="C25" s="79"/>
      <c r="D25" s="78">
        <v>0</v>
      </c>
      <c r="E25" s="79"/>
      <c r="F25" s="78">
        <v>0</v>
      </c>
      <c r="G25" s="79"/>
      <c r="H25" s="78">
        <v>0</v>
      </c>
      <c r="I25" s="79"/>
      <c r="J25" s="78">
        <v>0</v>
      </c>
      <c r="K25" s="79"/>
      <c r="L25" s="78">
        <v>0</v>
      </c>
      <c r="M25" s="79"/>
      <c r="N25" s="78">
        <v>0</v>
      </c>
      <c r="O25" s="79"/>
      <c r="P25" s="78">
        <v>0</v>
      </c>
      <c r="Q25" s="79"/>
      <c r="R25" s="78">
        <v>0</v>
      </c>
      <c r="S25" s="79"/>
      <c r="T25" s="78">
        <v>0</v>
      </c>
      <c r="U25" s="79"/>
      <c r="V25" s="78">
        <v>0</v>
      </c>
      <c r="W25" s="79"/>
      <c r="X25" s="78">
        <v>0</v>
      </c>
      <c r="Y25" s="79"/>
      <c r="Z25" s="78">
        <v>0</v>
      </c>
      <c r="AA25" s="79"/>
      <c r="AB25" s="79">
        <f>SUM(C25:Z25)</f>
        <v>0</v>
      </c>
    </row>
    <row r="26" spans="1:28" s="93" customFormat="1" ht="13.8">
      <c r="A26" s="250" t="s">
        <v>10</v>
      </c>
      <c r="B26" s="78">
        <v>0</v>
      </c>
      <c r="C26" s="79"/>
      <c r="D26" s="78">
        <v>0</v>
      </c>
      <c r="E26" s="79"/>
      <c r="F26" s="78">
        <v>0</v>
      </c>
      <c r="G26" s="79"/>
      <c r="H26" s="78">
        <v>0</v>
      </c>
      <c r="I26" s="79"/>
      <c r="J26" s="78">
        <v>0</v>
      </c>
      <c r="K26" s="79"/>
      <c r="L26" s="78">
        <v>0</v>
      </c>
      <c r="M26" s="79"/>
      <c r="N26" s="78">
        <v>0</v>
      </c>
      <c r="O26" s="79"/>
      <c r="P26" s="78">
        <v>0</v>
      </c>
      <c r="Q26" s="79"/>
      <c r="R26" s="78">
        <v>0</v>
      </c>
      <c r="S26" s="79"/>
      <c r="T26" s="78">
        <v>0</v>
      </c>
      <c r="U26" s="79"/>
      <c r="V26" s="78">
        <v>0</v>
      </c>
      <c r="W26" s="79"/>
      <c r="X26" s="78">
        <v>0</v>
      </c>
      <c r="Y26" s="79"/>
      <c r="Z26" s="78">
        <v>0</v>
      </c>
      <c r="AA26" s="79"/>
      <c r="AB26" s="79">
        <f>SUM(C26:Z26)</f>
        <v>0</v>
      </c>
    </row>
    <row r="27" spans="1:28" s="93" customFormat="1" ht="13.8">
      <c r="A27" s="250" t="s">
        <v>10</v>
      </c>
      <c r="B27" s="78">
        <v>0</v>
      </c>
      <c r="C27" s="79"/>
      <c r="D27" s="78">
        <v>0</v>
      </c>
      <c r="E27" s="79"/>
      <c r="F27" s="78">
        <v>0</v>
      </c>
      <c r="G27" s="79"/>
      <c r="H27" s="78">
        <v>0</v>
      </c>
      <c r="I27" s="79"/>
      <c r="J27" s="78">
        <v>0</v>
      </c>
      <c r="K27" s="79"/>
      <c r="L27" s="78">
        <v>0</v>
      </c>
      <c r="M27" s="79"/>
      <c r="N27" s="78">
        <v>0</v>
      </c>
      <c r="O27" s="79"/>
      <c r="P27" s="78">
        <v>0</v>
      </c>
      <c r="Q27" s="79"/>
      <c r="R27" s="78">
        <v>0</v>
      </c>
      <c r="S27" s="79"/>
      <c r="T27" s="78">
        <v>0</v>
      </c>
      <c r="U27" s="79"/>
      <c r="V27" s="78">
        <v>0</v>
      </c>
      <c r="W27" s="79"/>
      <c r="X27" s="78">
        <v>0</v>
      </c>
      <c r="Y27" s="79"/>
      <c r="Z27" s="78">
        <v>0</v>
      </c>
      <c r="AA27" s="79"/>
      <c r="AB27" s="79">
        <f>SUM(C27:Z27)</f>
        <v>0</v>
      </c>
    </row>
    <row r="28" spans="1:28" s="93" customFormat="1" ht="5.0999999999999996" customHeight="1">
      <c r="A28" s="250"/>
      <c r="B28" s="78"/>
      <c r="C28" s="79"/>
      <c r="D28" s="78"/>
      <c r="E28" s="79"/>
      <c r="F28" s="78"/>
      <c r="G28" s="79"/>
      <c r="H28" s="78"/>
      <c r="I28" s="79"/>
      <c r="J28" s="78"/>
      <c r="K28" s="79"/>
      <c r="L28" s="78"/>
      <c r="M28" s="79"/>
      <c r="N28" s="78"/>
      <c r="O28" s="79"/>
      <c r="P28" s="78"/>
      <c r="Q28" s="79"/>
      <c r="R28" s="78"/>
      <c r="S28" s="79"/>
      <c r="T28" s="78"/>
      <c r="U28" s="79"/>
      <c r="V28" s="78"/>
      <c r="W28" s="79"/>
      <c r="X28" s="78"/>
      <c r="Y28" s="79"/>
      <c r="Z28" s="78"/>
      <c r="AA28" s="79"/>
      <c r="AB28" s="79"/>
    </row>
    <row r="29" spans="1:28" s="287" customFormat="1" ht="13.8">
      <c r="A29" s="256" t="s">
        <v>47</v>
      </c>
      <c r="B29" s="265">
        <f>+B31-SUM(B22:B28)</f>
        <v>0</v>
      </c>
      <c r="C29" s="265"/>
      <c r="D29" s="265">
        <f>+D31-SUM(D22:D28)</f>
        <v>0</v>
      </c>
      <c r="E29" s="265"/>
      <c r="F29" s="265">
        <f>+F31-SUM(F22:F28)</f>
        <v>0</v>
      </c>
      <c r="G29" s="265"/>
      <c r="H29" s="265">
        <f>+H31-SUM(H22:H28)</f>
        <v>0</v>
      </c>
      <c r="I29" s="265"/>
      <c r="J29" s="265">
        <f>+J31-SUM(J22:J28)</f>
        <v>0</v>
      </c>
      <c r="K29" s="265"/>
      <c r="L29" s="265">
        <f>+L31-SUM(L22:L28)</f>
        <v>0</v>
      </c>
      <c r="M29" s="265"/>
      <c r="N29" s="265">
        <f>+N31-SUM(N22:N28)</f>
        <v>0</v>
      </c>
      <c r="O29" s="265"/>
      <c r="P29" s="265">
        <f>+P31-SUM(P22:P28)</f>
        <v>0</v>
      </c>
      <c r="Q29" s="265"/>
      <c r="R29" s="265">
        <f>+R31-SUM(R22:R28)</f>
        <v>0</v>
      </c>
      <c r="S29" s="265"/>
      <c r="T29" s="265">
        <f>+T31-SUM(T22:T28)</f>
        <v>0</v>
      </c>
      <c r="U29" s="265"/>
      <c r="V29" s="265">
        <f>+V31-SUM(V22:V28)</f>
        <v>0</v>
      </c>
      <c r="W29" s="265"/>
      <c r="X29" s="265">
        <f>+X31-SUM(X22:X28)</f>
        <v>0</v>
      </c>
      <c r="Y29" s="265"/>
      <c r="Z29" s="265">
        <f>+Z31-SUM(Z22:Z28)</f>
        <v>0</v>
      </c>
      <c r="AA29" s="265"/>
      <c r="AB29" s="265">
        <f>+AB31-SUM(AB22:AB28)</f>
        <v>0</v>
      </c>
    </row>
    <row r="30" spans="1:28" s="158" customFormat="1" ht="5.0999999999999996" customHeight="1">
      <c r="A30" s="276"/>
      <c r="B30" s="78"/>
      <c r="C30" s="79"/>
      <c r="D30" s="78"/>
      <c r="E30" s="79"/>
      <c r="F30" s="78"/>
      <c r="G30" s="79"/>
      <c r="H30" s="78"/>
      <c r="I30" s="79"/>
      <c r="J30" s="78"/>
      <c r="K30" s="79"/>
      <c r="L30" s="78"/>
      <c r="M30" s="79"/>
      <c r="N30" s="78"/>
      <c r="O30" s="79"/>
      <c r="P30" s="78"/>
      <c r="Q30" s="79"/>
      <c r="R30" s="78"/>
      <c r="S30" s="79"/>
      <c r="T30" s="78"/>
      <c r="U30" s="79"/>
      <c r="V30" s="78"/>
      <c r="W30" s="79"/>
      <c r="X30" s="78"/>
      <c r="Y30" s="79"/>
      <c r="Z30" s="78"/>
      <c r="AA30" s="79"/>
      <c r="AB30" s="78"/>
    </row>
    <row r="31" spans="1:28" s="93" customFormat="1" ht="14.4" thickBot="1">
      <c r="A31" s="285" t="s">
        <v>232</v>
      </c>
      <c r="B31" s="286">
        <f>+Format!D106</f>
        <v>0</v>
      </c>
      <c r="C31" s="251"/>
      <c r="D31" s="286">
        <f>+Format!F106</f>
        <v>0</v>
      </c>
      <c r="E31" s="251"/>
      <c r="F31" s="286">
        <f>+Format!H106</f>
        <v>0</v>
      </c>
      <c r="G31" s="251"/>
      <c r="H31" s="286">
        <f>+Format!J106</f>
        <v>0</v>
      </c>
      <c r="I31" s="251"/>
      <c r="J31" s="286">
        <f>+Format!L106</f>
        <v>0</v>
      </c>
      <c r="K31" s="251"/>
      <c r="L31" s="286">
        <f>+Format!N106</f>
        <v>0</v>
      </c>
      <c r="M31" s="251"/>
      <c r="N31" s="286">
        <f>+Format!P106</f>
        <v>0</v>
      </c>
      <c r="O31" s="251"/>
      <c r="P31" s="286">
        <f>+Format!R106</f>
        <v>0</v>
      </c>
      <c r="Q31" s="251"/>
      <c r="R31" s="286">
        <f>+Format!T106</f>
        <v>0</v>
      </c>
      <c r="S31" s="251"/>
      <c r="T31" s="286">
        <f>+Format!V106</f>
        <v>0</v>
      </c>
      <c r="U31" s="251"/>
      <c r="V31" s="286">
        <f>+Format!X106</f>
        <v>0</v>
      </c>
      <c r="W31" s="251"/>
      <c r="X31" s="286">
        <f>+Format!Z106</f>
        <v>0</v>
      </c>
      <c r="Y31" s="251"/>
      <c r="Z31" s="286">
        <f>+Format!AB106</f>
        <v>0</v>
      </c>
      <c r="AA31" s="251"/>
      <c r="AB31" s="286">
        <f>+Format!AD106</f>
        <v>0</v>
      </c>
    </row>
    <row r="32" spans="1:28" s="93" customFormat="1" ht="14.4" thickTop="1">
      <c r="A32" s="250"/>
      <c r="B32" s="78"/>
      <c r="C32" s="79"/>
      <c r="D32" s="78"/>
      <c r="E32" s="79"/>
      <c r="F32" s="78"/>
      <c r="G32" s="79"/>
      <c r="H32" s="78"/>
      <c r="I32" s="79"/>
      <c r="J32" s="78"/>
      <c r="K32" s="79"/>
      <c r="L32" s="78"/>
      <c r="M32" s="79"/>
      <c r="N32" s="78"/>
      <c r="O32" s="79"/>
      <c r="P32" s="78"/>
      <c r="Q32" s="79"/>
      <c r="R32" s="78"/>
      <c r="S32" s="79"/>
      <c r="T32" s="78"/>
      <c r="U32" s="79"/>
      <c r="V32" s="78"/>
      <c r="W32" s="79"/>
      <c r="X32" s="78"/>
      <c r="Y32" s="79"/>
      <c r="Z32" s="78"/>
      <c r="AA32" s="79"/>
      <c r="AB32" s="79"/>
    </row>
    <row r="33" spans="1:28" s="93" customFormat="1" ht="13.8">
      <c r="A33" s="250"/>
      <c r="B33" s="78"/>
      <c r="C33" s="79"/>
      <c r="D33" s="78"/>
      <c r="E33" s="79"/>
      <c r="F33" s="78"/>
      <c r="G33" s="79"/>
      <c r="H33" s="78"/>
      <c r="I33" s="79"/>
      <c r="J33" s="78"/>
      <c r="K33" s="79"/>
      <c r="L33" s="78"/>
      <c r="M33" s="79"/>
      <c r="N33" s="78"/>
      <c r="O33" s="79"/>
      <c r="P33" s="78"/>
      <c r="Q33" s="79"/>
      <c r="R33" s="78"/>
      <c r="S33" s="79"/>
      <c r="T33" s="78"/>
      <c r="U33" s="79"/>
      <c r="V33" s="78"/>
      <c r="W33" s="79"/>
      <c r="X33" s="78"/>
      <c r="Y33" s="79"/>
      <c r="Z33" s="78"/>
      <c r="AA33" s="79"/>
      <c r="AB33" s="79"/>
    </row>
    <row r="34" spans="1:28" s="93" customFormat="1" ht="13.8">
      <c r="A34" s="157" t="s">
        <v>68</v>
      </c>
      <c r="B34" s="78"/>
      <c r="C34" s="79"/>
      <c r="D34" s="78"/>
      <c r="E34" s="79"/>
      <c r="F34" s="78"/>
      <c r="G34" s="79"/>
      <c r="H34" s="78"/>
      <c r="I34" s="79"/>
      <c r="J34" s="78"/>
      <c r="K34" s="79"/>
      <c r="L34" s="78"/>
      <c r="M34" s="79"/>
      <c r="N34" s="78"/>
      <c r="O34" s="79"/>
      <c r="P34" s="78"/>
      <c r="Q34" s="79"/>
      <c r="R34" s="78"/>
      <c r="S34" s="79"/>
      <c r="T34" s="78"/>
      <c r="U34" s="79"/>
      <c r="V34" s="78"/>
      <c r="W34" s="79"/>
      <c r="X34" s="78"/>
      <c r="Y34" s="79"/>
      <c r="Z34" s="78"/>
      <c r="AA34" s="79"/>
      <c r="AB34" s="79"/>
    </row>
    <row r="35" spans="1:28" s="93" customFormat="1" ht="13.8">
      <c r="A35" s="250" t="s">
        <v>10</v>
      </c>
      <c r="B35" s="78">
        <v>0</v>
      </c>
      <c r="C35" s="79"/>
      <c r="D35" s="78">
        <v>0</v>
      </c>
      <c r="E35" s="79"/>
      <c r="F35" s="78">
        <v>0</v>
      </c>
      <c r="G35" s="79"/>
      <c r="H35" s="78">
        <v>0</v>
      </c>
      <c r="I35" s="79"/>
      <c r="J35" s="78">
        <v>0</v>
      </c>
      <c r="K35" s="79"/>
      <c r="L35" s="78">
        <v>0</v>
      </c>
      <c r="M35" s="79"/>
      <c r="N35" s="78">
        <v>0</v>
      </c>
      <c r="O35" s="79"/>
      <c r="P35" s="78">
        <v>0</v>
      </c>
      <c r="Q35" s="79"/>
      <c r="R35" s="78">
        <v>0</v>
      </c>
      <c r="S35" s="79"/>
      <c r="T35" s="78">
        <v>0</v>
      </c>
      <c r="U35" s="79"/>
      <c r="V35" s="78">
        <v>0</v>
      </c>
      <c r="W35" s="79"/>
      <c r="X35" s="78">
        <v>0</v>
      </c>
      <c r="Y35" s="79"/>
      <c r="Z35" s="78">
        <v>0</v>
      </c>
      <c r="AA35" s="79"/>
      <c r="AB35" s="79">
        <f>SUM(C35:Z35)</f>
        <v>0</v>
      </c>
    </row>
    <row r="36" spans="1:28" s="93" customFormat="1" ht="13.8">
      <c r="A36" s="250" t="s">
        <v>10</v>
      </c>
      <c r="B36" s="78">
        <v>0</v>
      </c>
      <c r="C36" s="79"/>
      <c r="D36" s="78">
        <v>0</v>
      </c>
      <c r="E36" s="79"/>
      <c r="F36" s="78">
        <v>0</v>
      </c>
      <c r="G36" s="79"/>
      <c r="H36" s="78">
        <v>0</v>
      </c>
      <c r="I36" s="79"/>
      <c r="J36" s="78">
        <v>0</v>
      </c>
      <c r="K36" s="79"/>
      <c r="L36" s="78">
        <v>0</v>
      </c>
      <c r="M36" s="79"/>
      <c r="N36" s="78">
        <v>0</v>
      </c>
      <c r="O36" s="79"/>
      <c r="P36" s="78">
        <v>0</v>
      </c>
      <c r="Q36" s="79"/>
      <c r="R36" s="78">
        <v>0</v>
      </c>
      <c r="S36" s="79"/>
      <c r="T36" s="78">
        <v>0</v>
      </c>
      <c r="U36" s="79"/>
      <c r="V36" s="78">
        <v>0</v>
      </c>
      <c r="W36" s="79"/>
      <c r="X36" s="78">
        <v>0</v>
      </c>
      <c r="Y36" s="79"/>
      <c r="Z36" s="78">
        <v>0</v>
      </c>
      <c r="AA36" s="79"/>
      <c r="AB36" s="79">
        <f t="shared" ref="AB36:AB41" si="0">SUM(C36:Z36)</f>
        <v>0</v>
      </c>
    </row>
    <row r="37" spans="1:28" s="93" customFormat="1" ht="13.8">
      <c r="A37" s="250" t="s">
        <v>10</v>
      </c>
      <c r="B37" s="78">
        <v>0</v>
      </c>
      <c r="C37" s="79"/>
      <c r="D37" s="78">
        <v>0</v>
      </c>
      <c r="E37" s="79"/>
      <c r="F37" s="78">
        <v>0</v>
      </c>
      <c r="G37" s="79"/>
      <c r="H37" s="78">
        <v>0</v>
      </c>
      <c r="I37" s="79"/>
      <c r="J37" s="78">
        <v>0</v>
      </c>
      <c r="K37" s="79"/>
      <c r="L37" s="78">
        <v>0</v>
      </c>
      <c r="M37" s="79"/>
      <c r="N37" s="78">
        <v>0</v>
      </c>
      <c r="O37" s="79"/>
      <c r="P37" s="78">
        <v>0</v>
      </c>
      <c r="Q37" s="79"/>
      <c r="R37" s="78">
        <v>0</v>
      </c>
      <c r="S37" s="79"/>
      <c r="T37" s="78">
        <v>0</v>
      </c>
      <c r="U37" s="79"/>
      <c r="V37" s="78">
        <v>0</v>
      </c>
      <c r="W37" s="79"/>
      <c r="X37" s="78">
        <v>0</v>
      </c>
      <c r="Y37" s="79"/>
      <c r="Z37" s="78">
        <v>0</v>
      </c>
      <c r="AA37" s="79"/>
      <c r="AB37" s="79">
        <f t="shared" si="0"/>
        <v>0</v>
      </c>
    </row>
    <row r="38" spans="1:28" s="93" customFormat="1" ht="13.8">
      <c r="A38" s="250" t="s">
        <v>10</v>
      </c>
      <c r="B38" s="78">
        <v>0</v>
      </c>
      <c r="C38" s="79"/>
      <c r="D38" s="78">
        <v>0</v>
      </c>
      <c r="E38" s="79"/>
      <c r="F38" s="78">
        <v>0</v>
      </c>
      <c r="G38" s="79"/>
      <c r="H38" s="78">
        <v>0</v>
      </c>
      <c r="I38" s="79"/>
      <c r="J38" s="78">
        <v>0</v>
      </c>
      <c r="K38" s="79"/>
      <c r="L38" s="78">
        <v>0</v>
      </c>
      <c r="M38" s="79"/>
      <c r="N38" s="78">
        <v>0</v>
      </c>
      <c r="O38" s="79"/>
      <c r="P38" s="78">
        <v>0</v>
      </c>
      <c r="Q38" s="79"/>
      <c r="R38" s="78">
        <v>0</v>
      </c>
      <c r="S38" s="79"/>
      <c r="T38" s="78">
        <v>0</v>
      </c>
      <c r="U38" s="79"/>
      <c r="V38" s="78">
        <v>0</v>
      </c>
      <c r="W38" s="79"/>
      <c r="X38" s="78">
        <v>0</v>
      </c>
      <c r="Y38" s="79"/>
      <c r="Z38" s="78">
        <v>0</v>
      </c>
      <c r="AA38" s="79"/>
      <c r="AB38" s="79">
        <f t="shared" si="0"/>
        <v>0</v>
      </c>
    </row>
    <row r="39" spans="1:28" s="93" customFormat="1" ht="13.8">
      <c r="A39" s="250" t="s">
        <v>10</v>
      </c>
      <c r="B39" s="78">
        <v>0</v>
      </c>
      <c r="C39" s="79"/>
      <c r="D39" s="78">
        <v>0</v>
      </c>
      <c r="E39" s="79"/>
      <c r="F39" s="78">
        <v>0</v>
      </c>
      <c r="G39" s="79"/>
      <c r="H39" s="78">
        <v>0</v>
      </c>
      <c r="I39" s="79"/>
      <c r="J39" s="78">
        <v>0</v>
      </c>
      <c r="K39" s="79"/>
      <c r="L39" s="78">
        <v>0</v>
      </c>
      <c r="M39" s="79"/>
      <c r="N39" s="78">
        <v>0</v>
      </c>
      <c r="O39" s="79"/>
      <c r="P39" s="78">
        <v>0</v>
      </c>
      <c r="Q39" s="79"/>
      <c r="R39" s="78">
        <v>0</v>
      </c>
      <c r="S39" s="79"/>
      <c r="T39" s="78">
        <v>0</v>
      </c>
      <c r="U39" s="79"/>
      <c r="V39" s="78">
        <v>0</v>
      </c>
      <c r="W39" s="79"/>
      <c r="X39" s="78">
        <v>0</v>
      </c>
      <c r="Y39" s="79"/>
      <c r="Z39" s="78">
        <v>0</v>
      </c>
      <c r="AA39" s="79"/>
      <c r="AB39" s="79">
        <f t="shared" si="0"/>
        <v>0</v>
      </c>
    </row>
    <row r="40" spans="1:28" s="93" customFormat="1" ht="13.8">
      <c r="A40" s="250" t="s">
        <v>10</v>
      </c>
      <c r="B40" s="78">
        <v>0</v>
      </c>
      <c r="C40" s="79"/>
      <c r="D40" s="78">
        <v>0</v>
      </c>
      <c r="E40" s="79"/>
      <c r="F40" s="78">
        <v>0</v>
      </c>
      <c r="G40" s="79"/>
      <c r="H40" s="78">
        <v>0</v>
      </c>
      <c r="I40" s="79"/>
      <c r="J40" s="78">
        <v>0</v>
      </c>
      <c r="K40" s="79"/>
      <c r="L40" s="78">
        <v>0</v>
      </c>
      <c r="M40" s="79"/>
      <c r="N40" s="78">
        <v>0</v>
      </c>
      <c r="O40" s="79"/>
      <c r="P40" s="78">
        <v>0</v>
      </c>
      <c r="Q40" s="79"/>
      <c r="R40" s="78">
        <v>0</v>
      </c>
      <c r="S40" s="79"/>
      <c r="T40" s="78">
        <v>0</v>
      </c>
      <c r="U40" s="79"/>
      <c r="V40" s="78">
        <v>0</v>
      </c>
      <c r="W40" s="79"/>
      <c r="X40" s="78">
        <v>0</v>
      </c>
      <c r="Y40" s="79"/>
      <c r="Z40" s="78">
        <v>0</v>
      </c>
      <c r="AA40" s="79"/>
      <c r="AB40" s="79">
        <f t="shared" si="0"/>
        <v>0</v>
      </c>
    </row>
    <row r="41" spans="1:28" s="93" customFormat="1" ht="13.8">
      <c r="A41" s="250" t="s">
        <v>10</v>
      </c>
      <c r="B41" s="78">
        <v>0</v>
      </c>
      <c r="C41" s="79"/>
      <c r="D41" s="78">
        <v>0</v>
      </c>
      <c r="E41" s="79"/>
      <c r="F41" s="78">
        <v>0</v>
      </c>
      <c r="G41" s="79"/>
      <c r="H41" s="78">
        <v>0</v>
      </c>
      <c r="I41" s="79"/>
      <c r="J41" s="78">
        <v>0</v>
      </c>
      <c r="K41" s="79"/>
      <c r="L41" s="78">
        <v>0</v>
      </c>
      <c r="M41" s="79"/>
      <c r="N41" s="78">
        <v>0</v>
      </c>
      <c r="O41" s="79"/>
      <c r="P41" s="78">
        <v>0</v>
      </c>
      <c r="Q41" s="79"/>
      <c r="R41" s="78">
        <v>0</v>
      </c>
      <c r="S41" s="79"/>
      <c r="T41" s="78">
        <v>0</v>
      </c>
      <c r="U41" s="79"/>
      <c r="V41" s="78">
        <v>0</v>
      </c>
      <c r="W41" s="79"/>
      <c r="X41" s="78">
        <v>0</v>
      </c>
      <c r="Y41" s="79"/>
      <c r="Z41" s="78">
        <v>0</v>
      </c>
      <c r="AA41" s="79"/>
      <c r="AB41" s="79">
        <f t="shared" si="0"/>
        <v>0</v>
      </c>
    </row>
    <row r="42" spans="1:28" s="93" customFormat="1" ht="5.0999999999999996" customHeight="1">
      <c r="A42" s="250"/>
      <c r="B42" s="78"/>
      <c r="C42" s="79"/>
      <c r="D42" s="78"/>
      <c r="E42" s="79"/>
      <c r="F42" s="78"/>
      <c r="G42" s="79"/>
      <c r="H42" s="78"/>
      <c r="I42" s="79"/>
      <c r="J42" s="78"/>
      <c r="K42" s="79"/>
      <c r="L42" s="78"/>
      <c r="M42" s="79"/>
      <c r="N42" s="78"/>
      <c r="O42" s="79"/>
      <c r="P42" s="78"/>
      <c r="Q42" s="79"/>
      <c r="R42" s="78"/>
      <c r="S42" s="79"/>
      <c r="T42" s="78"/>
      <c r="U42" s="79"/>
      <c r="V42" s="78"/>
      <c r="W42" s="79"/>
      <c r="X42" s="78"/>
      <c r="Y42" s="79"/>
      <c r="Z42" s="78"/>
      <c r="AA42" s="79"/>
      <c r="AB42" s="79"/>
    </row>
    <row r="43" spans="1:28" s="287" customFormat="1" ht="13.8">
      <c r="A43" s="256" t="s">
        <v>47</v>
      </c>
      <c r="B43" s="265">
        <f>+B45-SUM(B34:B42)</f>
        <v>0</v>
      </c>
      <c r="C43" s="265"/>
      <c r="D43" s="265">
        <f>+D45-SUM(D34:D42)</f>
        <v>-7.6</v>
      </c>
      <c r="E43" s="265"/>
      <c r="F43" s="265">
        <f>+F45-SUM(F34:F42)</f>
        <v>13</v>
      </c>
      <c r="G43" s="265"/>
      <c r="H43" s="265">
        <f>+H45-SUM(H34:H42)</f>
        <v>5.2999999999999972</v>
      </c>
      <c r="I43" s="265"/>
      <c r="J43" s="265">
        <f>+J45-SUM(J34:J42)</f>
        <v>-6.1999999999999975</v>
      </c>
      <c r="K43" s="265"/>
      <c r="L43" s="265">
        <f>+L45-SUM(L34:L42)</f>
        <v>4.5999999999999996</v>
      </c>
      <c r="M43" s="265"/>
      <c r="N43" s="265">
        <f>+N45-SUM(N34:N42)</f>
        <v>3.9</v>
      </c>
      <c r="O43" s="265"/>
      <c r="P43" s="265">
        <f>+P45-SUM(P34:P42)</f>
        <v>9.2429768567254698</v>
      </c>
      <c r="Q43" s="265"/>
      <c r="R43" s="265">
        <f>+R45-SUM(R34:R42)</f>
        <v>-1.5797136485048777</v>
      </c>
      <c r="S43" s="265"/>
      <c r="T43" s="265">
        <f>+T45-SUM(T34:T42)</f>
        <v>1.5</v>
      </c>
      <c r="U43" s="265"/>
      <c r="V43" s="265">
        <f>+V45-SUM(V34:V42)</f>
        <v>-1.4603020940140723</v>
      </c>
      <c r="W43" s="265"/>
      <c r="X43" s="265">
        <f>+X45-SUM(X34:X42)</f>
        <v>-1.4224441727666381</v>
      </c>
      <c r="Y43" s="265"/>
      <c r="Z43" s="265">
        <f>+Z45-SUM(Z34:Z42)</f>
        <v>5.0999999999999996</v>
      </c>
      <c r="AA43" s="265"/>
      <c r="AB43" s="265">
        <f>+AB45-SUM(AB34:AB42)</f>
        <v>24.380516941439879</v>
      </c>
    </row>
    <row r="44" spans="1:28" s="158" customFormat="1" ht="5.0999999999999996" customHeight="1">
      <c r="A44" s="276"/>
      <c r="B44" s="78"/>
      <c r="C44" s="79"/>
      <c r="D44" s="78"/>
      <c r="E44" s="79"/>
      <c r="F44" s="78"/>
      <c r="G44" s="79"/>
      <c r="H44" s="78"/>
      <c r="I44" s="79"/>
      <c r="J44" s="78"/>
      <c r="K44" s="79"/>
      <c r="L44" s="78"/>
      <c r="M44" s="79"/>
      <c r="N44" s="78"/>
      <c r="O44" s="79"/>
      <c r="P44" s="78"/>
      <c r="Q44" s="79"/>
      <c r="R44" s="78"/>
      <c r="S44" s="79"/>
      <c r="T44" s="78"/>
      <c r="U44" s="79"/>
      <c r="V44" s="78"/>
      <c r="W44" s="79"/>
      <c r="X44" s="78"/>
      <c r="Y44" s="79"/>
      <c r="Z44" s="78"/>
      <c r="AA44" s="79"/>
      <c r="AB44" s="78"/>
    </row>
    <row r="45" spans="1:28" s="93" customFormat="1" ht="14.4" thickBot="1">
      <c r="A45" s="285" t="s">
        <v>233</v>
      </c>
      <c r="B45" s="286">
        <v>0</v>
      </c>
      <c r="C45" s="251"/>
      <c r="D45" s="286">
        <f>+Format!D107</f>
        <v>-7.6</v>
      </c>
      <c r="E45" s="251"/>
      <c r="F45" s="286">
        <f>+Format!F107</f>
        <v>13</v>
      </c>
      <c r="G45" s="251"/>
      <c r="H45" s="286">
        <f>+Format!H107</f>
        <v>5.2999999999999972</v>
      </c>
      <c r="I45" s="251"/>
      <c r="J45" s="286">
        <f>+Format!J107</f>
        <v>-6.1999999999999975</v>
      </c>
      <c r="K45" s="251"/>
      <c r="L45" s="286">
        <f>+Format!L107</f>
        <v>4.5999999999999996</v>
      </c>
      <c r="M45" s="251"/>
      <c r="N45" s="286">
        <f>+Format!N107</f>
        <v>3.9</v>
      </c>
      <c r="O45" s="251"/>
      <c r="P45" s="286">
        <f>+Format!P107</f>
        <v>9.2429768567254698</v>
      </c>
      <c r="Q45" s="251"/>
      <c r="R45" s="286">
        <f>+Format!R107</f>
        <v>-1.5797136485048777</v>
      </c>
      <c r="S45" s="251"/>
      <c r="T45" s="286">
        <f>+Format!T107</f>
        <v>1.5</v>
      </c>
      <c r="U45" s="251"/>
      <c r="V45" s="286">
        <f>+Format!V107</f>
        <v>-1.4603020940140723</v>
      </c>
      <c r="W45" s="251"/>
      <c r="X45" s="286">
        <f>+Format!X107</f>
        <v>-1.4224441727666381</v>
      </c>
      <c r="Y45" s="251"/>
      <c r="Z45" s="286">
        <f>+Format!Z107</f>
        <v>5.0999999999999996</v>
      </c>
      <c r="AA45" s="251"/>
      <c r="AB45" s="286">
        <f>+Format!AB107</f>
        <v>24.380516941439879</v>
      </c>
    </row>
    <row r="46" spans="1:28" s="93" customFormat="1" ht="14.4" thickTop="1">
      <c r="A46" s="250"/>
      <c r="B46" s="78"/>
      <c r="C46" s="79"/>
      <c r="D46" s="78"/>
      <c r="E46" s="79"/>
      <c r="F46" s="78"/>
      <c r="G46" s="79"/>
      <c r="H46" s="78"/>
      <c r="I46" s="79"/>
      <c r="J46" s="78"/>
      <c r="K46" s="79"/>
      <c r="L46" s="78"/>
      <c r="M46" s="79"/>
      <c r="N46" s="78"/>
      <c r="O46" s="79"/>
      <c r="P46" s="78"/>
      <c r="Q46" s="79"/>
      <c r="R46" s="78"/>
      <c r="S46" s="79"/>
      <c r="T46" s="78"/>
      <c r="U46" s="79"/>
      <c r="V46" s="78"/>
      <c r="W46" s="79"/>
      <c r="X46" s="78"/>
      <c r="Y46" s="79"/>
      <c r="Z46" s="78"/>
      <c r="AA46" s="79"/>
      <c r="AB46" s="79"/>
    </row>
    <row r="47" spans="1:28" s="93" customFormat="1" ht="14.4" thickBot="1">
      <c r="A47" s="84" t="s">
        <v>69</v>
      </c>
      <c r="B47" s="85">
        <f>+B20+B31+B45</f>
        <v>0</v>
      </c>
      <c r="C47" s="86"/>
      <c r="D47" s="85">
        <f>+D20+D31+D45</f>
        <v>-7.6</v>
      </c>
      <c r="E47" s="87"/>
      <c r="F47" s="85">
        <f>+F20+F31+F45</f>
        <v>13</v>
      </c>
      <c r="G47" s="87"/>
      <c r="H47" s="85">
        <f>+H20+H31+H45</f>
        <v>5.2999999999999972</v>
      </c>
      <c r="I47" s="87"/>
      <c r="J47" s="85">
        <f>+J20+J31+J45</f>
        <v>-6.1999999999999975</v>
      </c>
      <c r="K47" s="87"/>
      <c r="L47" s="85">
        <f>+L20+L31+L45</f>
        <v>4.5999999999999996</v>
      </c>
      <c r="M47" s="87"/>
      <c r="N47" s="85">
        <f>+N20+N31+N45</f>
        <v>3.9</v>
      </c>
      <c r="O47" s="87"/>
      <c r="P47" s="85">
        <f>+P20+P31+P45</f>
        <v>9.2429768567254698</v>
      </c>
      <c r="Q47" s="87"/>
      <c r="R47" s="85">
        <f>+R20+R31+R45</f>
        <v>-1.5797136485048777</v>
      </c>
      <c r="S47" s="87"/>
      <c r="T47" s="85">
        <f>+T20+T31+T45</f>
        <v>1.5</v>
      </c>
      <c r="U47" s="87"/>
      <c r="V47" s="85">
        <f>+V20+V31+V45</f>
        <v>-1.4603020940140723</v>
      </c>
      <c r="W47" s="87"/>
      <c r="X47" s="85">
        <f>+X20+X31+X45</f>
        <v>-1.4224441727666381</v>
      </c>
      <c r="Y47" s="87"/>
      <c r="Z47" s="85">
        <f>+Z20+Z31+Z45</f>
        <v>5.0999999999999996</v>
      </c>
      <c r="AA47" s="87"/>
      <c r="AB47" s="85">
        <f>+AB20+AB31+AB45</f>
        <v>24.380516941439879</v>
      </c>
    </row>
    <row r="48" spans="1:28" ht="15.6" thickTop="1">
      <c r="A48" s="67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</row>
    <row r="49" spans="1:28">
      <c r="A49" s="6" t="s">
        <v>70</v>
      </c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</row>
    <row r="50" spans="1:28">
      <c r="A50" s="7">
        <v>36104.589456944443</v>
      </c>
    </row>
    <row r="53" spans="1:28">
      <c r="A53" s="91" t="s">
        <v>264</v>
      </c>
    </row>
  </sheetData>
  <printOptions horizontalCentered="1"/>
  <pageMargins left="0.5" right="0.5" top="0.75" bottom="0.75" header="0.5" footer="0.5"/>
  <pageSetup scale="65" fitToHeight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opLeftCell="A3" zoomScale="75" workbookViewId="0">
      <selection activeCell="E27" sqref="E27"/>
    </sheetView>
  </sheetViews>
  <sheetFormatPr defaultColWidth="12.5546875" defaultRowHeight="15"/>
  <cols>
    <col min="1" max="1" width="1.88671875" style="99" customWidth="1"/>
    <col min="2" max="2" width="4.88671875" style="99" customWidth="1"/>
    <col min="3" max="3" width="39.109375" style="99" customWidth="1"/>
    <col min="4" max="4" width="4.44140625" style="99" customWidth="1"/>
    <col min="5" max="5" width="11.33203125" style="99" customWidth="1"/>
    <col min="6" max="6" width="3.5546875" style="99" customWidth="1"/>
    <col min="7" max="7" width="12.33203125" style="99" customWidth="1"/>
    <col min="8" max="8" width="3.5546875" style="99" customWidth="1"/>
    <col min="9" max="9" width="11.33203125" style="99" customWidth="1"/>
    <col min="10" max="10" width="2.33203125" style="99" customWidth="1"/>
    <col min="11" max="11" width="46" style="99" customWidth="1"/>
    <col min="12" max="12" width="25.6640625" style="99" customWidth="1"/>
    <col min="13" max="16384" width="12.5546875" style="99"/>
  </cols>
  <sheetData>
    <row r="1" spans="1:12" ht="17.399999999999999">
      <c r="A1" s="95" t="str">
        <f>Format!A1</f>
        <v>PORTLAND GENERAL GROUP</v>
      </c>
      <c r="B1" s="96"/>
      <c r="C1" s="96"/>
      <c r="D1" s="96"/>
      <c r="E1" s="96"/>
      <c r="F1" s="96"/>
      <c r="G1" s="96"/>
      <c r="H1" s="97"/>
      <c r="I1" s="97"/>
      <c r="J1" s="97"/>
      <c r="K1" s="97"/>
      <c r="L1" s="97"/>
    </row>
    <row r="2" spans="1:12" ht="17.399999999999999">
      <c r="A2" s="95" t="str">
        <f>Format!A2</f>
        <v>2001 CURRENT ESTIMATE - AUGUST</v>
      </c>
      <c r="B2" s="96"/>
      <c r="C2" s="96"/>
      <c r="D2" s="96"/>
      <c r="E2" s="96"/>
      <c r="F2" s="96"/>
      <c r="G2" s="96"/>
      <c r="H2" s="97"/>
      <c r="I2" s="97"/>
      <c r="J2" s="97"/>
      <c r="K2" s="97"/>
      <c r="L2" s="97"/>
    </row>
    <row r="3" spans="1:12" ht="17.399999999999999">
      <c r="A3" s="96" t="s">
        <v>71</v>
      </c>
      <c r="B3" s="96"/>
      <c r="C3" s="96"/>
      <c r="D3" s="96"/>
      <c r="E3" s="96"/>
      <c r="F3" s="96"/>
      <c r="G3" s="96"/>
      <c r="H3" s="97"/>
      <c r="I3" s="97"/>
      <c r="J3" s="97"/>
      <c r="K3" s="97"/>
      <c r="L3" s="97"/>
    </row>
    <row r="4" spans="1:12" ht="17.399999999999999">
      <c r="A4" s="98" t="s">
        <v>2</v>
      </c>
      <c r="B4" s="96"/>
      <c r="C4" s="96"/>
      <c r="D4" s="96"/>
      <c r="E4" s="96"/>
      <c r="F4" s="96"/>
      <c r="G4" s="96"/>
      <c r="H4" s="97"/>
      <c r="I4" s="97"/>
      <c r="J4" s="97"/>
      <c r="K4" s="97"/>
      <c r="L4" s="97"/>
    </row>
    <row r="6" spans="1:12" ht="22.8">
      <c r="B6" s="100"/>
    </row>
    <row r="7" spans="1:12">
      <c r="A7" s="101"/>
      <c r="B7" s="102"/>
      <c r="C7" s="102"/>
      <c r="D7" s="102"/>
      <c r="E7" s="102"/>
      <c r="F7" s="102"/>
      <c r="G7" s="103"/>
      <c r="H7" s="103"/>
      <c r="I7" s="103"/>
      <c r="J7" s="103"/>
      <c r="K7" s="103"/>
      <c r="L7" s="104"/>
    </row>
    <row r="8" spans="1:12" ht="15.6">
      <c r="A8" s="105"/>
      <c r="B8" s="106"/>
      <c r="E8" s="172" t="s">
        <v>177</v>
      </c>
      <c r="F8" s="106"/>
      <c r="G8" s="108" t="s">
        <v>106</v>
      </c>
      <c r="H8" s="107"/>
      <c r="I8" s="108" t="s">
        <v>72</v>
      </c>
      <c r="J8" s="107"/>
      <c r="K8" s="160" t="s">
        <v>73</v>
      </c>
      <c r="L8" s="161"/>
    </row>
    <row r="9" spans="1:12">
      <c r="A9" s="105"/>
      <c r="L9" s="110"/>
    </row>
    <row r="10" spans="1:12" s="163" customFormat="1">
      <c r="A10" s="162"/>
      <c r="B10" s="288" t="s">
        <v>235</v>
      </c>
      <c r="C10" s="288"/>
      <c r="D10" s="288"/>
      <c r="E10" s="289">
        <f>+Format!AB65</f>
        <v>89.223055979022831</v>
      </c>
      <c r="F10" s="289"/>
      <c r="G10" s="289">
        <v>87.7</v>
      </c>
      <c r="H10" s="288"/>
      <c r="I10" s="288">
        <f>G10-E10</f>
        <v>-1.5230559790228284</v>
      </c>
      <c r="J10" s="288"/>
      <c r="K10" s="159" t="s">
        <v>270</v>
      </c>
      <c r="L10" s="164"/>
    </row>
    <row r="11" spans="1:12" s="163" customFormat="1" ht="5.0999999999999996" customHeight="1">
      <c r="A11" s="162"/>
      <c r="B11" s="288"/>
      <c r="C11" s="288"/>
      <c r="D11" s="288"/>
      <c r="E11" s="289"/>
      <c r="F11" s="289"/>
      <c r="G11" s="289"/>
      <c r="H11" s="288"/>
      <c r="I11" s="288"/>
      <c r="J11" s="288"/>
      <c r="K11" s="290"/>
      <c r="L11" s="164"/>
    </row>
    <row r="12" spans="1:12" s="163" customFormat="1">
      <c r="A12" s="162"/>
      <c r="B12" s="291" t="s">
        <v>131</v>
      </c>
      <c r="C12" s="290"/>
      <c r="D12" s="288"/>
      <c r="E12" s="289">
        <f>+Format!AB67</f>
        <v>115.16649552</v>
      </c>
      <c r="F12" s="289"/>
      <c r="G12" s="289">
        <f>57.2-10.4</f>
        <v>46.800000000000004</v>
      </c>
      <c r="H12" s="288"/>
      <c r="I12" s="288">
        <f t="shared" ref="I12:I27" si="0">G12-E12</f>
        <v>-68.366495520000001</v>
      </c>
      <c r="J12" s="288"/>
      <c r="K12" s="159" t="s">
        <v>292</v>
      </c>
      <c r="L12" s="164"/>
    </row>
    <row r="13" spans="1:12" s="163" customFormat="1">
      <c r="A13" s="162"/>
      <c r="B13" s="291" t="s">
        <v>156</v>
      </c>
      <c r="C13" s="290"/>
      <c r="D13" s="288"/>
      <c r="E13" s="289">
        <f>+Format!AB68</f>
        <v>-3.0037921400057774</v>
      </c>
      <c r="F13" s="289"/>
      <c r="G13" s="289">
        <v>9.9</v>
      </c>
      <c r="H13" s="288"/>
      <c r="I13" s="288">
        <f t="shared" si="0"/>
        <v>12.903792140005777</v>
      </c>
      <c r="J13" s="288"/>
      <c r="K13" s="159" t="s">
        <v>271</v>
      </c>
      <c r="L13" s="164"/>
    </row>
    <row r="14" spans="1:12" s="163" customFormat="1">
      <c r="A14" s="162"/>
      <c r="B14" s="291" t="s">
        <v>74</v>
      </c>
      <c r="C14" s="290"/>
      <c r="D14" s="288"/>
      <c r="E14" s="289">
        <f>+Format!AB69</f>
        <v>0</v>
      </c>
      <c r="F14" s="289"/>
      <c r="G14" s="289">
        <v>0</v>
      </c>
      <c r="H14" s="288"/>
      <c r="I14" s="288">
        <f t="shared" si="0"/>
        <v>0</v>
      </c>
      <c r="J14" s="288"/>
      <c r="K14" s="290"/>
      <c r="L14" s="164"/>
    </row>
    <row r="15" spans="1:12" s="163" customFormat="1">
      <c r="A15" s="162"/>
      <c r="B15" s="291" t="s">
        <v>158</v>
      </c>
      <c r="C15" s="290"/>
      <c r="D15" s="288"/>
      <c r="E15" s="289">
        <f>+Format!AB70</f>
        <v>8.3670000000000009</v>
      </c>
      <c r="F15" s="289"/>
      <c r="G15" s="289">
        <v>8.3000000000000007</v>
      </c>
      <c r="H15" s="288"/>
      <c r="I15" s="288">
        <f t="shared" si="0"/>
        <v>-6.7000000000000171E-2</v>
      </c>
      <c r="J15" s="288"/>
      <c r="K15" s="159" t="s">
        <v>272</v>
      </c>
      <c r="L15" s="164"/>
    </row>
    <row r="16" spans="1:12" s="163" customFormat="1" ht="14.1" customHeight="1">
      <c r="A16" s="162"/>
      <c r="B16" s="291" t="s">
        <v>157</v>
      </c>
      <c r="C16" s="290"/>
      <c r="D16" s="288"/>
      <c r="E16" s="289">
        <f>+Format!AB71</f>
        <v>18.700000000000003</v>
      </c>
      <c r="F16" s="289"/>
      <c r="G16" s="289">
        <v>0</v>
      </c>
      <c r="H16" s="288"/>
      <c r="I16" s="288">
        <f t="shared" si="0"/>
        <v>-18.700000000000003</v>
      </c>
      <c r="J16" s="288"/>
      <c r="K16" s="159" t="s">
        <v>273</v>
      </c>
      <c r="L16" s="164"/>
    </row>
    <row r="17" spans="1:12" s="163" customFormat="1" ht="14.1" customHeight="1">
      <c r="A17" s="162"/>
      <c r="B17" s="291" t="s">
        <v>206</v>
      </c>
      <c r="C17" s="292"/>
      <c r="D17" s="288"/>
      <c r="E17" s="289"/>
      <c r="F17" s="289"/>
      <c r="G17" s="289"/>
      <c r="H17" s="288"/>
      <c r="I17" s="288"/>
      <c r="J17" s="288"/>
      <c r="K17" s="290"/>
      <c r="L17" s="164"/>
    </row>
    <row r="18" spans="1:12" s="163" customFormat="1" ht="14.1" customHeight="1">
      <c r="A18" s="162"/>
      <c r="B18" s="292"/>
      <c r="C18" s="292" t="s">
        <v>219</v>
      </c>
      <c r="D18" s="293"/>
      <c r="E18" s="289">
        <f>+Format!AB73</f>
        <v>0</v>
      </c>
      <c r="F18" s="289"/>
      <c r="G18" s="289">
        <v>0</v>
      </c>
      <c r="H18" s="288"/>
      <c r="I18" s="288">
        <f t="shared" si="0"/>
        <v>0</v>
      </c>
      <c r="J18" s="288"/>
      <c r="K18" s="290"/>
      <c r="L18" s="164"/>
    </row>
    <row r="19" spans="1:12" s="163" customFormat="1" ht="14.1" customHeight="1">
      <c r="A19" s="162"/>
      <c r="B19" s="291"/>
      <c r="C19" s="292" t="s">
        <v>50</v>
      </c>
      <c r="D19" s="293"/>
      <c r="E19" s="289">
        <f>+Format!AB74</f>
        <v>0</v>
      </c>
      <c r="F19" s="289"/>
      <c r="G19" s="289">
        <v>0</v>
      </c>
      <c r="H19" s="288"/>
      <c r="I19" s="288">
        <f t="shared" si="0"/>
        <v>0</v>
      </c>
      <c r="J19" s="288"/>
      <c r="K19" s="290"/>
      <c r="L19" s="164"/>
    </row>
    <row r="20" spans="1:12" s="163" customFormat="1" ht="14.1" customHeight="1">
      <c r="A20" s="162"/>
      <c r="B20" s="291"/>
      <c r="C20" s="292" t="s">
        <v>51</v>
      </c>
      <c r="D20" s="293"/>
      <c r="E20" s="289">
        <f>+Format!AB75</f>
        <v>0</v>
      </c>
      <c r="F20" s="289"/>
      <c r="G20" s="289">
        <v>0</v>
      </c>
      <c r="H20" s="288"/>
      <c r="I20" s="288">
        <f t="shared" si="0"/>
        <v>0</v>
      </c>
      <c r="J20" s="288"/>
      <c r="K20" s="290"/>
      <c r="L20" s="164"/>
    </row>
    <row r="21" spans="1:12" s="163" customFormat="1" ht="14.1" customHeight="1">
      <c r="A21" s="162"/>
      <c r="B21" s="291"/>
      <c r="C21" s="292" t="s">
        <v>220</v>
      </c>
      <c r="D21" s="293"/>
      <c r="E21" s="289">
        <f>+Format!AB76</f>
        <v>0</v>
      </c>
      <c r="F21" s="289"/>
      <c r="G21" s="289">
        <v>0</v>
      </c>
      <c r="H21" s="288"/>
      <c r="I21" s="288">
        <f t="shared" si="0"/>
        <v>0</v>
      </c>
      <c r="J21" s="288"/>
      <c r="K21" s="290"/>
      <c r="L21" s="164"/>
    </row>
    <row r="22" spans="1:12" s="163" customFormat="1" ht="5.0999999999999996" customHeight="1">
      <c r="A22" s="162"/>
      <c r="B22" s="288"/>
      <c r="C22" s="293"/>
      <c r="D22" s="293"/>
      <c r="E22" s="289"/>
      <c r="F22" s="289"/>
      <c r="G22" s="289"/>
      <c r="H22" s="288"/>
      <c r="I22" s="288"/>
      <c r="J22" s="288"/>
      <c r="K22" s="290"/>
      <c r="L22" s="164"/>
    </row>
    <row r="23" spans="1:12" s="163" customFormat="1" ht="14.1" customHeight="1">
      <c r="A23" s="162"/>
      <c r="B23" s="291" t="s">
        <v>82</v>
      </c>
      <c r="C23" s="292"/>
      <c r="D23" s="288"/>
      <c r="E23" s="289">
        <f>+Format!AB78</f>
        <v>0</v>
      </c>
      <c r="F23" s="289"/>
      <c r="G23" s="289">
        <v>0</v>
      </c>
      <c r="H23" s="288"/>
      <c r="I23" s="288">
        <f t="shared" si="0"/>
        <v>0</v>
      </c>
      <c r="J23" s="288"/>
      <c r="K23" s="290"/>
      <c r="L23" s="164"/>
    </row>
    <row r="24" spans="1:12" s="163" customFormat="1" ht="14.1" customHeight="1">
      <c r="A24" s="162"/>
      <c r="B24" s="291" t="s">
        <v>129</v>
      </c>
      <c r="C24" s="292"/>
      <c r="D24" s="288"/>
      <c r="E24" s="289">
        <f>+Format!AB79</f>
        <v>0</v>
      </c>
      <c r="F24" s="289"/>
      <c r="G24" s="289">
        <v>0</v>
      </c>
      <c r="H24" s="288"/>
      <c r="I24" s="288">
        <f t="shared" si="0"/>
        <v>0</v>
      </c>
      <c r="J24" s="288"/>
      <c r="K24" s="290"/>
      <c r="L24" s="164"/>
    </row>
    <row r="25" spans="1:12" s="163" customFormat="1" ht="14.1" customHeight="1">
      <c r="A25" s="162"/>
      <c r="B25" s="291" t="s">
        <v>207</v>
      </c>
      <c r="C25" s="292"/>
      <c r="D25" s="288"/>
      <c r="E25" s="289">
        <f>+Format!AB80</f>
        <v>2.3250000000000006</v>
      </c>
      <c r="F25" s="289"/>
      <c r="G25" s="289">
        <v>0</v>
      </c>
      <c r="H25" s="288"/>
      <c r="I25" s="288">
        <f t="shared" si="0"/>
        <v>-2.3250000000000006</v>
      </c>
      <c r="J25" s="288"/>
      <c r="K25" s="159"/>
      <c r="L25" s="164"/>
    </row>
    <row r="26" spans="1:12" s="163" customFormat="1" ht="14.1" customHeight="1">
      <c r="A26" s="162"/>
      <c r="B26" s="291" t="s">
        <v>208</v>
      </c>
      <c r="C26" s="292"/>
      <c r="D26" s="288"/>
      <c r="E26" s="289">
        <f>+Format!AB81</f>
        <v>0</v>
      </c>
      <c r="F26" s="289"/>
      <c r="G26" s="289">
        <v>0</v>
      </c>
      <c r="H26" s="288"/>
      <c r="I26" s="288">
        <f t="shared" si="0"/>
        <v>0</v>
      </c>
      <c r="J26" s="288"/>
      <c r="K26" s="290"/>
      <c r="L26" s="164"/>
    </row>
    <row r="27" spans="1:12" s="163" customFormat="1" ht="14.1" customHeight="1">
      <c r="A27" s="162"/>
      <c r="B27" s="291" t="s">
        <v>234</v>
      </c>
      <c r="C27" s="293"/>
      <c r="D27" s="293"/>
      <c r="E27" s="289">
        <f>+Format!AB82</f>
        <v>2.8999999999999995</v>
      </c>
      <c r="F27" s="289"/>
      <c r="G27" s="289">
        <v>24.3</v>
      </c>
      <c r="H27" s="288"/>
      <c r="I27" s="288">
        <f t="shared" si="0"/>
        <v>21.400000000000002</v>
      </c>
      <c r="J27" s="288"/>
      <c r="K27" s="159" t="s">
        <v>293</v>
      </c>
      <c r="L27" s="164"/>
    </row>
    <row r="28" spans="1:12" ht="14.1" customHeight="1">
      <c r="A28" s="105"/>
      <c r="B28" s="294"/>
      <c r="C28" s="295"/>
      <c r="D28" s="295"/>
      <c r="E28" s="296"/>
      <c r="F28" s="294"/>
      <c r="G28" s="296"/>
      <c r="H28" s="294"/>
      <c r="I28" s="296"/>
      <c r="J28" s="294"/>
      <c r="K28" s="292"/>
      <c r="L28" s="110"/>
    </row>
    <row r="29" spans="1:12" ht="14.1" customHeight="1" thickBot="1">
      <c r="A29" s="105"/>
      <c r="B29" s="294"/>
      <c r="C29" s="295" t="s">
        <v>75</v>
      </c>
      <c r="D29" s="295"/>
      <c r="E29" s="297">
        <f>SUM(E10:E27)</f>
        <v>233.67775935901707</v>
      </c>
      <c r="F29" s="288"/>
      <c r="G29" s="297">
        <f>SUM(G10:G27)</f>
        <v>177.00000000000003</v>
      </c>
      <c r="H29" s="288"/>
      <c r="I29" s="297">
        <f>SUM(I10:I27)</f>
        <v>-56.67775935901706</v>
      </c>
      <c r="J29" s="294"/>
      <c r="K29" s="292"/>
      <c r="L29" s="110"/>
    </row>
    <row r="30" spans="1:12" ht="14.1" customHeight="1" thickTop="1">
      <c r="A30" s="105"/>
      <c r="C30" s="106"/>
      <c r="D30" s="106"/>
      <c r="E30" s="106"/>
      <c r="G30" s="106"/>
      <c r="I30" s="106"/>
      <c r="K30"/>
      <c r="L30" s="110"/>
    </row>
    <row r="31" spans="1:12" ht="9" customHeight="1">
      <c r="A31" s="111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09"/>
    </row>
    <row r="33" spans="1:5" ht="15.6">
      <c r="A33" s="113" t="s">
        <v>55</v>
      </c>
      <c r="B33" s="114"/>
      <c r="C33" s="114"/>
      <c r="E33" s="106" t="s">
        <v>280</v>
      </c>
    </row>
    <row r="34" spans="1:5" ht="15.6">
      <c r="A34" s="113"/>
      <c r="B34" s="99" t="s">
        <v>289</v>
      </c>
      <c r="C34" s="114"/>
      <c r="E34" s="106"/>
    </row>
    <row r="35" spans="1:5" ht="15.6">
      <c r="A35" s="113"/>
      <c r="B35" s="114"/>
      <c r="C35" s="99" t="s">
        <v>335</v>
      </c>
      <c r="E35" s="106"/>
    </row>
    <row r="36" spans="1:5" ht="15.6">
      <c r="A36" s="113"/>
      <c r="B36" s="114"/>
      <c r="C36" s="114"/>
      <c r="E36" s="106"/>
    </row>
    <row r="37" spans="1:5">
      <c r="A37" s="318"/>
      <c r="B37" s="99" t="s">
        <v>291</v>
      </c>
    </row>
    <row r="38" spans="1:5">
      <c r="C38" s="99" t="s">
        <v>328</v>
      </c>
    </row>
    <row r="39" spans="1:5" ht="15.6">
      <c r="A39" s="106"/>
    </row>
    <row r="40" spans="1:5">
      <c r="A40" s="115"/>
      <c r="B40" s="99" t="s">
        <v>296</v>
      </c>
    </row>
    <row r="41" spans="1:5">
      <c r="C41" s="99" t="s">
        <v>339</v>
      </c>
    </row>
    <row r="43" spans="1:5">
      <c r="B43" s="99" t="s">
        <v>295</v>
      </c>
    </row>
    <row r="44" spans="1:5">
      <c r="C44" s="99" t="s">
        <v>279</v>
      </c>
    </row>
    <row r="45" spans="1:5">
      <c r="C45" s="99" t="s">
        <v>274</v>
      </c>
    </row>
    <row r="47" spans="1:5">
      <c r="B47" s="99" t="s">
        <v>294</v>
      </c>
    </row>
    <row r="48" spans="1:5">
      <c r="C48" s="99" t="s">
        <v>275</v>
      </c>
    </row>
    <row r="49" spans="2:3" ht="15.6">
      <c r="B49" s="106"/>
      <c r="C49" s="99" t="s">
        <v>276</v>
      </c>
    </row>
  </sheetData>
  <printOptions horizontalCentered="1"/>
  <pageMargins left="0.5" right="0.5" top="0.75" bottom="0.75" header="0.5" footer="0.5"/>
  <pageSetup scale="6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opLeftCell="A8" zoomScale="75" workbookViewId="0">
      <selection activeCell="A34" sqref="A34:IV34"/>
    </sheetView>
  </sheetViews>
  <sheetFormatPr defaultColWidth="12.5546875" defaultRowHeight="15"/>
  <cols>
    <col min="1" max="2" width="2.44140625" style="99" customWidth="1"/>
    <col min="3" max="4" width="22.109375" style="99" customWidth="1"/>
    <col min="5" max="5" width="9.33203125" style="99" customWidth="1"/>
    <col min="6" max="6" width="13.5546875" style="99" customWidth="1"/>
    <col min="7" max="7" width="3.33203125" style="99" customWidth="1"/>
    <col min="8" max="8" width="13.5546875" style="99" customWidth="1"/>
    <col min="9" max="9" width="3.33203125" style="99" customWidth="1"/>
    <col min="10" max="10" width="13.5546875" style="99" customWidth="1"/>
    <col min="11" max="16384" width="12.5546875" style="99"/>
  </cols>
  <sheetData>
    <row r="1" spans="1:11" ht="17.399999999999999">
      <c r="A1" s="326" t="str">
        <f>+[7]Format!A1</f>
        <v>PORTLAND GENERAL GROUP</v>
      </c>
      <c r="B1" s="96"/>
      <c r="C1" s="96"/>
      <c r="D1" s="96"/>
      <c r="E1" s="96"/>
      <c r="F1" s="96"/>
      <c r="G1" s="96"/>
      <c r="H1" s="96"/>
      <c r="I1" s="97"/>
      <c r="J1" s="97"/>
    </row>
    <row r="2" spans="1:11" ht="17.399999999999999">
      <c r="A2" s="326" t="str">
        <f>+Format!A2</f>
        <v>2001 CURRENT ESTIMATE - AUGUST</v>
      </c>
      <c r="B2" s="96"/>
      <c r="C2" s="96"/>
      <c r="D2" s="96"/>
      <c r="E2" s="96"/>
      <c r="F2" s="96"/>
      <c r="G2" s="96"/>
      <c r="H2" s="96"/>
      <c r="I2" s="97"/>
      <c r="J2" s="97"/>
    </row>
    <row r="3" spans="1:11" ht="17.399999999999999">
      <c r="A3" s="95" t="s">
        <v>299</v>
      </c>
      <c r="B3" s="96"/>
      <c r="C3" s="96"/>
      <c r="D3" s="96"/>
      <c r="E3" s="96"/>
      <c r="F3" s="96"/>
      <c r="G3" s="96"/>
      <c r="H3" s="96"/>
      <c r="I3" s="97"/>
      <c r="J3" s="97"/>
    </row>
    <row r="4" spans="1:11" ht="17.399999999999999">
      <c r="A4" s="327" t="s">
        <v>2</v>
      </c>
      <c r="B4" s="96"/>
      <c r="C4" s="96"/>
      <c r="D4" s="96"/>
      <c r="E4" s="96"/>
      <c r="F4" s="96"/>
      <c r="G4" s="96"/>
      <c r="H4" s="96"/>
      <c r="I4" s="97"/>
      <c r="J4" s="97"/>
    </row>
    <row r="5" spans="1:11" ht="15" customHeight="1"/>
    <row r="6" spans="1:11" ht="15" customHeight="1">
      <c r="F6" s="328">
        <v>2001</v>
      </c>
      <c r="G6" s="329"/>
      <c r="H6" s="328"/>
    </row>
    <row r="7" spans="1:11" ht="15.6">
      <c r="A7" s="330"/>
      <c r="B7" s="331"/>
      <c r="C7" s="331"/>
      <c r="D7" s="330"/>
      <c r="E7" s="330"/>
      <c r="F7" s="332" t="s">
        <v>327</v>
      </c>
      <c r="G7" s="331"/>
      <c r="H7" s="332" t="s">
        <v>300</v>
      </c>
      <c r="I7" s="333"/>
      <c r="J7" s="334" t="s">
        <v>72</v>
      </c>
    </row>
    <row r="8" spans="1:11" ht="15" customHeight="1">
      <c r="A8" s="335" t="s">
        <v>301</v>
      </c>
      <c r="B8" s="330"/>
      <c r="C8" s="330"/>
      <c r="D8" s="330"/>
      <c r="E8" s="330"/>
      <c r="F8" s="330"/>
      <c r="G8" s="330"/>
      <c r="H8" s="330"/>
      <c r="I8" s="330"/>
      <c r="J8" s="330"/>
    </row>
    <row r="9" spans="1:11" ht="6" customHeight="1">
      <c r="A9" s="330"/>
      <c r="B9" s="330"/>
      <c r="C9" s="330"/>
      <c r="D9" s="330"/>
      <c r="E9" s="330"/>
      <c r="F9" s="330"/>
      <c r="G9" s="330"/>
      <c r="H9" s="330"/>
      <c r="I9" s="330"/>
      <c r="J9" s="330"/>
    </row>
    <row r="10" spans="1:11" s="163" customFormat="1" ht="15" customHeight="1">
      <c r="A10" s="336"/>
      <c r="B10" s="337" t="s">
        <v>302</v>
      </c>
      <c r="C10" s="336"/>
      <c r="D10" s="336"/>
      <c r="E10" s="336"/>
      <c r="F10" s="336">
        <f>+Format!AB57</f>
        <v>89.223055979022845</v>
      </c>
      <c r="G10" s="338"/>
      <c r="H10" s="336">
        <v>90.511703316578419</v>
      </c>
      <c r="I10" s="336"/>
      <c r="J10" s="336">
        <f t="shared" ref="J10:J22" si="0">+F10-H10</f>
        <v>-1.2886473375555738</v>
      </c>
    </row>
    <row r="11" spans="1:11" s="163" customFormat="1" ht="15" customHeight="1">
      <c r="A11" s="336"/>
      <c r="B11" s="339" t="s">
        <v>303</v>
      </c>
      <c r="C11" s="336"/>
      <c r="D11" s="336"/>
      <c r="E11" s="336"/>
      <c r="F11" s="338">
        <f>+Format!AB71</f>
        <v>18.700000000000003</v>
      </c>
      <c r="G11" s="338"/>
      <c r="H11" s="338">
        <v>18.2</v>
      </c>
      <c r="I11" s="336"/>
      <c r="J11" s="336">
        <f t="shared" si="0"/>
        <v>0.50000000000000355</v>
      </c>
    </row>
    <row r="12" spans="1:11" s="163" customFormat="1" ht="15" customHeight="1">
      <c r="A12" s="336"/>
      <c r="B12" s="339" t="s">
        <v>304</v>
      </c>
      <c r="C12" s="336"/>
      <c r="D12" s="336"/>
      <c r="E12" s="336"/>
      <c r="F12" s="336">
        <f>+Format!AB68+Format!AB67</f>
        <v>112.16270337999423</v>
      </c>
      <c r="G12" s="338"/>
      <c r="H12" s="336">
        <v>101.99415987028557</v>
      </c>
      <c r="I12" s="336"/>
      <c r="J12" s="336">
        <f t="shared" si="0"/>
        <v>10.168543509708655</v>
      </c>
      <c r="K12" s="340" t="s">
        <v>305</v>
      </c>
    </row>
    <row r="13" spans="1:11" s="163" customFormat="1" ht="15" customHeight="1">
      <c r="A13" s="336"/>
      <c r="B13" s="341" t="s">
        <v>306</v>
      </c>
      <c r="C13" s="336"/>
      <c r="D13" s="336"/>
      <c r="E13" s="336"/>
      <c r="F13" s="336">
        <f>+Format!AB70</f>
        <v>8.3670000000000009</v>
      </c>
      <c r="G13" s="338"/>
      <c r="H13" s="336">
        <v>8.3670000000000009</v>
      </c>
      <c r="I13" s="336"/>
      <c r="J13" s="336">
        <f t="shared" si="0"/>
        <v>0</v>
      </c>
    </row>
    <row r="14" spans="1:11" s="163" customFormat="1" ht="15" customHeight="1">
      <c r="A14" s="336"/>
      <c r="B14" s="339" t="s">
        <v>307</v>
      </c>
      <c r="C14" s="336"/>
      <c r="D14" s="336"/>
      <c r="E14" s="336"/>
      <c r="F14" s="338">
        <v>0</v>
      </c>
      <c r="G14" s="338"/>
      <c r="H14" s="338">
        <v>0</v>
      </c>
      <c r="I14" s="336"/>
      <c r="J14" s="336">
        <f t="shared" si="0"/>
        <v>0</v>
      </c>
    </row>
    <row r="15" spans="1:11" s="163" customFormat="1" ht="15" customHeight="1">
      <c r="A15" s="336"/>
      <c r="B15" s="339" t="s">
        <v>74</v>
      </c>
      <c r="C15" s="336"/>
      <c r="D15" s="336"/>
      <c r="E15" s="336"/>
      <c r="F15" s="336">
        <v>0</v>
      </c>
      <c r="G15" s="338"/>
      <c r="H15" s="336">
        <v>0</v>
      </c>
      <c r="I15" s="336"/>
      <c r="J15" s="336">
        <f t="shared" si="0"/>
        <v>0</v>
      </c>
    </row>
    <row r="16" spans="1:11" s="163" customFormat="1" ht="15" customHeight="1">
      <c r="A16" s="336"/>
      <c r="B16" s="339" t="s">
        <v>308</v>
      </c>
      <c r="C16" s="342"/>
      <c r="D16" s="342"/>
      <c r="E16" s="342"/>
      <c r="F16" s="336">
        <v>0</v>
      </c>
      <c r="G16" s="338"/>
      <c r="H16" s="336">
        <v>0</v>
      </c>
      <c r="I16" s="336"/>
      <c r="J16" s="336">
        <f t="shared" si="0"/>
        <v>0</v>
      </c>
    </row>
    <row r="17" spans="1:11" s="163" customFormat="1" ht="15" customHeight="1">
      <c r="A17" s="336"/>
      <c r="B17" s="339" t="s">
        <v>309</v>
      </c>
      <c r="C17" s="336"/>
      <c r="D17" s="342"/>
      <c r="E17" s="342"/>
      <c r="F17" s="338">
        <f>+Format!AB97</f>
        <v>-258.16986009901598</v>
      </c>
      <c r="G17" s="338"/>
      <c r="H17" s="338">
        <v>-244.68402844823197</v>
      </c>
      <c r="I17" s="336"/>
      <c r="J17" s="336">
        <f t="shared" si="0"/>
        <v>-13.485831650784007</v>
      </c>
    </row>
    <row r="18" spans="1:11" s="163" customFormat="1" ht="15" customHeight="1">
      <c r="A18" s="336"/>
      <c r="B18" s="339" t="s">
        <v>310</v>
      </c>
      <c r="C18" s="336"/>
      <c r="D18" s="342"/>
      <c r="E18" s="342"/>
      <c r="F18" s="338">
        <f>+Format!AB102</f>
        <v>0</v>
      </c>
      <c r="G18" s="338"/>
      <c r="H18" s="338">
        <v>26.7</v>
      </c>
      <c r="I18" s="336"/>
      <c r="J18" s="336">
        <f t="shared" si="0"/>
        <v>-26.7</v>
      </c>
      <c r="K18" s="340" t="s">
        <v>311</v>
      </c>
    </row>
    <row r="19" spans="1:11" s="163" customFormat="1" ht="15" customHeight="1">
      <c r="A19" s="336"/>
      <c r="B19" s="341" t="s">
        <v>312</v>
      </c>
      <c r="C19" s="336"/>
      <c r="D19" s="342"/>
      <c r="E19" s="342"/>
      <c r="F19" s="338">
        <f>Format!AB103</f>
        <v>-219.95273809523806</v>
      </c>
      <c r="G19" s="338"/>
      <c r="H19" s="338">
        <v>-219.95273809523806</v>
      </c>
      <c r="I19" s="336"/>
      <c r="J19" s="336">
        <f t="shared" si="0"/>
        <v>0</v>
      </c>
      <c r="K19" s="340"/>
    </row>
    <row r="20" spans="1:11" s="163" customFormat="1" ht="15" customHeight="1">
      <c r="A20" s="336"/>
      <c r="B20" s="339" t="s">
        <v>314</v>
      </c>
      <c r="C20" s="336"/>
      <c r="D20" s="342"/>
      <c r="E20" s="342"/>
      <c r="F20" s="338">
        <f>+Format!AB116+Format!AB115-40</f>
        <v>-42.362499999999997</v>
      </c>
      <c r="G20" s="338"/>
      <c r="H20" s="338">
        <f>-2.3625-80</f>
        <v>-82.362499999999997</v>
      </c>
      <c r="I20" s="336"/>
      <c r="J20" s="336">
        <f t="shared" si="0"/>
        <v>40</v>
      </c>
      <c r="K20" s="340" t="s">
        <v>313</v>
      </c>
    </row>
    <row r="21" spans="1:11" s="163" customFormat="1" ht="15" customHeight="1">
      <c r="A21" s="336"/>
      <c r="B21" s="339" t="s">
        <v>315</v>
      </c>
      <c r="C21" s="336"/>
      <c r="D21" s="342"/>
      <c r="E21" s="342"/>
      <c r="F21" s="338">
        <f>+Format!AB112</f>
        <v>277.34735365863321</v>
      </c>
      <c r="G21" s="338"/>
      <c r="H21" s="338">
        <v>279.64735365863316</v>
      </c>
      <c r="I21" s="336"/>
      <c r="J21" s="336">
        <f t="shared" si="0"/>
        <v>-2.2999999999999545</v>
      </c>
    </row>
    <row r="22" spans="1:11" s="163" customFormat="1" ht="15" customHeight="1">
      <c r="A22" s="336"/>
      <c r="B22" s="339" t="s">
        <v>316</v>
      </c>
      <c r="C22" s="336"/>
      <c r="D22" s="342"/>
      <c r="E22" s="342"/>
      <c r="F22" s="336">
        <f>+Format!AB113+Format!AB124+Format!AB125+Format!AB126+Format!AB82+Format!AB80+Format!AB107+40</f>
        <v>14.705516941439747</v>
      </c>
      <c r="G22" s="338"/>
      <c r="H22" s="336">
        <f>-58.3753543218309+80</f>
        <v>21.624645678169102</v>
      </c>
      <c r="I22" s="336"/>
      <c r="J22" s="336">
        <f t="shared" si="0"/>
        <v>-6.9191287367293555</v>
      </c>
      <c r="K22" s="340" t="s">
        <v>324</v>
      </c>
    </row>
    <row r="23" spans="1:11" ht="6" customHeight="1">
      <c r="A23" s="330"/>
      <c r="B23" s="330"/>
      <c r="C23" s="330"/>
      <c r="D23" s="331"/>
      <c r="E23" s="331"/>
      <c r="F23" s="102"/>
      <c r="G23" s="330"/>
      <c r="H23" s="102"/>
      <c r="I23" s="330"/>
      <c r="J23" s="102"/>
    </row>
    <row r="24" spans="1:11" ht="15" customHeight="1" thickBot="1">
      <c r="A24" s="330"/>
      <c r="B24" s="330"/>
      <c r="C24" s="343" t="s">
        <v>317</v>
      </c>
      <c r="E24" s="331"/>
      <c r="F24" s="344">
        <f>SUM(F10:F22)</f>
        <v>2.0531764835958199E-2</v>
      </c>
      <c r="G24" s="345"/>
      <c r="H24" s="344">
        <f>SUM(H10:H22)</f>
        <v>4.5595980196210917E-2</v>
      </c>
      <c r="I24" s="345"/>
      <c r="J24" s="344">
        <f>SUM(J10:J22)</f>
        <v>-2.5064215360231401E-2</v>
      </c>
    </row>
    <row r="25" spans="1:11" ht="15" customHeight="1" thickTop="1">
      <c r="A25" s="330"/>
      <c r="B25" s="330"/>
      <c r="C25" s="330"/>
      <c r="D25" s="331"/>
      <c r="E25" s="331"/>
      <c r="F25" s="331"/>
      <c r="G25" s="330"/>
      <c r="H25" s="331"/>
      <c r="I25" s="330"/>
      <c r="J25" s="331"/>
    </row>
    <row r="26" spans="1:11" ht="15" customHeight="1">
      <c r="A26" s="335" t="s">
        <v>318</v>
      </c>
      <c r="B26" s="114"/>
      <c r="C26" s="114"/>
      <c r="D26" s="114"/>
    </row>
    <row r="27" spans="1:11" ht="6" customHeight="1"/>
    <row r="28" spans="1:11" ht="15" customHeight="1">
      <c r="A28" t="s">
        <v>319</v>
      </c>
      <c r="B28"/>
      <c r="C28"/>
      <c r="D28"/>
      <c r="E28"/>
      <c r="F28"/>
      <c r="G28"/>
      <c r="H28"/>
      <c r="I28"/>
      <c r="J28"/>
    </row>
    <row r="29" spans="1:11" ht="6" customHeight="1">
      <c r="A29"/>
      <c r="B29"/>
      <c r="C29"/>
      <c r="D29"/>
      <c r="E29"/>
      <c r="F29"/>
      <c r="G29"/>
      <c r="H29"/>
      <c r="I29"/>
      <c r="J29"/>
    </row>
    <row r="30" spans="1:11" ht="15" customHeight="1">
      <c r="A30" s="346" t="s">
        <v>305</v>
      </c>
      <c r="B30"/>
      <c r="C30" t="s">
        <v>336</v>
      </c>
      <c r="D30"/>
      <c r="E30"/>
      <c r="F30"/>
      <c r="G30"/>
      <c r="H30"/>
      <c r="I30"/>
      <c r="J30"/>
    </row>
    <row r="31" spans="1:11" ht="6" customHeight="1">
      <c r="A31"/>
      <c r="B31"/>
      <c r="C31"/>
      <c r="D31"/>
      <c r="E31"/>
      <c r="F31"/>
      <c r="G31"/>
      <c r="H31"/>
      <c r="I31"/>
      <c r="J31"/>
    </row>
    <row r="32" spans="1:11" ht="15" customHeight="1">
      <c r="A32" s="346" t="s">
        <v>320</v>
      </c>
      <c r="C32" t="s">
        <v>340</v>
      </c>
      <c r="D32"/>
      <c r="E32"/>
      <c r="F32"/>
      <c r="G32"/>
      <c r="H32"/>
      <c r="I32"/>
      <c r="J32"/>
    </row>
    <row r="33" spans="1:10" ht="6" customHeight="1">
      <c r="A33"/>
      <c r="B33"/>
      <c r="C33"/>
      <c r="D33"/>
      <c r="E33"/>
      <c r="F33"/>
      <c r="G33"/>
      <c r="H33"/>
      <c r="I33"/>
      <c r="J33"/>
    </row>
    <row r="34" spans="1:10" ht="15" customHeight="1">
      <c r="A34" s="352" t="s">
        <v>313</v>
      </c>
      <c r="C34" t="s">
        <v>348</v>
      </c>
      <c r="D34"/>
      <c r="E34"/>
      <c r="F34"/>
      <c r="G34"/>
      <c r="H34"/>
      <c r="I34"/>
      <c r="J34"/>
    </row>
    <row r="35" spans="1:10" ht="6" customHeight="1">
      <c r="A35"/>
      <c r="B35"/>
      <c r="C35"/>
      <c r="D35"/>
      <c r="E35"/>
      <c r="F35"/>
      <c r="G35"/>
      <c r="H35"/>
      <c r="I35"/>
      <c r="J35"/>
    </row>
    <row r="36" spans="1:10" ht="15" customHeight="1">
      <c r="A36" s="352" t="s">
        <v>324</v>
      </c>
      <c r="C36" t="s">
        <v>350</v>
      </c>
    </row>
    <row r="37" spans="1:10" ht="12.75" customHeight="1">
      <c r="A37" s="106"/>
      <c r="B37" s="106"/>
      <c r="C37" s="106"/>
      <c r="J37" s="347">
        <f ca="1">NOW()</f>
        <v>37151.667196180555</v>
      </c>
    </row>
    <row r="38" spans="1:10" ht="12.75" customHeight="1">
      <c r="A38" s="6" t="str">
        <f ca="1">CELL("filename")</f>
        <v>G:\MRO\MRO\Aug01\[3rd CE supplement.xls]QrtsActuals</v>
      </c>
      <c r="J38" s="348">
        <f ca="1">NOW()</f>
        <v>37151.667196180555</v>
      </c>
    </row>
    <row r="39" spans="1:10">
      <c r="D39" s="7"/>
    </row>
  </sheetData>
  <pageMargins left="0.75" right="0.75" top="1" bottom="1" header="0.5" footer="0.5"/>
  <pageSetup scale="77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showGridLines="0" topLeftCell="A30" zoomScale="75" workbookViewId="0">
      <selection activeCell="C58" sqref="C58"/>
    </sheetView>
  </sheetViews>
  <sheetFormatPr defaultColWidth="12.5546875" defaultRowHeight="15"/>
  <cols>
    <col min="1" max="2" width="2.44140625" style="99" customWidth="1"/>
    <col min="3" max="4" width="22.109375" style="99" customWidth="1"/>
    <col min="5" max="5" width="9.33203125" style="99" customWidth="1"/>
    <col min="6" max="6" width="13.5546875" style="99" customWidth="1"/>
    <col min="7" max="7" width="3.33203125" style="99" customWidth="1"/>
    <col min="8" max="8" width="13.5546875" style="99" customWidth="1"/>
    <col min="9" max="9" width="3.33203125" style="99" customWidth="1"/>
    <col min="10" max="10" width="13.5546875" style="99" customWidth="1"/>
    <col min="11" max="16384" width="12.5546875" style="99"/>
  </cols>
  <sheetData>
    <row r="1" spans="1:11" ht="17.399999999999999">
      <c r="A1" s="326" t="str">
        <f>+[7]Format!A1</f>
        <v>PORTLAND GENERAL GROUP</v>
      </c>
      <c r="B1" s="96"/>
      <c r="C1" s="96"/>
      <c r="D1" s="96"/>
      <c r="E1" s="96"/>
      <c r="F1" s="96"/>
      <c r="G1" s="96"/>
      <c r="H1" s="96"/>
      <c r="I1" s="97"/>
      <c r="J1" s="97"/>
    </row>
    <row r="2" spans="1:11" ht="17.399999999999999">
      <c r="A2" s="326" t="str">
        <f>+Format!A2</f>
        <v>2001 CURRENT ESTIMATE - AUGUST</v>
      </c>
      <c r="B2" s="96"/>
      <c r="C2" s="96"/>
      <c r="D2" s="96"/>
      <c r="E2" s="96"/>
      <c r="F2" s="96"/>
      <c r="G2" s="96"/>
      <c r="H2" s="96"/>
      <c r="I2" s="97"/>
      <c r="J2" s="97"/>
    </row>
    <row r="3" spans="1:11" ht="17.399999999999999">
      <c r="A3" s="95" t="s">
        <v>299</v>
      </c>
      <c r="B3" s="96"/>
      <c r="C3" s="96"/>
      <c r="D3" s="96"/>
      <c r="E3" s="96"/>
      <c r="F3" s="96"/>
      <c r="G3" s="96"/>
      <c r="H3" s="96"/>
      <c r="I3" s="97"/>
      <c r="J3" s="97"/>
    </row>
    <row r="4" spans="1:11" ht="17.399999999999999">
      <c r="A4" s="327" t="s">
        <v>2</v>
      </c>
      <c r="B4" s="96"/>
      <c r="C4" s="96"/>
      <c r="D4" s="96"/>
      <c r="E4" s="96"/>
      <c r="F4" s="96"/>
      <c r="G4" s="96"/>
      <c r="H4" s="96"/>
      <c r="I4" s="97"/>
      <c r="J4" s="97"/>
    </row>
    <row r="5" spans="1:11" ht="15" customHeight="1"/>
    <row r="6" spans="1:11" ht="15" customHeight="1">
      <c r="F6" s="328">
        <v>2001</v>
      </c>
      <c r="G6" s="329"/>
      <c r="H6" s="328"/>
    </row>
    <row r="7" spans="1:11" ht="15.6">
      <c r="A7" s="330"/>
      <c r="B7" s="331"/>
      <c r="C7" s="331"/>
      <c r="D7" s="330"/>
      <c r="E7" s="330"/>
      <c r="F7" s="332" t="s">
        <v>327</v>
      </c>
      <c r="G7" s="331"/>
      <c r="H7" s="349" t="s">
        <v>323</v>
      </c>
      <c r="I7" s="333"/>
      <c r="J7" s="334" t="s">
        <v>72</v>
      </c>
    </row>
    <row r="8" spans="1:11" ht="15" customHeight="1">
      <c r="A8" s="335" t="s">
        <v>301</v>
      </c>
      <c r="B8" s="330"/>
      <c r="C8" s="330"/>
      <c r="D8" s="330"/>
      <c r="E8" s="330"/>
      <c r="F8" s="330"/>
      <c r="G8" s="330"/>
      <c r="H8" s="330"/>
      <c r="I8" s="330"/>
      <c r="J8" s="330"/>
    </row>
    <row r="9" spans="1:11" ht="6" customHeight="1">
      <c r="A9" s="330"/>
      <c r="B9" s="330"/>
      <c r="C9" s="330"/>
      <c r="D9" s="330"/>
      <c r="E9" s="330"/>
      <c r="F9" s="330"/>
      <c r="G9" s="330"/>
      <c r="H9" s="330"/>
      <c r="I9" s="330"/>
      <c r="J9" s="330"/>
    </row>
    <row r="10" spans="1:11" s="163" customFormat="1" ht="15" customHeight="1">
      <c r="A10" s="336"/>
      <c r="B10" s="337" t="s">
        <v>302</v>
      </c>
      <c r="C10" s="336"/>
      <c r="D10" s="336"/>
      <c r="E10" s="336"/>
      <c r="F10" s="336">
        <f>+CashCorpCE!F10</f>
        <v>89.223055979022845</v>
      </c>
      <c r="G10" s="338"/>
      <c r="H10" s="336">
        <f>+[7]FundsFlow!G10</f>
        <v>87.7</v>
      </c>
      <c r="I10" s="336"/>
      <c r="J10" s="336">
        <f t="shared" ref="J10:J22" si="0">+F10-H10</f>
        <v>1.5230559790228426</v>
      </c>
      <c r="K10" s="340" t="s">
        <v>305</v>
      </c>
    </row>
    <row r="11" spans="1:11" s="163" customFormat="1" ht="15" customHeight="1">
      <c r="A11" s="336"/>
      <c r="B11" s="339" t="s">
        <v>303</v>
      </c>
      <c r="C11" s="336"/>
      <c r="D11" s="336"/>
      <c r="E11" s="336"/>
      <c r="F11" s="336">
        <f>+CashCorpCE!F11</f>
        <v>18.700000000000003</v>
      </c>
      <c r="G11" s="338"/>
      <c r="H11" s="338">
        <v>0</v>
      </c>
      <c r="I11" s="336"/>
      <c r="J11" s="336">
        <f t="shared" si="0"/>
        <v>18.700000000000003</v>
      </c>
    </row>
    <row r="12" spans="1:11" s="163" customFormat="1" ht="15" customHeight="1">
      <c r="A12" s="336"/>
      <c r="B12" s="339" t="s">
        <v>304</v>
      </c>
      <c r="C12" s="336"/>
      <c r="D12" s="336"/>
      <c r="E12" s="336"/>
      <c r="F12" s="336">
        <f>+CashCorpCE!F12</f>
        <v>112.16270337999423</v>
      </c>
      <c r="G12" s="338"/>
      <c r="H12" s="336">
        <f>91.4-10.4</f>
        <v>81</v>
      </c>
      <c r="I12" s="336"/>
      <c r="J12" s="336">
        <f t="shared" si="0"/>
        <v>31.162703379994227</v>
      </c>
      <c r="K12" s="340" t="s">
        <v>305</v>
      </c>
    </row>
    <row r="13" spans="1:11" s="163" customFormat="1" ht="15" customHeight="1">
      <c r="A13" s="336"/>
      <c r="B13" s="341" t="s">
        <v>306</v>
      </c>
      <c r="C13" s="336"/>
      <c r="D13" s="336"/>
      <c r="E13" s="336"/>
      <c r="F13" s="336">
        <f>+CashCorpCE!F13</f>
        <v>8.3670000000000009</v>
      </c>
      <c r="G13" s="338"/>
      <c r="H13" s="336">
        <v>8.3000000000000007</v>
      </c>
      <c r="I13" s="336"/>
      <c r="J13" s="336">
        <f t="shared" si="0"/>
        <v>6.7000000000000171E-2</v>
      </c>
    </row>
    <row r="14" spans="1:11" s="163" customFormat="1" ht="15" customHeight="1">
      <c r="A14" s="336"/>
      <c r="B14" s="339" t="s">
        <v>307</v>
      </c>
      <c r="C14" s="336"/>
      <c r="D14" s="336"/>
      <c r="E14" s="336"/>
      <c r="F14" s="336">
        <f>+CashCorpCE!F14</f>
        <v>0</v>
      </c>
      <c r="G14" s="338"/>
      <c r="H14" s="338">
        <v>0</v>
      </c>
      <c r="I14" s="336"/>
      <c r="J14" s="336">
        <f t="shared" si="0"/>
        <v>0</v>
      </c>
    </row>
    <row r="15" spans="1:11" s="163" customFormat="1" ht="15" customHeight="1">
      <c r="A15" s="336"/>
      <c r="B15" s="339" t="s">
        <v>74</v>
      </c>
      <c r="C15" s="336"/>
      <c r="D15" s="336"/>
      <c r="E15" s="336"/>
      <c r="F15" s="336">
        <f>+CashCorpCE!F15</f>
        <v>0</v>
      </c>
      <c r="G15" s="338"/>
      <c r="H15" s="336">
        <v>0</v>
      </c>
      <c r="I15" s="336"/>
      <c r="J15" s="336">
        <f t="shared" si="0"/>
        <v>0</v>
      </c>
    </row>
    <row r="16" spans="1:11" s="163" customFormat="1" ht="15" customHeight="1">
      <c r="A16" s="336"/>
      <c r="B16" s="339" t="s">
        <v>308</v>
      </c>
      <c r="C16" s="342"/>
      <c r="D16" s="342"/>
      <c r="E16" s="342"/>
      <c r="F16" s="336">
        <f>+CashCorpCE!F16</f>
        <v>0</v>
      </c>
      <c r="G16" s="338"/>
      <c r="H16" s="336">
        <v>0</v>
      </c>
      <c r="I16" s="336"/>
      <c r="J16" s="336">
        <f t="shared" si="0"/>
        <v>0</v>
      </c>
    </row>
    <row r="17" spans="1:11" s="163" customFormat="1" ht="15" customHeight="1">
      <c r="A17" s="336"/>
      <c r="B17" s="339" t="s">
        <v>309</v>
      </c>
      <c r="C17" s="336"/>
      <c r="D17" s="342"/>
      <c r="E17" s="342"/>
      <c r="F17" s="336">
        <f>+CashCorpCE!F17</f>
        <v>-258.16986009901598</v>
      </c>
      <c r="G17" s="338"/>
      <c r="H17" s="338">
        <v>-120.7</v>
      </c>
      <c r="I17" s="336"/>
      <c r="J17" s="336">
        <f t="shared" si="0"/>
        <v>-137.46986009901599</v>
      </c>
      <c r="K17" s="340" t="s">
        <v>311</v>
      </c>
    </row>
    <row r="18" spans="1:11" s="163" customFormat="1" ht="15" customHeight="1">
      <c r="A18" s="336"/>
      <c r="B18" s="339" t="s">
        <v>310</v>
      </c>
      <c r="C18" s="336"/>
      <c r="D18" s="342"/>
      <c r="E18" s="342"/>
      <c r="F18" s="336">
        <f>+CashCorpCE!F18</f>
        <v>0</v>
      </c>
      <c r="G18" s="338"/>
      <c r="H18" s="338">
        <v>0</v>
      </c>
      <c r="I18" s="336"/>
      <c r="J18" s="336">
        <f t="shared" si="0"/>
        <v>0</v>
      </c>
    </row>
    <row r="19" spans="1:11" s="163" customFormat="1" ht="15" customHeight="1">
      <c r="A19" s="336"/>
      <c r="B19" s="341" t="s">
        <v>312</v>
      </c>
      <c r="C19" s="336"/>
      <c r="D19" s="342"/>
      <c r="E19" s="342"/>
      <c r="F19" s="336">
        <f>+CashCorpCE!F19</f>
        <v>-219.95273809523806</v>
      </c>
      <c r="G19" s="338"/>
      <c r="H19" s="338">
        <v>-193.1</v>
      </c>
      <c r="I19" s="336"/>
      <c r="J19" s="336">
        <f t="shared" si="0"/>
        <v>-26.852738095238067</v>
      </c>
      <c r="K19" s="340" t="s">
        <v>313</v>
      </c>
    </row>
    <row r="20" spans="1:11" s="163" customFormat="1" ht="15" customHeight="1">
      <c r="A20" s="336"/>
      <c r="B20" s="339" t="s">
        <v>314</v>
      </c>
      <c r="C20" s="336"/>
      <c r="D20" s="342"/>
      <c r="E20" s="342"/>
      <c r="F20" s="336">
        <f>+CashCorpCE!F20</f>
        <v>-42.362499999999997</v>
      </c>
      <c r="G20" s="338"/>
      <c r="H20" s="338">
        <v>-82.4</v>
      </c>
      <c r="I20" s="336"/>
      <c r="J20" s="336">
        <f t="shared" si="0"/>
        <v>40.037500000000009</v>
      </c>
      <c r="K20" s="340" t="s">
        <v>324</v>
      </c>
    </row>
    <row r="21" spans="1:11" s="163" customFormat="1" ht="15" customHeight="1">
      <c r="A21" s="336"/>
      <c r="B21" s="339" t="s">
        <v>315</v>
      </c>
      <c r="C21" s="336"/>
      <c r="D21" s="342"/>
      <c r="E21" s="342"/>
      <c r="F21" s="336">
        <f>+CashCorpCE!F21</f>
        <v>277.34735365863321</v>
      </c>
      <c r="G21" s="338"/>
      <c r="H21" s="338">
        <v>240.8</v>
      </c>
      <c r="I21" s="336"/>
      <c r="J21" s="336">
        <f t="shared" si="0"/>
        <v>36.547353658633199</v>
      </c>
      <c r="K21" s="340" t="s">
        <v>311</v>
      </c>
    </row>
    <row r="22" spans="1:11" s="163" customFormat="1" ht="15" customHeight="1">
      <c r="A22" s="336"/>
      <c r="B22" s="339" t="s">
        <v>316</v>
      </c>
      <c r="C22" s="336"/>
      <c r="D22" s="342"/>
      <c r="E22" s="342"/>
      <c r="F22" s="336">
        <f>+CashCorpCE!F22</f>
        <v>14.705516941439747</v>
      </c>
      <c r="G22" s="338"/>
      <c r="H22" s="336">
        <f>-106+82.4+2</f>
        <v>-21.599999999999994</v>
      </c>
      <c r="I22" s="336"/>
      <c r="J22" s="336">
        <f t="shared" si="0"/>
        <v>36.305516941439741</v>
      </c>
      <c r="K22" s="340" t="s">
        <v>351</v>
      </c>
    </row>
    <row r="23" spans="1:11" ht="6" customHeight="1">
      <c r="A23" s="330"/>
      <c r="B23" s="330"/>
      <c r="C23" s="330"/>
      <c r="D23" s="331"/>
      <c r="E23" s="331"/>
      <c r="F23" s="102"/>
      <c r="G23" s="330"/>
      <c r="H23" s="102"/>
      <c r="I23" s="330"/>
      <c r="J23" s="102"/>
    </row>
    <row r="24" spans="1:11" ht="15" customHeight="1" thickBot="1">
      <c r="A24" s="330"/>
      <c r="B24" s="330"/>
      <c r="C24" s="343" t="s">
        <v>317</v>
      </c>
      <c r="E24" s="331"/>
      <c r="F24" s="344">
        <f>SUM(F10:F22)</f>
        <v>2.0531764835958199E-2</v>
      </c>
      <c r="G24" s="345"/>
      <c r="H24" s="344">
        <f>SUM(H10:H22)</f>
        <v>0</v>
      </c>
      <c r="I24" s="345"/>
      <c r="J24" s="344">
        <f>SUM(J10:J22)</f>
        <v>2.053176483597241E-2</v>
      </c>
    </row>
    <row r="25" spans="1:11" ht="15" customHeight="1" thickTop="1">
      <c r="A25" s="330"/>
      <c r="B25" s="330"/>
      <c r="C25" s="330"/>
      <c r="D25" s="331"/>
      <c r="E25" s="331"/>
      <c r="F25" s="331"/>
      <c r="G25" s="330"/>
      <c r="H25" s="331"/>
      <c r="I25" s="330"/>
      <c r="J25" s="331"/>
    </row>
    <row r="26" spans="1:11" ht="15" customHeight="1">
      <c r="A26" s="335" t="s">
        <v>318</v>
      </c>
      <c r="B26" s="114"/>
      <c r="C26" s="114"/>
      <c r="D26" s="114"/>
    </row>
    <row r="27" spans="1:11" ht="6" customHeight="1"/>
    <row r="28" spans="1:11" ht="15" customHeight="1">
      <c r="A28" t="s">
        <v>319</v>
      </c>
      <c r="B28"/>
      <c r="C28"/>
      <c r="D28"/>
      <c r="E28"/>
      <c r="F28"/>
      <c r="G28"/>
      <c r="H28"/>
      <c r="I28"/>
      <c r="J28"/>
    </row>
    <row r="29" spans="1:11" ht="6" customHeight="1">
      <c r="A29"/>
      <c r="B29"/>
      <c r="C29"/>
      <c r="D29"/>
      <c r="E29"/>
      <c r="F29"/>
      <c r="G29"/>
      <c r="H29"/>
      <c r="I29"/>
      <c r="J29"/>
    </row>
    <row r="30" spans="1:11" ht="15" customHeight="1">
      <c r="A30"/>
      <c r="B30"/>
      <c r="C30"/>
      <c r="D30"/>
      <c r="E30"/>
      <c r="F30"/>
      <c r="G30"/>
      <c r="H30"/>
      <c r="I30"/>
      <c r="J30"/>
    </row>
    <row r="31" spans="1:11" ht="15" customHeight="1">
      <c r="A31" s="346" t="s">
        <v>305</v>
      </c>
      <c r="B31"/>
      <c r="C31" t="s">
        <v>290</v>
      </c>
      <c r="D31"/>
      <c r="E31"/>
      <c r="F31"/>
      <c r="G31"/>
      <c r="H31"/>
      <c r="I31"/>
      <c r="J31"/>
    </row>
    <row r="32" spans="1:11" ht="6" customHeight="1">
      <c r="A32"/>
      <c r="B32"/>
      <c r="C32"/>
      <c r="D32"/>
      <c r="E32"/>
      <c r="F32"/>
      <c r="G32"/>
      <c r="H32"/>
      <c r="I32"/>
      <c r="J32"/>
    </row>
    <row r="33" spans="1:10" ht="15" customHeight="1">
      <c r="A33" s="346" t="s">
        <v>320</v>
      </c>
      <c r="B33"/>
      <c r="C33" t="s">
        <v>325</v>
      </c>
      <c r="D33"/>
      <c r="E33"/>
      <c r="F33"/>
      <c r="G33"/>
      <c r="H33"/>
      <c r="I33"/>
      <c r="J33"/>
    </row>
    <row r="34" spans="1:10" ht="6" customHeight="1">
      <c r="A34"/>
      <c r="B34"/>
      <c r="C34"/>
      <c r="D34"/>
      <c r="E34"/>
      <c r="F34"/>
      <c r="G34"/>
      <c r="H34"/>
      <c r="I34"/>
      <c r="J34"/>
    </row>
    <row r="35" spans="1:10" ht="15" customHeight="1">
      <c r="A35" s="346" t="s">
        <v>321</v>
      </c>
      <c r="C35" t="s">
        <v>322</v>
      </c>
      <c r="D35"/>
      <c r="E35"/>
      <c r="F35"/>
      <c r="G35"/>
      <c r="H35"/>
      <c r="I35"/>
      <c r="J35"/>
    </row>
    <row r="36" spans="1:10" ht="6" customHeight="1">
      <c r="A36"/>
      <c r="B36"/>
      <c r="C36"/>
      <c r="D36"/>
      <c r="E36"/>
      <c r="F36"/>
      <c r="G36"/>
      <c r="H36"/>
      <c r="I36"/>
      <c r="J36"/>
    </row>
    <row r="37" spans="1:10" ht="15" customHeight="1">
      <c r="A37" s="352" t="s">
        <v>324</v>
      </c>
      <c r="C37" t="s">
        <v>348</v>
      </c>
      <c r="D37"/>
      <c r="E37"/>
      <c r="F37"/>
      <c r="G37"/>
      <c r="H37"/>
      <c r="I37"/>
      <c r="J37"/>
    </row>
    <row r="38" spans="1:10" ht="9" customHeight="1">
      <c r="A38"/>
      <c r="B38"/>
      <c r="C38"/>
      <c r="D38"/>
      <c r="E38"/>
      <c r="F38"/>
      <c r="G38"/>
      <c r="H38"/>
      <c r="I38"/>
      <c r="J38"/>
    </row>
    <row r="39" spans="1:10" ht="15" customHeight="1">
      <c r="A39" s="352" t="s">
        <v>351</v>
      </c>
      <c r="C39" t="s">
        <v>352</v>
      </c>
      <c r="D39"/>
      <c r="E39"/>
      <c r="F39"/>
      <c r="G39"/>
      <c r="H39"/>
      <c r="I39"/>
      <c r="J39"/>
    </row>
    <row r="40" spans="1:10" ht="12.75" customHeight="1">
      <c r="A40" s="106"/>
      <c r="B40" s="106"/>
      <c r="C40" s="106"/>
      <c r="J40" s="347">
        <f ca="1">NOW()</f>
        <v>37151.667196180555</v>
      </c>
    </row>
    <row r="41" spans="1:10" ht="12.75" customHeight="1">
      <c r="A41" s="6" t="str">
        <f ca="1">CELL("filename")</f>
        <v>G:\MRO\MRO\Aug01\[3rd CE supplement.xls]QrtsActuals</v>
      </c>
      <c r="J41" s="348">
        <f ca="1">NOW()</f>
        <v>37151.667196180555</v>
      </c>
    </row>
    <row r="42" spans="1:10">
      <c r="D42" s="7"/>
    </row>
  </sheetData>
  <pageMargins left="0.75" right="0.75" top="1" bottom="1" header="0.5" footer="0.5"/>
  <pageSetup scale="77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opLeftCell="A12" workbookViewId="0">
      <selection activeCell="B23" sqref="B23"/>
    </sheetView>
  </sheetViews>
  <sheetFormatPr defaultColWidth="12.5546875" defaultRowHeight="15"/>
  <cols>
    <col min="1" max="1" width="4.88671875" style="41" customWidth="1"/>
    <col min="2" max="2" width="6.109375" style="41" customWidth="1"/>
    <col min="3" max="3" width="12.5546875" style="41"/>
    <col min="4" max="4" width="21.5546875" style="41" customWidth="1"/>
    <col min="5" max="5" width="12.5546875" style="41"/>
    <col min="6" max="6" width="7.44140625" style="41" customWidth="1"/>
    <col min="7" max="7" width="12.5546875" style="41"/>
    <col min="8" max="8" width="7.44140625" style="41" customWidth="1"/>
    <col min="9" max="9" width="12.5546875" style="41"/>
    <col min="10" max="10" width="7.44140625" style="41" customWidth="1"/>
    <col min="11" max="16384" width="12.5546875" style="41"/>
  </cols>
  <sheetData>
    <row r="1" spans="1:13" s="3" customFormat="1" ht="17.399999999999999">
      <c r="A1" s="63" t="str">
        <f>+QtrComp_vs_PY!A1</f>
        <v>PORTLAND GENERAL GROUP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</row>
    <row r="2" spans="1:13" s="3" customFormat="1" ht="17.399999999999999">
      <c r="A2" s="63" t="str">
        <f>+QtrComp_vs_PY!A2</f>
        <v>2001 CURRENT ESTIMATE - AUGUST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</row>
    <row r="3" spans="1:13" ht="17.399999999999999">
      <c r="A3" s="353" t="s">
        <v>12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</row>
    <row r="4" spans="1:13" ht="17.399999999999999">
      <c r="A4" s="40"/>
      <c r="B4" s="42" t="s">
        <v>2</v>
      </c>
      <c r="C4" s="40"/>
      <c r="D4" s="40"/>
      <c r="E4" s="40"/>
      <c r="F4" s="40"/>
      <c r="G4" s="40"/>
      <c r="H4" s="40"/>
      <c r="I4" s="40"/>
      <c r="J4" s="40"/>
      <c r="K4" s="40"/>
    </row>
    <row r="5" spans="1:1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3">
      <c r="B6" s="44" t="s">
        <v>13</v>
      </c>
      <c r="C6" s="43"/>
      <c r="D6" s="43"/>
      <c r="E6" s="43"/>
      <c r="F6" s="43"/>
      <c r="G6" s="43"/>
      <c r="H6" s="43"/>
      <c r="I6" s="43"/>
      <c r="J6" s="43"/>
      <c r="K6" s="43"/>
    </row>
    <row r="7" spans="1:13">
      <c r="A7" s="45"/>
      <c r="B7" s="44" t="s">
        <v>14</v>
      </c>
      <c r="C7" s="43"/>
      <c r="D7" s="43"/>
      <c r="E7" s="43"/>
      <c r="F7" s="43"/>
      <c r="G7" s="43"/>
      <c r="H7" s="43"/>
      <c r="I7" s="43"/>
      <c r="J7" s="43"/>
      <c r="K7" s="43"/>
    </row>
    <row r="8" spans="1:13">
      <c r="D8" s="46"/>
      <c r="E8" s="46"/>
      <c r="F8" s="46"/>
      <c r="G8" s="46"/>
      <c r="H8" s="46"/>
      <c r="I8" s="46"/>
      <c r="J8" s="46"/>
      <c r="K8" s="46"/>
    </row>
    <row r="9" spans="1:13" ht="15.6">
      <c r="E9" s="47" t="s">
        <v>15</v>
      </c>
      <c r="G9" s="47" t="s">
        <v>16</v>
      </c>
      <c r="I9" s="47" t="s">
        <v>17</v>
      </c>
      <c r="K9" s="47" t="s">
        <v>18</v>
      </c>
    </row>
    <row r="10" spans="1:13" ht="15.6">
      <c r="E10" s="48" t="s">
        <v>19</v>
      </c>
      <c r="G10" s="48" t="s">
        <v>20</v>
      </c>
      <c r="I10" s="48" t="s">
        <v>21</v>
      </c>
      <c r="K10" s="48" t="s">
        <v>22</v>
      </c>
    </row>
    <row r="11" spans="1:13" ht="15.6">
      <c r="A11" s="49" t="s">
        <v>23</v>
      </c>
    </row>
    <row r="13" spans="1:13" ht="15.6">
      <c r="A13" s="50"/>
      <c r="B13" s="41" t="s">
        <v>265</v>
      </c>
      <c r="E13" s="317" t="s">
        <v>266</v>
      </c>
      <c r="G13" s="41">
        <f>15.4+11.3</f>
        <v>26.700000000000003</v>
      </c>
      <c r="I13" s="41">
        <f>26.7+8.5</f>
        <v>35.200000000000003</v>
      </c>
      <c r="K13" s="53">
        <f>G13-I13</f>
        <v>-8.5</v>
      </c>
    </row>
    <row r="14" spans="1:13" s="51" customFormat="1" ht="14.25" customHeight="1">
      <c r="B14" s="51" t="s">
        <v>10</v>
      </c>
      <c r="E14" s="52" t="s">
        <v>10</v>
      </c>
      <c r="F14" s="52"/>
      <c r="G14" s="52">
        <v>0</v>
      </c>
      <c r="H14" s="52"/>
      <c r="I14" s="52">
        <v>0</v>
      </c>
      <c r="J14" s="52"/>
      <c r="K14" s="53">
        <f>G14-I14</f>
        <v>0</v>
      </c>
    </row>
    <row r="15" spans="1:13" s="51" customFormat="1" ht="14.25" customHeight="1">
      <c r="B15" s="51" t="s">
        <v>10</v>
      </c>
      <c r="E15" s="52" t="s">
        <v>10</v>
      </c>
      <c r="F15" s="52"/>
      <c r="G15" s="52">
        <v>0</v>
      </c>
      <c r="H15" s="52"/>
      <c r="I15" s="52">
        <v>0</v>
      </c>
      <c r="J15" s="52"/>
      <c r="K15" s="53">
        <f>G15-I15</f>
        <v>0</v>
      </c>
    </row>
    <row r="16" spans="1:13" s="51" customFormat="1" ht="14.25" customHeight="1">
      <c r="B16" s="51" t="s">
        <v>10</v>
      </c>
      <c r="E16" s="52" t="s">
        <v>10</v>
      </c>
      <c r="F16" s="52"/>
      <c r="G16" s="52">
        <v>0</v>
      </c>
      <c r="H16" s="52"/>
      <c r="I16" s="52">
        <v>0</v>
      </c>
      <c r="J16" s="52"/>
      <c r="K16" s="53">
        <f>G16-I16</f>
        <v>0</v>
      </c>
    </row>
    <row r="17" spans="1:11" s="51" customFormat="1" ht="14.25" customHeight="1">
      <c r="E17" s="52"/>
      <c r="F17" s="52"/>
      <c r="G17" s="52"/>
      <c r="H17" s="52"/>
      <c r="I17" s="52"/>
      <c r="J17" s="52"/>
      <c r="K17" s="53"/>
    </row>
    <row r="18" spans="1:11" s="51" customFormat="1">
      <c r="E18" s="54"/>
      <c r="F18" s="52"/>
      <c r="G18" s="52"/>
      <c r="H18" s="52"/>
      <c r="I18" s="52"/>
      <c r="J18" s="52"/>
      <c r="K18" s="53"/>
    </row>
    <row r="19" spans="1:11" s="51" customFormat="1" ht="16.2" thickBot="1">
      <c r="C19" s="55" t="s">
        <v>38</v>
      </c>
      <c r="E19" s="56"/>
      <c r="F19" s="53"/>
      <c r="G19" s="57">
        <f>SUM(G13:G18)</f>
        <v>26.700000000000003</v>
      </c>
      <c r="H19" s="53"/>
      <c r="I19" s="57">
        <f>SUM(I13:I18)</f>
        <v>35.200000000000003</v>
      </c>
      <c r="J19" s="53"/>
      <c r="K19" s="57">
        <f>SUM(K13:K18)</f>
        <v>-8.5</v>
      </c>
    </row>
    <row r="20" spans="1:11" s="51" customFormat="1" ht="15.6" thickTop="1">
      <c r="E20" s="58"/>
    </row>
    <row r="21" spans="1:11" s="51" customFormat="1">
      <c r="A21"/>
      <c r="B21"/>
      <c r="C21"/>
      <c r="D21"/>
      <c r="E21"/>
      <c r="F21"/>
      <c r="G21"/>
      <c r="H21"/>
      <c r="I21"/>
      <c r="J21"/>
      <c r="K21"/>
    </row>
    <row r="22" spans="1:11" s="51" customFormat="1">
      <c r="A22"/>
      <c r="B22" t="s">
        <v>341</v>
      </c>
      <c r="C22"/>
      <c r="D22"/>
      <c r="E22"/>
      <c r="F22"/>
      <c r="G22"/>
      <c r="H22"/>
      <c r="I22"/>
      <c r="J22"/>
      <c r="K22"/>
    </row>
    <row r="23" spans="1:11" s="51" customFormat="1">
      <c r="A23"/>
      <c r="B23"/>
      <c r="C23"/>
      <c r="D23"/>
      <c r="E23"/>
      <c r="F23"/>
      <c r="G23"/>
      <c r="H23"/>
      <c r="I23"/>
      <c r="J23"/>
      <c r="K23"/>
    </row>
    <row r="24" spans="1:11" s="51" customFormat="1">
      <c r="A24"/>
      <c r="B24"/>
      <c r="C24"/>
      <c r="D24"/>
      <c r="E24"/>
      <c r="F24"/>
      <c r="G24"/>
      <c r="H24"/>
      <c r="I24"/>
      <c r="J24"/>
      <c r="K24"/>
    </row>
    <row r="25" spans="1:11" s="51" customFormat="1">
      <c r="A25"/>
      <c r="B25"/>
      <c r="C25"/>
      <c r="D25"/>
      <c r="E25"/>
      <c r="F25"/>
      <c r="G25"/>
      <c r="H25"/>
      <c r="I25"/>
      <c r="J25"/>
      <c r="K25"/>
    </row>
    <row r="26" spans="1:11" s="51" customFormat="1">
      <c r="A26"/>
      <c r="B26"/>
      <c r="C26"/>
      <c r="D26"/>
      <c r="E26"/>
      <c r="F26"/>
      <c r="G26"/>
      <c r="H26"/>
      <c r="I26"/>
      <c r="J26"/>
      <c r="K26"/>
    </row>
    <row r="27" spans="1:11" s="51" customFormat="1">
      <c r="A27"/>
      <c r="B27"/>
      <c r="C27"/>
      <c r="D27"/>
      <c r="E27"/>
      <c r="F27"/>
      <c r="G27"/>
      <c r="H27"/>
      <c r="I27"/>
      <c r="J27"/>
      <c r="K27"/>
    </row>
    <row r="28" spans="1:11" s="51" customFormat="1">
      <c r="A28"/>
      <c r="B28"/>
      <c r="C28"/>
      <c r="D28"/>
      <c r="E28"/>
      <c r="F28"/>
      <c r="G28"/>
      <c r="H28"/>
      <c r="I28"/>
      <c r="J28"/>
      <c r="K28"/>
    </row>
    <row r="29" spans="1:11" ht="15.6">
      <c r="C29" s="50"/>
      <c r="E29" s="59"/>
      <c r="F29" s="60"/>
      <c r="G29" s="59"/>
      <c r="H29" s="60"/>
      <c r="I29" s="59"/>
      <c r="J29" s="60"/>
      <c r="K29" s="59"/>
    </row>
    <row r="31" spans="1:11" ht="11.25" customHeight="1">
      <c r="A31" s="61"/>
      <c r="C31" s="6" t="str">
        <f ca="1">CELL("filename",C30)</f>
        <v>G:\MRO\MRO\Aug01\[3rd quarter curr est.xls]AssetSales</v>
      </c>
      <c r="E31" s="62"/>
      <c r="G31" s="62"/>
    </row>
    <row r="32" spans="1:11" ht="11.25" customHeight="1">
      <c r="C32" s="7">
        <f ca="1">NOW()</f>
        <v>37151.667196180555</v>
      </c>
    </row>
  </sheetData>
  <mergeCells count="1">
    <mergeCell ref="A3:K3"/>
  </mergeCells>
  <printOptions horizontalCentered="1"/>
  <pageMargins left="0.5" right="0.5" top="0.75" bottom="0.75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topLeftCell="A8" workbookViewId="0">
      <selection activeCell="B24" sqref="B24"/>
    </sheetView>
  </sheetViews>
  <sheetFormatPr defaultColWidth="11.6640625" defaultRowHeight="15"/>
  <cols>
    <col min="1" max="1" width="5.109375" style="3" customWidth="1"/>
    <col min="2" max="16384" width="11.6640625" style="3"/>
  </cols>
  <sheetData>
    <row r="1" spans="1:13" ht="17.399999999999999">
      <c r="A1" s="63" t="str">
        <f>+QtrComp_vs_PY!A1</f>
        <v>PORTLAND GENERAL GROUP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</row>
    <row r="2" spans="1:13" ht="17.399999999999999">
      <c r="A2" s="63" t="str">
        <f>+QtrComp_vs_PY!A2</f>
        <v>2001 CURRENT ESTIMATE - AUGUST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</row>
    <row r="3" spans="1:13" ht="17.399999999999999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</row>
    <row r="4" spans="1:13" ht="17.39999999999999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9" spans="1:13">
      <c r="A9" s="4" t="s">
        <v>0</v>
      </c>
    </row>
    <row r="11" spans="1:13">
      <c r="A11" s="5" t="s">
        <v>1</v>
      </c>
      <c r="B11" s="5" t="s">
        <v>267</v>
      </c>
    </row>
    <row r="12" spans="1:13">
      <c r="A12" s="5"/>
      <c r="B12" s="5" t="s">
        <v>268</v>
      </c>
    </row>
    <row r="13" spans="1:13">
      <c r="A13" s="5"/>
      <c r="B13" s="5"/>
    </row>
    <row r="14" spans="1:13">
      <c r="A14" s="5" t="s">
        <v>1</v>
      </c>
      <c r="B14" s="5" t="s">
        <v>269</v>
      </c>
    </row>
    <row r="15" spans="1:13">
      <c r="A15" s="5"/>
      <c r="B15" s="5"/>
    </row>
    <row r="16" spans="1:13">
      <c r="A16" s="5" t="s">
        <v>1</v>
      </c>
      <c r="B16" s="5" t="s">
        <v>298</v>
      </c>
    </row>
    <row r="17" spans="1:2">
      <c r="A17" s="5"/>
      <c r="B17" s="5"/>
    </row>
    <row r="18" spans="1:2">
      <c r="A18" s="5" t="s">
        <v>1</v>
      </c>
      <c r="B18" s="5" t="s">
        <v>338</v>
      </c>
    </row>
    <row r="19" spans="1:2">
      <c r="A19" s="5"/>
      <c r="B19" s="5" t="s">
        <v>337</v>
      </c>
    </row>
    <row r="20" spans="1:2">
      <c r="A20" s="5"/>
      <c r="B20" s="5"/>
    </row>
    <row r="21" spans="1:2">
      <c r="A21" s="3" t="s">
        <v>1</v>
      </c>
      <c r="B21" s="3" t="s">
        <v>342</v>
      </c>
    </row>
    <row r="23" spans="1:2">
      <c r="A23" s="3" t="s">
        <v>1</v>
      </c>
      <c r="B23" s="3" t="s">
        <v>343</v>
      </c>
    </row>
    <row r="26" spans="1:2" ht="11.25" customHeight="1">
      <c r="A26" s="6" t="str">
        <f ca="1">CELL("filename",A25)</f>
        <v>G:\MRO\MRO\Aug01\[3rd quarter curr est.xls]MajAssump</v>
      </c>
    </row>
    <row r="27" spans="1:2" ht="11.25" customHeight="1">
      <c r="A27" s="7"/>
      <c r="B27" s="7">
        <f ca="1">NOW()</f>
        <v>37151.667196296294</v>
      </c>
    </row>
  </sheetData>
  <printOptions horizontalCentered="1"/>
  <pageMargins left="0.5" right="0.5" top="0.7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1"/>
  <sheetViews>
    <sheetView topLeftCell="A23" workbookViewId="0">
      <selection activeCell="A35" sqref="A35"/>
    </sheetView>
  </sheetViews>
  <sheetFormatPr defaultColWidth="12.5546875" defaultRowHeight="13.2"/>
  <cols>
    <col min="1" max="1" width="2.6640625" style="16" customWidth="1"/>
    <col min="2" max="2" width="33" style="16" customWidth="1"/>
    <col min="3" max="3" width="7.109375" style="16" customWidth="1"/>
    <col min="4" max="4" width="1.6640625" style="16" customWidth="1"/>
    <col min="5" max="5" width="6.88671875" style="16" customWidth="1"/>
    <col min="6" max="6" width="1.6640625" style="16" customWidth="1"/>
    <col min="7" max="7" width="6.6640625" style="16" customWidth="1"/>
    <col min="8" max="8" width="2.6640625" style="16" customWidth="1"/>
    <col min="9" max="9" width="7.109375" style="16" customWidth="1"/>
    <col min="10" max="10" width="1.6640625" style="16" customWidth="1"/>
    <col min="11" max="11" width="7.109375" style="16" customWidth="1"/>
    <col min="12" max="12" width="1.6640625" style="16" customWidth="1"/>
    <col min="13" max="13" width="6.6640625" style="16" customWidth="1"/>
    <col min="14" max="14" width="2.6640625" style="16" customWidth="1"/>
    <col min="15" max="15" width="7.109375" style="16" customWidth="1"/>
    <col min="16" max="16" width="1.6640625" style="16" customWidth="1"/>
    <col min="17" max="17" width="7" style="16" customWidth="1"/>
    <col min="18" max="18" width="1.6640625" style="16" customWidth="1"/>
    <col min="19" max="19" width="6.6640625" style="16" customWidth="1"/>
    <col min="20" max="20" width="2.6640625" style="16" customWidth="1"/>
    <col min="21" max="21" width="6.88671875" style="16" customWidth="1"/>
    <col min="22" max="22" width="1.6640625" style="16" customWidth="1"/>
    <col min="23" max="23" width="7" style="16" customWidth="1"/>
    <col min="24" max="24" width="1.6640625" style="16" customWidth="1"/>
    <col min="25" max="25" width="6.6640625" style="16" customWidth="1"/>
    <col min="26" max="26" width="2.6640625" style="16" customWidth="1"/>
    <col min="27" max="27" width="6.88671875" style="16" customWidth="1"/>
    <col min="28" max="28" width="1.6640625" style="16" customWidth="1"/>
    <col min="29" max="29" width="6.6640625" style="16" customWidth="1"/>
    <col min="30" max="30" width="1.6640625" style="16" customWidth="1"/>
    <col min="31" max="31" width="6.6640625" style="16" customWidth="1"/>
    <col min="32" max="16384" width="12.5546875" style="16"/>
  </cols>
  <sheetData>
    <row r="1" spans="1:31" ht="17.399999999999999">
      <c r="A1" s="8" t="str">
        <f>Format!A1</f>
        <v>PORTLAND GENERAL GROUP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7.399999999999999">
      <c r="A2" s="8" t="str">
        <f>Format!A2</f>
        <v>2001 CURRENT ESTIMATE - AUGUST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2"/>
      <c r="AB2" s="10"/>
      <c r="AC2" s="10"/>
      <c r="AD2" s="10"/>
      <c r="AE2" s="10"/>
    </row>
    <row r="3" spans="1:31" ht="17.399999999999999">
      <c r="A3" s="11" t="s">
        <v>175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s="39" customFormat="1" ht="17.399999999999999">
      <c r="A4" s="1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>
      <c r="A5" s="15"/>
    </row>
    <row r="6" spans="1:31">
      <c r="A6" s="15"/>
    </row>
    <row r="7" spans="1:31">
      <c r="A7" s="15"/>
    </row>
    <row r="8" spans="1:3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1">
      <c r="A9" s="17"/>
      <c r="C9" s="18" t="s">
        <v>3</v>
      </c>
      <c r="D9" s="18"/>
      <c r="E9" s="18"/>
      <c r="F9" s="18"/>
      <c r="G9" s="18"/>
      <c r="H9" s="19"/>
      <c r="I9" s="18" t="s">
        <v>4</v>
      </c>
      <c r="J9" s="18"/>
      <c r="K9" s="18"/>
      <c r="L9" s="18"/>
      <c r="M9" s="18"/>
      <c r="N9" s="19"/>
      <c r="O9" s="18" t="s">
        <v>5</v>
      </c>
      <c r="P9" s="18"/>
      <c r="Q9" s="18"/>
      <c r="R9" s="18"/>
      <c r="S9" s="18"/>
      <c r="T9" s="19"/>
      <c r="U9" s="18" t="s">
        <v>6</v>
      </c>
      <c r="V9" s="18"/>
      <c r="W9" s="18"/>
      <c r="X9" s="18"/>
      <c r="Y9" s="18"/>
      <c r="Z9" s="19"/>
      <c r="AA9" s="18" t="s">
        <v>7</v>
      </c>
      <c r="AB9" s="18"/>
      <c r="AC9" s="18"/>
      <c r="AD9" s="18"/>
      <c r="AE9" s="18"/>
    </row>
    <row r="10" spans="1:31">
      <c r="A10" s="15"/>
      <c r="C10" s="20">
        <v>2001</v>
      </c>
      <c r="D10" s="19"/>
      <c r="E10" s="20">
        <v>2001</v>
      </c>
      <c r="F10" s="19"/>
      <c r="G10" s="19"/>
      <c r="H10" s="19"/>
      <c r="I10" s="20">
        <v>2001</v>
      </c>
      <c r="J10" s="19"/>
      <c r="K10" s="20">
        <v>2001</v>
      </c>
      <c r="L10" s="19"/>
      <c r="M10" s="19"/>
      <c r="N10" s="19"/>
      <c r="O10" s="20">
        <v>2001</v>
      </c>
      <c r="P10" s="19"/>
      <c r="Q10" s="20">
        <v>2001</v>
      </c>
      <c r="R10" s="19"/>
      <c r="S10" s="19"/>
      <c r="T10" s="19"/>
      <c r="U10" s="20">
        <v>2001</v>
      </c>
      <c r="V10" s="19"/>
      <c r="W10" s="20">
        <v>2001</v>
      </c>
      <c r="X10" s="19"/>
      <c r="Y10" s="19"/>
      <c r="Z10" s="19"/>
      <c r="AA10" s="20">
        <v>2001</v>
      </c>
      <c r="AB10" s="19"/>
      <c r="AC10" s="20">
        <v>2001</v>
      </c>
      <c r="AD10" s="19"/>
      <c r="AE10" s="21"/>
    </row>
    <row r="11" spans="1:31">
      <c r="A11" s="22"/>
      <c r="C11" s="23" t="s">
        <v>8</v>
      </c>
      <c r="D11" s="19"/>
      <c r="E11" s="23" t="s">
        <v>76</v>
      </c>
      <c r="F11" s="19"/>
      <c r="G11" s="23" t="s">
        <v>9</v>
      </c>
      <c r="H11" s="19"/>
      <c r="I11" s="23" t="s">
        <v>8</v>
      </c>
      <c r="J11" s="19"/>
      <c r="K11" s="23" t="s">
        <v>76</v>
      </c>
      <c r="L11" s="19"/>
      <c r="M11" s="23" t="s">
        <v>9</v>
      </c>
      <c r="N11" s="19"/>
      <c r="O11" s="23" t="s">
        <v>8</v>
      </c>
      <c r="P11" s="19"/>
      <c r="Q11" s="23" t="s">
        <v>77</v>
      </c>
      <c r="R11" s="19"/>
      <c r="S11" s="23" t="s">
        <v>9</v>
      </c>
      <c r="T11" s="19"/>
      <c r="U11" s="23" t="s">
        <v>8</v>
      </c>
      <c r="V11" s="19"/>
      <c r="W11" s="23" t="s">
        <v>77</v>
      </c>
      <c r="X11" s="19"/>
      <c r="Y11" s="23" t="s">
        <v>9</v>
      </c>
      <c r="Z11" s="19"/>
      <c r="AA11" s="23" t="s">
        <v>8</v>
      </c>
      <c r="AB11" s="19"/>
      <c r="AC11" s="23" t="s">
        <v>77</v>
      </c>
      <c r="AD11" s="19"/>
      <c r="AE11" s="23" t="s">
        <v>9</v>
      </c>
    </row>
    <row r="12" spans="1:31">
      <c r="A12" s="1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1"/>
    </row>
    <row r="13" spans="1:31">
      <c r="A13" s="24" t="s">
        <v>10</v>
      </c>
      <c r="B13" s="25"/>
      <c r="C13" s="26">
        <v>0</v>
      </c>
      <c r="D13" s="26"/>
      <c r="E13" s="26">
        <v>0</v>
      </c>
      <c r="F13" s="27"/>
      <c r="G13" s="27">
        <f t="shared" ref="G13:G18" si="0">E13-C13</f>
        <v>0</v>
      </c>
      <c r="H13" s="27"/>
      <c r="I13" s="26">
        <v>0</v>
      </c>
      <c r="J13" s="26"/>
      <c r="K13" s="26">
        <v>0</v>
      </c>
      <c r="L13" s="26"/>
      <c r="M13" s="27">
        <f t="shared" ref="M13:M18" si="1">K13-I13</f>
        <v>0</v>
      </c>
      <c r="N13" s="27"/>
      <c r="O13" s="26">
        <v>0</v>
      </c>
      <c r="P13" s="26"/>
      <c r="Q13" s="26">
        <v>0</v>
      </c>
      <c r="R13" s="27"/>
      <c r="S13" s="27">
        <f t="shared" ref="S13:S18" si="2">Q13-O13</f>
        <v>0</v>
      </c>
      <c r="T13" s="27"/>
      <c r="U13" s="26">
        <v>0</v>
      </c>
      <c r="V13" s="26"/>
      <c r="W13" s="26">
        <v>0</v>
      </c>
      <c r="X13" s="27"/>
      <c r="Y13" s="27">
        <f t="shared" ref="Y13:Y18" si="3">W13-U13</f>
        <v>0</v>
      </c>
      <c r="Z13" s="27"/>
      <c r="AA13" s="27">
        <f t="shared" ref="AA13:AA18" si="4">U13+O13+I13+C13</f>
        <v>0</v>
      </c>
      <c r="AB13" s="27"/>
      <c r="AC13" s="27">
        <f t="shared" ref="AC13:AC18" si="5">W13+Q13+K13+E13</f>
        <v>0</v>
      </c>
      <c r="AD13" s="27"/>
      <c r="AE13" s="28">
        <f t="shared" ref="AE13:AE18" si="6">Y13+S13+M13+G13</f>
        <v>0</v>
      </c>
    </row>
    <row r="14" spans="1:31" s="29" customFormat="1">
      <c r="A14" s="24" t="s">
        <v>10</v>
      </c>
      <c r="B14" s="25" t="s">
        <v>238</v>
      </c>
      <c r="C14" s="26">
        <v>61.306037059277706</v>
      </c>
      <c r="D14" s="26"/>
      <c r="E14" s="26">
        <v>70.2</v>
      </c>
      <c r="F14" s="27"/>
      <c r="G14" s="27">
        <f t="shared" si="0"/>
        <v>8.8939629407222967</v>
      </c>
      <c r="H14" s="27"/>
      <c r="I14" s="26">
        <v>64.503355708139225</v>
      </c>
      <c r="J14" s="26"/>
      <c r="K14" s="26">
        <v>73.400000000000006</v>
      </c>
      <c r="L14" s="26"/>
      <c r="M14" s="27">
        <f t="shared" si="1"/>
        <v>8.8966442918607811</v>
      </c>
      <c r="N14" s="27"/>
      <c r="O14" s="26">
        <v>22.9</v>
      </c>
      <c r="P14" s="26"/>
      <c r="Q14" s="26">
        <v>-5.0999999999999996</v>
      </c>
      <c r="R14" s="27"/>
      <c r="S14" s="27">
        <f t="shared" si="2"/>
        <v>-28</v>
      </c>
      <c r="T14" s="27"/>
      <c r="U14" s="26">
        <v>83</v>
      </c>
      <c r="V14" s="26"/>
      <c r="W14" s="26">
        <v>90</v>
      </c>
      <c r="X14" s="27"/>
      <c r="Y14" s="27">
        <f t="shared" si="3"/>
        <v>7</v>
      </c>
      <c r="Z14" s="27"/>
      <c r="AA14" s="27">
        <f t="shared" si="4"/>
        <v>231.70939276741694</v>
      </c>
      <c r="AB14" s="27"/>
      <c r="AC14" s="27">
        <f t="shared" si="5"/>
        <v>228.5</v>
      </c>
      <c r="AD14" s="27"/>
      <c r="AE14" s="28">
        <f t="shared" si="6"/>
        <v>-3.2093927674169223</v>
      </c>
    </row>
    <row r="15" spans="1:31" s="29" customFormat="1">
      <c r="A15" s="24" t="s">
        <v>10</v>
      </c>
      <c r="B15" s="25" t="s">
        <v>239</v>
      </c>
      <c r="C15" s="26">
        <v>-4.8</v>
      </c>
      <c r="D15" s="26"/>
      <c r="E15" s="26">
        <v>-10.3</v>
      </c>
      <c r="F15" s="27"/>
      <c r="G15" s="27">
        <f t="shared" si="0"/>
        <v>-5.5000000000000009</v>
      </c>
      <c r="H15" s="27"/>
      <c r="I15" s="26">
        <v>-8.1999999999999993</v>
      </c>
      <c r="J15" s="26"/>
      <c r="K15" s="26">
        <v>-8.5</v>
      </c>
      <c r="L15" s="26"/>
      <c r="M15" s="27">
        <f t="shared" si="1"/>
        <v>-0.30000000000000071</v>
      </c>
      <c r="N15" s="27"/>
      <c r="O15" s="26">
        <f>-4.8+5.2</f>
        <v>0.40000000000000036</v>
      </c>
      <c r="P15" s="26"/>
      <c r="Q15" s="26">
        <v>2.4</v>
      </c>
      <c r="R15" s="27"/>
      <c r="S15" s="27">
        <f t="shared" si="2"/>
        <v>1.9999999999999996</v>
      </c>
      <c r="T15" s="27"/>
      <c r="U15" s="26">
        <f>-13+5.2</f>
        <v>-7.8</v>
      </c>
      <c r="V15" s="26"/>
      <c r="W15" s="26">
        <v>-17</v>
      </c>
      <c r="X15" s="27"/>
      <c r="Y15" s="27">
        <f t="shared" si="3"/>
        <v>-9.1999999999999993</v>
      </c>
      <c r="Z15" s="27"/>
      <c r="AA15" s="27">
        <f t="shared" si="4"/>
        <v>-20.399999999999999</v>
      </c>
      <c r="AB15" s="27"/>
      <c r="AC15" s="27">
        <f t="shared" si="5"/>
        <v>-33.400000000000006</v>
      </c>
      <c r="AD15" s="27"/>
      <c r="AE15" s="28">
        <f t="shared" si="6"/>
        <v>-13</v>
      </c>
    </row>
    <row r="16" spans="1:31" s="29" customFormat="1">
      <c r="A16" s="24" t="s">
        <v>10</v>
      </c>
      <c r="C16" s="26">
        <v>0</v>
      </c>
      <c r="D16" s="26"/>
      <c r="E16" s="26">
        <v>0</v>
      </c>
      <c r="F16" s="27"/>
      <c r="G16" s="27">
        <f t="shared" si="0"/>
        <v>0</v>
      </c>
      <c r="H16" s="27"/>
      <c r="I16" s="26">
        <v>0</v>
      </c>
      <c r="J16" s="26"/>
      <c r="K16" s="26">
        <v>0</v>
      </c>
      <c r="L16" s="26"/>
      <c r="M16" s="27">
        <f t="shared" si="1"/>
        <v>0</v>
      </c>
      <c r="N16" s="27"/>
      <c r="O16" s="26">
        <v>0</v>
      </c>
      <c r="P16" s="26"/>
      <c r="Q16" s="26">
        <v>0</v>
      </c>
      <c r="R16" s="27"/>
      <c r="S16" s="27">
        <f t="shared" si="2"/>
        <v>0</v>
      </c>
      <c r="T16" s="27"/>
      <c r="U16" s="26">
        <v>0</v>
      </c>
      <c r="V16" s="26"/>
      <c r="W16" s="26">
        <v>0</v>
      </c>
      <c r="X16" s="27"/>
      <c r="Y16" s="27">
        <f t="shared" si="3"/>
        <v>0</v>
      </c>
      <c r="Z16" s="27"/>
      <c r="AA16" s="27">
        <f t="shared" si="4"/>
        <v>0</v>
      </c>
      <c r="AB16" s="27"/>
      <c r="AC16" s="27">
        <f t="shared" si="5"/>
        <v>0</v>
      </c>
      <c r="AD16" s="27"/>
      <c r="AE16" s="28">
        <f t="shared" si="6"/>
        <v>0</v>
      </c>
    </row>
    <row r="17" spans="1:31" s="29" customFormat="1">
      <c r="A17" s="24" t="s">
        <v>10</v>
      </c>
      <c r="C17" s="26">
        <v>0</v>
      </c>
      <c r="D17" s="26"/>
      <c r="E17" s="26">
        <v>0</v>
      </c>
      <c r="F17" s="27"/>
      <c r="G17" s="27">
        <f t="shared" si="0"/>
        <v>0</v>
      </c>
      <c r="H17" s="27"/>
      <c r="I17" s="26">
        <v>0</v>
      </c>
      <c r="J17" s="26"/>
      <c r="K17" s="26">
        <v>0</v>
      </c>
      <c r="L17" s="26"/>
      <c r="M17" s="27">
        <f t="shared" si="1"/>
        <v>0</v>
      </c>
      <c r="N17" s="27"/>
      <c r="O17" s="26">
        <v>0</v>
      </c>
      <c r="P17" s="26"/>
      <c r="Q17" s="26">
        <v>0</v>
      </c>
      <c r="R17" s="27"/>
      <c r="S17" s="27">
        <f t="shared" si="2"/>
        <v>0</v>
      </c>
      <c r="T17" s="27"/>
      <c r="U17" s="26">
        <v>0</v>
      </c>
      <c r="V17" s="26"/>
      <c r="W17" s="26">
        <v>0</v>
      </c>
      <c r="X17" s="27"/>
      <c r="Y17" s="27">
        <f t="shared" si="3"/>
        <v>0</v>
      </c>
      <c r="Z17" s="27"/>
      <c r="AA17" s="27">
        <f t="shared" si="4"/>
        <v>0</v>
      </c>
      <c r="AB17" s="27"/>
      <c r="AC17" s="27">
        <f t="shared" si="5"/>
        <v>0</v>
      </c>
      <c r="AD17" s="27"/>
      <c r="AE17" s="28">
        <f t="shared" si="6"/>
        <v>0</v>
      </c>
    </row>
    <row r="18" spans="1:31" s="29" customFormat="1">
      <c r="A18" s="24"/>
      <c r="B18" s="29" t="s">
        <v>47</v>
      </c>
      <c r="C18" s="26">
        <v>0</v>
      </c>
      <c r="D18" s="26"/>
      <c r="E18" s="219">
        <v>0</v>
      </c>
      <c r="F18" s="27">
        <v>0</v>
      </c>
      <c r="G18" s="27">
        <f t="shared" si="0"/>
        <v>0</v>
      </c>
      <c r="H18" s="27"/>
      <c r="I18" s="26">
        <v>0</v>
      </c>
      <c r="J18" s="26"/>
      <c r="K18" s="219">
        <v>0</v>
      </c>
      <c r="L18" s="26"/>
      <c r="M18" s="27">
        <f t="shared" si="1"/>
        <v>0</v>
      </c>
      <c r="N18" s="27"/>
      <c r="O18" s="26">
        <v>0</v>
      </c>
      <c r="P18" s="26"/>
      <c r="Q18" s="219">
        <v>0</v>
      </c>
      <c r="R18" s="27"/>
      <c r="S18" s="27">
        <f t="shared" si="2"/>
        <v>0</v>
      </c>
      <c r="T18" s="27"/>
      <c r="U18" s="26">
        <v>0</v>
      </c>
      <c r="V18" s="26"/>
      <c r="W18" s="219">
        <v>0</v>
      </c>
      <c r="X18" s="27"/>
      <c r="Y18" s="27">
        <f t="shared" si="3"/>
        <v>0</v>
      </c>
      <c r="Z18" s="27"/>
      <c r="AA18" s="27">
        <f t="shared" si="4"/>
        <v>0</v>
      </c>
      <c r="AB18" s="27"/>
      <c r="AC18" s="27">
        <f t="shared" si="5"/>
        <v>0</v>
      </c>
      <c r="AD18" s="27"/>
      <c r="AE18" s="28">
        <f t="shared" si="6"/>
        <v>0</v>
      </c>
    </row>
    <row r="19" spans="1:31" s="29" customFormat="1">
      <c r="A19" s="30"/>
      <c r="C19" s="31"/>
      <c r="D19" s="26"/>
      <c r="E19" s="31"/>
      <c r="F19" s="27"/>
      <c r="G19" s="32"/>
      <c r="H19" s="27"/>
      <c r="I19" s="31"/>
      <c r="J19" s="26"/>
      <c r="K19" s="31"/>
      <c r="L19" s="26"/>
      <c r="M19" s="32"/>
      <c r="N19" s="27"/>
      <c r="O19" s="31"/>
      <c r="P19" s="26"/>
      <c r="Q19" s="31"/>
      <c r="R19" s="27"/>
      <c r="S19" s="32"/>
      <c r="T19" s="27"/>
      <c r="U19" s="31"/>
      <c r="V19" s="26"/>
      <c r="W19" s="31"/>
      <c r="X19" s="27"/>
      <c r="Y19" s="32"/>
      <c r="Z19" s="27"/>
      <c r="AA19" s="32"/>
      <c r="AB19" s="27"/>
      <c r="AC19" s="32"/>
      <c r="AD19" s="27"/>
      <c r="AE19" s="32"/>
    </row>
    <row r="20" spans="1:31" s="29" customFormat="1" ht="13.8" thickBot="1">
      <c r="A20" s="33" t="s">
        <v>11</v>
      </c>
      <c r="B20" s="34"/>
      <c r="C20" s="35">
        <f>SUM(C14:C18)</f>
        <v>56.506037059277709</v>
      </c>
      <c r="D20" s="36"/>
      <c r="E20" s="218">
        <f>SUM([1]Format!D34:H34)</f>
        <v>59.909114560000035</v>
      </c>
      <c r="F20" s="36"/>
      <c r="G20" s="35">
        <f>SUM(G14:G18)</f>
        <v>3.3939629407222958</v>
      </c>
      <c r="H20" s="36"/>
      <c r="I20" s="35">
        <f>SUM(I14:I18)</f>
        <v>56.303355708139222</v>
      </c>
      <c r="J20" s="36"/>
      <c r="K20" s="218">
        <f>+K14+K15</f>
        <v>64.900000000000006</v>
      </c>
      <c r="L20" s="36"/>
      <c r="M20" s="35">
        <f>SUM(M14:M18)</f>
        <v>8.5966442918607804</v>
      </c>
      <c r="N20" s="36"/>
      <c r="O20" s="35">
        <f>SUM(O14:O18)</f>
        <v>23.299999999999997</v>
      </c>
      <c r="P20" s="36"/>
      <c r="Q20" s="218">
        <f>+Q14+Q15</f>
        <v>-2.6999999999999997</v>
      </c>
      <c r="R20" s="36"/>
      <c r="S20" s="35">
        <f>SUM(S14:S18)</f>
        <v>-26</v>
      </c>
      <c r="T20" s="36"/>
      <c r="U20" s="35">
        <f>SUM(U14:U18)</f>
        <v>75.2</v>
      </c>
      <c r="V20" s="36"/>
      <c r="W20" s="218">
        <f>+W14+W15</f>
        <v>73</v>
      </c>
      <c r="X20" s="36"/>
      <c r="Y20" s="35">
        <f>SUM(Y14:Y18)</f>
        <v>-2.1999999999999993</v>
      </c>
      <c r="Z20" s="36"/>
      <c r="AA20" s="35">
        <f>SUM(AA14:AA18)</f>
        <v>211.30939276741694</v>
      </c>
      <c r="AB20" s="36"/>
      <c r="AC20" s="35">
        <f>SUM(AC14:AC18)</f>
        <v>195.1</v>
      </c>
      <c r="AD20" s="36"/>
      <c r="AE20" s="35">
        <f>SUM(AE14:AE18)</f>
        <v>-16.209392767416922</v>
      </c>
    </row>
    <row r="21" spans="1:31" ht="13.8" thickTop="1">
      <c r="A21" s="21"/>
      <c r="B21" s="1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>
      <c r="A22" s="21"/>
      <c r="B22" s="1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>
      <c r="A23" s="21"/>
      <c r="B23" s="1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>
      <c r="A24" s="21"/>
      <c r="B24" s="1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>
      <c r="A25" s="15"/>
      <c r="B25" s="6" t="str">
        <f ca="1">CELL("filename",A1)</f>
        <v>G:\MRO\MRO\Aug01\[3rd quarter curr est.xls]QtrComp_vs_Plan</v>
      </c>
      <c r="C25" s="38"/>
    </row>
    <row r="26" spans="1:31">
      <c r="A26" s="15"/>
      <c r="B26" s="7">
        <f ca="1">NOW()</f>
        <v>37151.667196296294</v>
      </c>
    </row>
    <row r="27" spans="1:31">
      <c r="A27" s="15"/>
    </row>
    <row r="28" spans="1:31">
      <c r="A28" s="15" t="s">
        <v>240</v>
      </c>
    </row>
    <row r="29" spans="1:31">
      <c r="A29" s="15"/>
    </row>
    <row r="30" spans="1:31">
      <c r="A30" s="16" t="s">
        <v>246</v>
      </c>
    </row>
    <row r="31" spans="1:31">
      <c r="A31" s="16" t="s">
        <v>344</v>
      </c>
    </row>
    <row r="32" spans="1:31">
      <c r="A32" s="15"/>
    </row>
    <row r="33" spans="1:2">
      <c r="A33" s="16" t="s">
        <v>247</v>
      </c>
    </row>
    <row r="34" spans="1:2">
      <c r="A34" s="16" t="s">
        <v>345</v>
      </c>
    </row>
    <row r="36" spans="1:2">
      <c r="A36" s="16" t="s">
        <v>248</v>
      </c>
    </row>
    <row r="37" spans="1:2">
      <c r="A37" s="16" t="s">
        <v>329</v>
      </c>
    </row>
    <row r="40" spans="1:2">
      <c r="A40" s="16" t="s">
        <v>330</v>
      </c>
    </row>
    <row r="41" spans="1:2">
      <c r="B41" s="16" t="s">
        <v>332</v>
      </c>
    </row>
  </sheetData>
  <printOptions horizontalCentered="1"/>
  <pageMargins left="0.5" right="0.5" top="0.75" bottom="0.5" header="0.5" footer="0.5"/>
  <pageSetup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1"/>
  <sheetViews>
    <sheetView workbookViewId="0"/>
  </sheetViews>
  <sheetFormatPr defaultColWidth="12.5546875" defaultRowHeight="13.2"/>
  <cols>
    <col min="1" max="1" width="2.6640625" style="16" customWidth="1"/>
    <col min="2" max="2" width="33" style="16" customWidth="1"/>
    <col min="3" max="3" width="7.109375" style="16" customWidth="1"/>
    <col min="4" max="4" width="1.6640625" style="16" customWidth="1"/>
    <col min="5" max="5" width="6.88671875" style="16" customWidth="1"/>
    <col min="6" max="6" width="1.6640625" style="16" customWidth="1"/>
    <col min="7" max="7" width="7.109375" style="16" customWidth="1"/>
    <col min="8" max="8" width="2.6640625" style="16" customWidth="1"/>
    <col min="9" max="9" width="7.109375" style="16" customWidth="1"/>
    <col min="10" max="10" width="1.6640625" style="16" customWidth="1"/>
    <col min="11" max="11" width="7.109375" style="16" customWidth="1"/>
    <col min="12" max="12" width="1.6640625" style="16" customWidth="1"/>
    <col min="13" max="13" width="6.6640625" style="16" customWidth="1"/>
    <col min="14" max="14" width="2.6640625" style="16" customWidth="1"/>
    <col min="15" max="15" width="7.109375" style="16" customWidth="1"/>
    <col min="16" max="16" width="1.6640625" style="16" customWidth="1"/>
    <col min="17" max="17" width="7" style="16" customWidth="1"/>
    <col min="18" max="18" width="1.6640625" style="16" customWidth="1"/>
    <col min="19" max="19" width="6.6640625" style="16" customWidth="1"/>
    <col min="20" max="20" width="2.6640625" style="16" customWidth="1"/>
    <col min="21" max="21" width="6.88671875" style="16" customWidth="1"/>
    <col min="22" max="22" width="1.6640625" style="16" customWidth="1"/>
    <col min="23" max="23" width="7" style="16" customWidth="1"/>
    <col min="24" max="24" width="1.6640625" style="16" customWidth="1"/>
    <col min="25" max="25" width="7" style="16" customWidth="1"/>
    <col min="26" max="26" width="2.6640625" style="16" customWidth="1"/>
    <col min="27" max="27" width="6.88671875" style="16" customWidth="1"/>
    <col min="28" max="28" width="1.6640625" style="16" customWidth="1"/>
    <col min="29" max="29" width="6.6640625" style="16" customWidth="1"/>
    <col min="30" max="30" width="1.6640625" style="16" customWidth="1"/>
    <col min="31" max="31" width="7.33203125" style="16" customWidth="1"/>
    <col min="32" max="16384" width="12.5546875" style="16"/>
  </cols>
  <sheetData>
    <row r="1" spans="1:31" ht="17.399999999999999">
      <c r="A1" s="8" t="str">
        <f>Format!A1</f>
        <v>PORTLAND GENERAL GROUP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7.399999999999999">
      <c r="A2" s="217" t="str">
        <f>Format!A2</f>
        <v>2001 CURRENT ESTIMATE - AUGUST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2"/>
      <c r="AB2" s="10"/>
      <c r="AC2" s="10"/>
      <c r="AD2" s="10"/>
      <c r="AE2" s="10"/>
    </row>
    <row r="3" spans="1:31" ht="17.399999999999999">
      <c r="A3" s="11" t="s">
        <v>89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s="39" customFormat="1" ht="17.399999999999999">
      <c r="A4" s="1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>
      <c r="A5" s="15"/>
    </row>
    <row r="6" spans="1:31">
      <c r="A6" s="15"/>
    </row>
    <row r="7" spans="1:31">
      <c r="A7" s="15"/>
    </row>
    <row r="8" spans="1:3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31">
      <c r="A9" s="17"/>
      <c r="C9" s="18" t="s">
        <v>3</v>
      </c>
      <c r="D9" s="18"/>
      <c r="E9" s="18"/>
      <c r="F9" s="18"/>
      <c r="G9" s="18"/>
      <c r="H9" s="19"/>
      <c r="I9" s="18" t="s">
        <v>4</v>
      </c>
      <c r="J9" s="18"/>
      <c r="K9" s="18"/>
      <c r="L9" s="18"/>
      <c r="M9" s="18"/>
      <c r="N9" s="19"/>
      <c r="O9" s="18" t="s">
        <v>5</v>
      </c>
      <c r="P9" s="18"/>
      <c r="Q9" s="18"/>
      <c r="R9" s="18"/>
      <c r="S9" s="18"/>
      <c r="T9" s="19"/>
      <c r="U9" s="18" t="s">
        <v>6</v>
      </c>
      <c r="V9" s="18"/>
      <c r="W9" s="18"/>
      <c r="X9" s="18"/>
      <c r="Y9" s="18"/>
      <c r="Z9" s="19"/>
      <c r="AA9" s="18" t="s">
        <v>7</v>
      </c>
      <c r="AB9" s="18"/>
      <c r="AC9" s="18"/>
      <c r="AD9" s="18"/>
      <c r="AE9" s="18"/>
    </row>
    <row r="10" spans="1:31">
      <c r="A10" s="15"/>
      <c r="C10" s="20">
        <v>2000</v>
      </c>
      <c r="D10" s="19"/>
      <c r="E10" s="20">
        <v>2001</v>
      </c>
      <c r="F10" s="19"/>
      <c r="G10" s="19"/>
      <c r="H10" s="19"/>
      <c r="I10" s="20">
        <v>2000</v>
      </c>
      <c r="J10" s="19"/>
      <c r="K10" s="20">
        <v>2001</v>
      </c>
      <c r="L10" s="19"/>
      <c r="M10" s="19"/>
      <c r="N10" s="19"/>
      <c r="O10" s="20">
        <v>2000</v>
      </c>
      <c r="P10" s="19"/>
      <c r="Q10" s="20">
        <v>2001</v>
      </c>
      <c r="R10" s="19"/>
      <c r="S10" s="19"/>
      <c r="T10" s="19"/>
      <c r="U10" s="20">
        <v>2000</v>
      </c>
      <c r="V10" s="19"/>
      <c r="W10" s="20">
        <v>2001</v>
      </c>
      <c r="X10" s="19"/>
      <c r="Y10" s="19"/>
      <c r="Z10" s="19"/>
      <c r="AA10" s="20">
        <v>2000</v>
      </c>
      <c r="AB10" s="19"/>
      <c r="AC10" s="20">
        <v>2001</v>
      </c>
      <c r="AD10" s="19"/>
      <c r="AE10" s="21"/>
    </row>
    <row r="11" spans="1:31">
      <c r="A11" s="22"/>
      <c r="C11" s="23" t="s">
        <v>76</v>
      </c>
      <c r="D11" s="19"/>
      <c r="E11" s="23" t="s">
        <v>76</v>
      </c>
      <c r="F11" s="19"/>
      <c r="G11" s="23" t="s">
        <v>9</v>
      </c>
      <c r="H11" s="19"/>
      <c r="I11" s="23" t="s">
        <v>76</v>
      </c>
      <c r="J11" s="19"/>
      <c r="K11" s="23" t="s">
        <v>76</v>
      </c>
      <c r="L11" s="19"/>
      <c r="M11" s="23" t="s">
        <v>9</v>
      </c>
      <c r="N11" s="19"/>
      <c r="O11" s="23" t="s">
        <v>76</v>
      </c>
      <c r="P11" s="19"/>
      <c r="Q11" s="23" t="s">
        <v>77</v>
      </c>
      <c r="R11" s="19"/>
      <c r="S11" s="23" t="s">
        <v>9</v>
      </c>
      <c r="T11" s="19"/>
      <c r="U11" s="23" t="s">
        <v>76</v>
      </c>
      <c r="V11" s="19"/>
      <c r="W11" s="23" t="s">
        <v>77</v>
      </c>
      <c r="X11" s="19"/>
      <c r="Y11" s="23" t="s">
        <v>9</v>
      </c>
      <c r="Z11" s="19"/>
      <c r="AA11" s="23" t="s">
        <v>76</v>
      </c>
      <c r="AB11" s="19"/>
      <c r="AC11" s="23" t="s">
        <v>77</v>
      </c>
      <c r="AD11" s="19"/>
      <c r="AE11" s="23" t="s">
        <v>9</v>
      </c>
    </row>
    <row r="12" spans="1:31">
      <c r="A12" s="1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21"/>
    </row>
    <row r="13" spans="1:31" s="29" customFormat="1">
      <c r="A13" s="24" t="s">
        <v>10</v>
      </c>
      <c r="B13" s="25"/>
      <c r="C13" s="26">
        <v>0</v>
      </c>
      <c r="D13" s="26"/>
      <c r="E13" s="26">
        <v>0</v>
      </c>
      <c r="F13" s="27"/>
      <c r="G13" s="27">
        <f t="shared" ref="G13:G18" si="0">E13-C13</f>
        <v>0</v>
      </c>
      <c r="H13" s="27"/>
      <c r="I13" s="26">
        <v>0</v>
      </c>
      <c r="J13" s="26"/>
      <c r="K13" s="26">
        <v>0</v>
      </c>
      <c r="L13" s="26"/>
      <c r="M13" s="27">
        <f t="shared" ref="M13:M18" si="1">K13-I13</f>
        <v>0</v>
      </c>
      <c r="N13" s="27"/>
      <c r="O13" s="26">
        <v>0</v>
      </c>
      <c r="P13" s="26"/>
      <c r="Q13" s="26">
        <v>0</v>
      </c>
      <c r="R13" s="27"/>
      <c r="S13" s="27">
        <f t="shared" ref="S13:S18" si="2">Q13-O13</f>
        <v>0</v>
      </c>
      <c r="T13" s="27"/>
      <c r="U13" s="26">
        <v>0</v>
      </c>
      <c r="V13" s="26"/>
      <c r="W13" s="26">
        <v>0</v>
      </c>
      <c r="X13" s="27"/>
      <c r="Y13" s="27">
        <f t="shared" ref="Y13:Y18" si="3">W13-U13</f>
        <v>0</v>
      </c>
      <c r="Z13" s="27"/>
      <c r="AA13" s="27">
        <f t="shared" ref="AA13:AA18" si="4">U13+O13+I13+C13</f>
        <v>0</v>
      </c>
      <c r="AB13" s="27"/>
      <c r="AC13" s="27">
        <f t="shared" ref="AC13:AC18" si="5">W13+Q13+K13+E13</f>
        <v>0</v>
      </c>
      <c r="AD13" s="27"/>
      <c r="AE13" s="28">
        <f t="shared" ref="AE13:AE18" si="6">Y13+S13+M13+G13</f>
        <v>0</v>
      </c>
    </row>
    <row r="14" spans="1:31" s="29" customFormat="1">
      <c r="A14" s="24" t="s">
        <v>10</v>
      </c>
      <c r="B14" s="25" t="s">
        <v>238</v>
      </c>
      <c r="C14" s="26">
        <v>79.3</v>
      </c>
      <c r="D14" s="26"/>
      <c r="E14" s="26">
        <f>+QtrComp_vs_Plan!E14</f>
        <v>70.2</v>
      </c>
      <c r="F14" s="27"/>
      <c r="G14" s="27">
        <f t="shared" si="0"/>
        <v>-9.0999999999999943</v>
      </c>
      <c r="H14" s="27"/>
      <c r="I14" s="26">
        <v>62</v>
      </c>
      <c r="J14" s="26"/>
      <c r="K14" s="26">
        <f>+QtrComp_vs_Plan!K14</f>
        <v>73.400000000000006</v>
      </c>
      <c r="L14" s="26"/>
      <c r="M14" s="27">
        <f t="shared" si="1"/>
        <v>11.400000000000006</v>
      </c>
      <c r="N14" s="27"/>
      <c r="O14" s="26">
        <v>74.099999999999994</v>
      </c>
      <c r="P14" s="26"/>
      <c r="Q14" s="26">
        <f>+QtrComp_vs_Plan!Q14</f>
        <v>-5.0999999999999996</v>
      </c>
      <c r="R14" s="27"/>
      <c r="S14" s="27">
        <f t="shared" si="2"/>
        <v>-79.199999999999989</v>
      </c>
      <c r="T14" s="27"/>
      <c r="U14" s="26">
        <v>88.2</v>
      </c>
      <c r="V14" s="26"/>
      <c r="W14" s="26">
        <f>+QtrComp_vs_Plan!W14</f>
        <v>90</v>
      </c>
      <c r="X14" s="27"/>
      <c r="Y14" s="27">
        <f t="shared" si="3"/>
        <v>1.7999999999999972</v>
      </c>
      <c r="Z14" s="27"/>
      <c r="AA14" s="27">
        <f t="shared" si="4"/>
        <v>303.60000000000002</v>
      </c>
      <c r="AB14" s="27"/>
      <c r="AC14" s="27">
        <f t="shared" si="5"/>
        <v>228.5</v>
      </c>
      <c r="AD14" s="27"/>
      <c r="AE14" s="28">
        <f t="shared" si="6"/>
        <v>-75.09999999999998</v>
      </c>
    </row>
    <row r="15" spans="1:31" s="29" customFormat="1">
      <c r="A15" s="24" t="s">
        <v>10</v>
      </c>
      <c r="B15" s="25" t="s">
        <v>239</v>
      </c>
      <c r="C15" s="26">
        <f>37.2</f>
        <v>37.200000000000003</v>
      </c>
      <c r="D15" s="26"/>
      <c r="E15" s="26">
        <f>+QtrComp_vs_Plan!E15</f>
        <v>-10.3</v>
      </c>
      <c r="F15" s="27"/>
      <c r="G15" s="27">
        <f t="shared" si="0"/>
        <v>-47.5</v>
      </c>
      <c r="H15" s="27"/>
      <c r="I15" s="26">
        <v>0.1</v>
      </c>
      <c r="J15" s="26"/>
      <c r="K15" s="26">
        <f>+QtrComp_vs_Plan!K15</f>
        <v>-8.5</v>
      </c>
      <c r="L15" s="26"/>
      <c r="M15" s="27">
        <f t="shared" si="1"/>
        <v>-8.6</v>
      </c>
      <c r="N15" s="27"/>
      <c r="O15" s="350">
        <v>0</v>
      </c>
      <c r="P15" s="26"/>
      <c r="Q15" s="26">
        <f>+QtrComp_vs_Plan!Q15</f>
        <v>2.4</v>
      </c>
      <c r="R15" s="27"/>
      <c r="S15" s="27">
        <f t="shared" si="2"/>
        <v>2.4</v>
      </c>
      <c r="T15" s="27"/>
      <c r="U15" s="26">
        <f>56.8-45</f>
        <v>11.799999999999997</v>
      </c>
      <c r="V15" s="26"/>
      <c r="W15" s="26">
        <f>+QtrComp_vs_Plan!W15</f>
        <v>-17</v>
      </c>
      <c r="X15" s="27"/>
      <c r="Y15" s="27">
        <f t="shared" si="3"/>
        <v>-28.799999999999997</v>
      </c>
      <c r="Z15" s="27"/>
      <c r="AA15" s="27">
        <f t="shared" si="4"/>
        <v>49.1</v>
      </c>
      <c r="AB15" s="27"/>
      <c r="AC15" s="27">
        <f t="shared" si="5"/>
        <v>-33.400000000000006</v>
      </c>
      <c r="AD15" s="27"/>
      <c r="AE15" s="28">
        <f t="shared" si="6"/>
        <v>-82.5</v>
      </c>
    </row>
    <row r="16" spans="1:31" s="29" customFormat="1">
      <c r="A16" s="24" t="s">
        <v>10</v>
      </c>
      <c r="C16" s="26">
        <v>0</v>
      </c>
      <c r="D16" s="26"/>
      <c r="E16" s="26">
        <v>0</v>
      </c>
      <c r="F16" s="27"/>
      <c r="G16" s="27">
        <f t="shared" si="0"/>
        <v>0</v>
      </c>
      <c r="H16" s="27"/>
      <c r="I16" s="26">
        <v>0</v>
      </c>
      <c r="J16" s="26"/>
      <c r="K16" s="26">
        <v>0</v>
      </c>
      <c r="L16" s="26"/>
      <c r="M16" s="27">
        <f t="shared" si="1"/>
        <v>0</v>
      </c>
      <c r="N16" s="27"/>
      <c r="O16" s="26">
        <v>0</v>
      </c>
      <c r="P16" s="26"/>
      <c r="Q16" s="26">
        <v>0</v>
      </c>
      <c r="R16" s="27"/>
      <c r="S16" s="27">
        <f t="shared" si="2"/>
        <v>0</v>
      </c>
      <c r="T16" s="27"/>
      <c r="U16" s="26">
        <v>0</v>
      </c>
      <c r="V16" s="26"/>
      <c r="W16" s="26">
        <v>0</v>
      </c>
      <c r="X16" s="27"/>
      <c r="Y16" s="27">
        <f t="shared" si="3"/>
        <v>0</v>
      </c>
      <c r="Z16" s="27"/>
      <c r="AA16" s="27">
        <f t="shared" si="4"/>
        <v>0</v>
      </c>
      <c r="AB16" s="27"/>
      <c r="AC16" s="27">
        <f t="shared" si="5"/>
        <v>0</v>
      </c>
      <c r="AD16" s="27"/>
      <c r="AE16" s="28">
        <f t="shared" si="6"/>
        <v>0</v>
      </c>
    </row>
    <row r="17" spans="1:31" s="29" customFormat="1">
      <c r="A17" s="24" t="s">
        <v>10</v>
      </c>
      <c r="C17" s="26">
        <v>0</v>
      </c>
      <c r="D17" s="26"/>
      <c r="E17" s="26">
        <v>0</v>
      </c>
      <c r="F17" s="27"/>
      <c r="G17" s="27">
        <f t="shared" si="0"/>
        <v>0</v>
      </c>
      <c r="H17" s="27"/>
      <c r="I17" s="26">
        <v>0</v>
      </c>
      <c r="J17" s="26"/>
      <c r="K17" s="26">
        <v>0</v>
      </c>
      <c r="L17" s="26"/>
      <c r="M17" s="27">
        <f t="shared" si="1"/>
        <v>0</v>
      </c>
      <c r="N17" s="27"/>
      <c r="O17" s="26">
        <v>0</v>
      </c>
      <c r="P17" s="26"/>
      <c r="Q17" s="26">
        <v>0</v>
      </c>
      <c r="R17" s="27"/>
      <c r="S17" s="27">
        <f t="shared" si="2"/>
        <v>0</v>
      </c>
      <c r="T17" s="27"/>
      <c r="U17" s="26">
        <v>0</v>
      </c>
      <c r="V17" s="26"/>
      <c r="W17" s="26">
        <v>0</v>
      </c>
      <c r="X17" s="27"/>
      <c r="Y17" s="27">
        <f t="shared" si="3"/>
        <v>0</v>
      </c>
      <c r="Z17" s="27"/>
      <c r="AA17" s="27">
        <f t="shared" si="4"/>
        <v>0</v>
      </c>
      <c r="AB17" s="27"/>
      <c r="AC17" s="27">
        <f t="shared" si="5"/>
        <v>0</v>
      </c>
      <c r="AD17" s="27"/>
      <c r="AE17" s="28">
        <f t="shared" si="6"/>
        <v>0</v>
      </c>
    </row>
    <row r="18" spans="1:31" s="29" customFormat="1">
      <c r="A18" s="24"/>
      <c r="B18" s="29" t="s">
        <v>47</v>
      </c>
      <c r="C18" s="26">
        <v>0</v>
      </c>
      <c r="D18" s="26"/>
      <c r="E18" s="219">
        <v>0</v>
      </c>
      <c r="F18" s="27">
        <v>0</v>
      </c>
      <c r="G18" s="27">
        <f t="shared" si="0"/>
        <v>0</v>
      </c>
      <c r="H18" s="27"/>
      <c r="I18" s="26">
        <v>0</v>
      </c>
      <c r="J18" s="26"/>
      <c r="K18" s="219">
        <v>0</v>
      </c>
      <c r="L18" s="26"/>
      <c r="M18" s="27">
        <f t="shared" si="1"/>
        <v>0</v>
      </c>
      <c r="N18" s="27"/>
      <c r="O18" s="26">
        <v>0</v>
      </c>
      <c r="P18" s="26"/>
      <c r="Q18" s="219">
        <v>0</v>
      </c>
      <c r="R18" s="27"/>
      <c r="S18" s="27">
        <f t="shared" si="2"/>
        <v>0</v>
      </c>
      <c r="T18" s="27"/>
      <c r="U18" s="26">
        <v>0</v>
      </c>
      <c r="V18" s="26"/>
      <c r="W18" s="219">
        <v>0</v>
      </c>
      <c r="X18" s="27"/>
      <c r="Y18" s="27">
        <f t="shared" si="3"/>
        <v>0</v>
      </c>
      <c r="Z18" s="27"/>
      <c r="AA18" s="27">
        <f t="shared" si="4"/>
        <v>0</v>
      </c>
      <c r="AB18" s="27"/>
      <c r="AC18" s="27">
        <f t="shared" si="5"/>
        <v>0</v>
      </c>
      <c r="AD18" s="27"/>
      <c r="AE18" s="28">
        <f t="shared" si="6"/>
        <v>0</v>
      </c>
    </row>
    <row r="19" spans="1:31" s="29" customFormat="1">
      <c r="A19" s="30"/>
      <c r="C19" s="31"/>
      <c r="D19" s="26"/>
      <c r="E19" s="31"/>
      <c r="F19" s="27"/>
      <c r="G19" s="32"/>
      <c r="H19" s="27"/>
      <c r="I19" s="31"/>
      <c r="J19" s="26"/>
      <c r="K19" s="31"/>
      <c r="L19" s="26"/>
      <c r="M19" s="32"/>
      <c r="N19" s="27"/>
      <c r="O19" s="31"/>
      <c r="P19" s="26"/>
      <c r="Q19" s="31"/>
      <c r="R19" s="27"/>
      <c r="S19" s="32"/>
      <c r="T19" s="27"/>
      <c r="U19" s="31"/>
      <c r="V19" s="26"/>
      <c r="W19" s="31"/>
      <c r="X19" s="27"/>
      <c r="Y19" s="32"/>
      <c r="Z19" s="27"/>
      <c r="AA19" s="32"/>
      <c r="AB19" s="27"/>
      <c r="AC19" s="32"/>
      <c r="AD19" s="27"/>
      <c r="AE19" s="32"/>
    </row>
    <row r="20" spans="1:31" s="29" customFormat="1" ht="13.8" thickBot="1">
      <c r="A20" s="33" t="s">
        <v>11</v>
      </c>
      <c r="B20" s="34"/>
      <c r="C20" s="35">
        <f>SUM(C14:C18)</f>
        <v>116.5</v>
      </c>
      <c r="D20" s="36"/>
      <c r="E20" s="218">
        <f>SUM(E13:E18)</f>
        <v>59.900000000000006</v>
      </c>
      <c r="F20" s="36"/>
      <c r="G20" s="35">
        <f>SUM(G14:G18)</f>
        <v>-56.599999999999994</v>
      </c>
      <c r="H20" s="36"/>
      <c r="I20" s="35">
        <f>SUM(I14:I18)</f>
        <v>62.1</v>
      </c>
      <c r="J20" s="36"/>
      <c r="K20" s="218">
        <f>SUM(K13:K18)</f>
        <v>64.900000000000006</v>
      </c>
      <c r="L20" s="36"/>
      <c r="M20" s="35">
        <f>SUM(M14:M18)</f>
        <v>2.800000000000006</v>
      </c>
      <c r="N20" s="36"/>
      <c r="O20" s="35">
        <f>SUM(O14:O18)</f>
        <v>74.099999999999994</v>
      </c>
      <c r="P20" s="36"/>
      <c r="Q20" s="218">
        <f>SUM(Q13:Q18)</f>
        <v>-2.6999999999999997</v>
      </c>
      <c r="R20" s="36"/>
      <c r="S20" s="35">
        <f>SUM(S14:S18)</f>
        <v>-76.799999999999983</v>
      </c>
      <c r="T20" s="36"/>
      <c r="U20" s="35">
        <f>SUM(U14:U18)</f>
        <v>100</v>
      </c>
      <c r="V20" s="36"/>
      <c r="W20" s="218">
        <f>SUM(W13:W18)</f>
        <v>73</v>
      </c>
      <c r="X20" s="36"/>
      <c r="Y20" s="35">
        <f>SUM(Y14:Y18)</f>
        <v>-27</v>
      </c>
      <c r="Z20" s="36"/>
      <c r="AA20" s="35">
        <f>SUM(AA14:AA18)</f>
        <v>352.70000000000005</v>
      </c>
      <c r="AB20" s="36"/>
      <c r="AC20" s="35">
        <f>SUM(AC14:AC18)</f>
        <v>195.1</v>
      </c>
      <c r="AD20" s="36"/>
      <c r="AE20" s="35">
        <f>SUM(AE14:AE18)</f>
        <v>-157.59999999999997</v>
      </c>
    </row>
    <row r="21" spans="1:31" ht="13.8" thickTop="1">
      <c r="A21" s="21"/>
      <c r="B21" s="1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>
      <c r="A22" s="21"/>
      <c r="B22" s="1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>
      <c r="A23" s="21"/>
      <c r="B23" s="1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>
      <c r="A24" s="21"/>
      <c r="B24" s="1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>
      <c r="A25" s="15"/>
      <c r="B25" s="6" t="str">
        <f ca="1">CELL("filename",A1)</f>
        <v>G:\MRO\MRO\Aug01\[3rd quarter curr est.xls]QtrComp_vs_PY</v>
      </c>
      <c r="C25" s="38"/>
    </row>
    <row r="26" spans="1:31">
      <c r="A26" s="15"/>
      <c r="B26" s="7">
        <f ca="1">NOW()</f>
        <v>37151.667196296294</v>
      </c>
    </row>
    <row r="27" spans="1:31">
      <c r="A27" s="15"/>
    </row>
    <row r="28" spans="1:31">
      <c r="A28" s="15" t="s">
        <v>240</v>
      </c>
    </row>
    <row r="29" spans="1:31">
      <c r="A29" s="15"/>
    </row>
    <row r="30" spans="1:31">
      <c r="A30" s="15" t="s">
        <v>241</v>
      </c>
    </row>
    <row r="31" spans="1:31">
      <c r="A31" s="15" t="s">
        <v>242</v>
      </c>
    </row>
    <row r="32" spans="1:31">
      <c r="A32" s="15"/>
    </row>
    <row r="33" spans="1:1">
      <c r="A33" s="15" t="s">
        <v>243</v>
      </c>
    </row>
    <row r="34" spans="1:1">
      <c r="A34" s="15" t="s">
        <v>242</v>
      </c>
    </row>
    <row r="36" spans="1:1">
      <c r="A36" s="16" t="s">
        <v>244</v>
      </c>
    </row>
    <row r="37" spans="1:1">
      <c r="A37" s="16" t="s">
        <v>333</v>
      </c>
    </row>
    <row r="38" spans="1:1">
      <c r="A38" s="16" t="s">
        <v>334</v>
      </c>
    </row>
    <row r="40" spans="1:1">
      <c r="A40" s="16" t="s">
        <v>245</v>
      </c>
    </row>
    <row r="41" spans="1:1">
      <c r="A41" s="16" t="s">
        <v>331</v>
      </c>
    </row>
  </sheetData>
  <printOptions horizontalCentered="1"/>
  <pageMargins left="0.5" right="0.5" top="0.75" bottom="0.5" header="0.5" footer="0.5"/>
  <pageSetup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opLeftCell="G1" zoomScale="80" workbookViewId="0">
      <selection activeCell="N15" sqref="N15"/>
    </sheetView>
  </sheetViews>
  <sheetFormatPr defaultColWidth="6.5546875" defaultRowHeight="13.2"/>
  <cols>
    <col min="1" max="1" width="11.109375" style="148" customWidth="1"/>
    <col min="2" max="2" width="40.109375" style="148" customWidth="1"/>
    <col min="3" max="3" width="12.6640625" style="148" customWidth="1"/>
    <col min="4" max="4" width="1.88671875" style="312" customWidth="1"/>
    <col min="5" max="16" width="12.6640625" style="148" customWidth="1"/>
    <col min="17" max="17" width="1.6640625" style="148" customWidth="1"/>
    <col min="18" max="18" width="12.6640625" style="148" customWidth="1"/>
    <col min="19" max="19" width="3.6640625" style="148" customWidth="1"/>
    <col min="20" max="16384" width="6.5546875" style="148"/>
  </cols>
  <sheetData>
    <row r="1" spans="1:19" s="116" customFormat="1" ht="10.199999999999999">
      <c r="D1" s="299"/>
      <c r="N1" s="117"/>
      <c r="Q1" s="118"/>
      <c r="R1" s="119" t="str">
        <f ca="1">CELL("filename",A1)</f>
        <v>G:\MRO\MRO\Aug01\[3rd quarter curr est.xls]FinancingExpense</v>
      </c>
    </row>
    <row r="2" spans="1:19" s="116" customFormat="1" ht="7.8">
      <c r="D2" s="299"/>
      <c r="O2" s="120"/>
      <c r="Q2" s="120"/>
      <c r="R2" s="120">
        <f ca="1">NOW()</f>
        <v>37151.667196180555</v>
      </c>
    </row>
    <row r="3" spans="1:19" s="146" customFormat="1" ht="15.75" customHeight="1">
      <c r="A3" s="121" t="str">
        <f>Format!A1</f>
        <v>PORTLAND GENERAL GROUP</v>
      </c>
      <c r="B3" s="121"/>
      <c r="C3" s="122"/>
      <c r="D3" s="300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3"/>
      <c r="Q3" s="122"/>
      <c r="R3" s="123"/>
      <c r="S3" s="123"/>
    </row>
    <row r="4" spans="1:19" s="147" customFormat="1" ht="15.75" customHeight="1">
      <c r="A4" s="121" t="str">
        <f>Format!A2</f>
        <v>2001 CURRENT ESTIMATE - AUGUST</v>
      </c>
      <c r="B4" s="121"/>
      <c r="C4" s="124"/>
      <c r="D4" s="301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5"/>
      <c r="Q4" s="124"/>
      <c r="R4" s="125"/>
      <c r="S4" s="125"/>
    </row>
    <row r="5" spans="1:19" s="146" customFormat="1" ht="12.75" customHeight="1">
      <c r="A5" s="126" t="s">
        <v>196</v>
      </c>
      <c r="B5" s="126"/>
      <c r="C5" s="122"/>
      <c r="D5" s="300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</row>
    <row r="6" spans="1:19">
      <c r="A6" s="127" t="s">
        <v>56</v>
      </c>
      <c r="B6" s="127"/>
      <c r="C6" s="127"/>
      <c r="D6" s="302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  <c r="Q6" s="127"/>
      <c r="R6" s="128"/>
      <c r="S6" s="127"/>
    </row>
    <row r="7" spans="1:19">
      <c r="A7" s="127"/>
      <c r="B7" s="127"/>
      <c r="C7" s="127"/>
      <c r="D7" s="302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9"/>
      <c r="Q7" s="127"/>
      <c r="R7" s="129"/>
      <c r="S7" s="130"/>
    </row>
    <row r="8" spans="1:19" s="149" customFormat="1" ht="13.8" thickBot="1">
      <c r="A8" s="131"/>
      <c r="B8" s="131"/>
      <c r="C8" s="303" t="s">
        <v>90</v>
      </c>
      <c r="D8" s="303"/>
      <c r="E8" s="303" t="s">
        <v>91</v>
      </c>
      <c r="F8" s="303" t="s">
        <v>92</v>
      </c>
      <c r="G8" s="303" t="s">
        <v>93</v>
      </c>
      <c r="H8" s="303" t="s">
        <v>94</v>
      </c>
      <c r="I8" s="303" t="s">
        <v>95</v>
      </c>
      <c r="J8" s="303" t="s">
        <v>96</v>
      </c>
      <c r="K8" s="303" t="s">
        <v>97</v>
      </c>
      <c r="L8" s="303" t="s">
        <v>98</v>
      </c>
      <c r="M8" s="303" t="s">
        <v>99</v>
      </c>
      <c r="N8" s="303" t="s">
        <v>100</v>
      </c>
      <c r="O8" s="303" t="s">
        <v>101</v>
      </c>
      <c r="P8" s="304" t="s">
        <v>102</v>
      </c>
      <c r="Q8" s="134"/>
      <c r="R8" s="133" t="s">
        <v>103</v>
      </c>
      <c r="S8" s="134"/>
    </row>
    <row r="9" spans="1:19" ht="13.8" thickTop="1">
      <c r="A9" s="127"/>
      <c r="B9" s="127"/>
      <c r="C9" s="135"/>
      <c r="D9" s="305"/>
      <c r="E9" s="135" t="s">
        <v>57</v>
      </c>
      <c r="F9" s="136"/>
      <c r="G9" s="136"/>
      <c r="H9" s="136"/>
      <c r="I9" s="136"/>
      <c r="J9" s="136"/>
      <c r="K9" s="136"/>
      <c r="L9" s="136"/>
      <c r="M9" s="136"/>
      <c r="N9" s="137"/>
      <c r="O9" s="136"/>
      <c r="P9" s="130"/>
      <c r="Q9" s="138"/>
      <c r="R9" s="130"/>
      <c r="S9" s="130"/>
    </row>
    <row r="10" spans="1:19">
      <c r="A10" s="139" t="s">
        <v>58</v>
      </c>
      <c r="B10" s="139"/>
      <c r="C10" s="135"/>
      <c r="D10" s="305"/>
      <c r="E10" s="135"/>
      <c r="F10" s="136"/>
      <c r="G10" s="136"/>
      <c r="H10" s="136"/>
      <c r="I10" s="136"/>
      <c r="J10" s="136"/>
      <c r="K10" s="136"/>
      <c r="L10" s="136"/>
      <c r="M10" s="136"/>
      <c r="N10" s="137"/>
      <c r="O10" s="136"/>
      <c r="P10" s="130"/>
      <c r="Q10" s="138"/>
      <c r="R10" s="130"/>
      <c r="S10" s="130"/>
    </row>
    <row r="11" spans="1:19">
      <c r="A11" s="167"/>
      <c r="B11" s="165" t="s">
        <v>59</v>
      </c>
      <c r="C11" s="306">
        <f>[4]PGEU!H1236/1000</f>
        <v>15.575288220000001</v>
      </c>
      <c r="D11" s="307"/>
      <c r="E11" s="306">
        <f>[4]PGEU!I1236/1000</f>
        <v>0</v>
      </c>
      <c r="F11" s="306">
        <f>[4]PGEU!J1236/1000</f>
        <v>0</v>
      </c>
      <c r="G11" s="306">
        <f>[4]PGEU!K1236/1000</f>
        <v>0</v>
      </c>
      <c r="H11" s="306">
        <f>[4]PGEU!L1236/1000</f>
        <v>0</v>
      </c>
      <c r="I11" s="306">
        <f>[4]PGEU!M1236/1000</f>
        <v>20.997538330000001</v>
      </c>
      <c r="J11" s="321">
        <f>[4]PGEU!N1236/1000*0+183.4+I14-J12</f>
        <v>205.02468833</v>
      </c>
      <c r="K11" s="321">
        <f>[4]PGEU!O1236/1000*0-45.9+J14-K12</f>
        <v>159.75726422999992</v>
      </c>
      <c r="L11" s="321">
        <f>[4]PGEU!P1236/1000*0+42.7+K14-L12</f>
        <v>203.09271038999987</v>
      </c>
      <c r="M11" s="321">
        <f>[4]PGEU!Q1236/1000*0+18.8+L14-M12</f>
        <v>267.87436239884983</v>
      </c>
      <c r="N11" s="321">
        <f>[4]PGEU!R1236/1000*0+27+M14-N12-16+39.3+26.7-0.4</f>
        <v>95.314129822266608</v>
      </c>
      <c r="O11" s="321">
        <f>[4]PGEU!S1236/1000*0+N14-O12</f>
        <v>96.158807764763424</v>
      </c>
      <c r="P11" s="321">
        <f>[4]PGEU!T1236/1000*0+O14-P12</f>
        <v>97.008424502745584</v>
      </c>
      <c r="Q11" s="138"/>
      <c r="R11" s="140"/>
      <c r="S11" s="130"/>
    </row>
    <row r="12" spans="1:19">
      <c r="A12" s="167"/>
      <c r="B12" s="165" t="s">
        <v>60</v>
      </c>
      <c r="C12" s="306">
        <f>SUM([4]PGEU!H1234:H1235)/1000</f>
        <v>880.15614318999997</v>
      </c>
      <c r="D12" s="307"/>
      <c r="E12" s="306">
        <f>SUM([4]PGEU!I1234:I1235)/1000</f>
        <v>879.54635747000009</v>
      </c>
      <c r="F12" s="306">
        <f>SUM([4]PGEU!J1234:J1235)/1000</f>
        <v>878.93296854000005</v>
      </c>
      <c r="G12" s="306">
        <f>SUM([4]PGEU!K1234:K1235)/1000</f>
        <v>878.31595636000009</v>
      </c>
      <c r="H12" s="306">
        <f>SUM([4]PGEU!L1234:L1235)/1000</f>
        <v>877.69529353000007</v>
      </c>
      <c r="I12" s="306">
        <f>SUM([4]PGEU!M1234:M1235)/1000</f>
        <v>877.07097805000001</v>
      </c>
      <c r="J12" s="306">
        <f>SUM([4]PGEU!N1234:N1235)/1000</f>
        <v>876.44382804999998</v>
      </c>
      <c r="K12" s="306">
        <f>SUM([4]PGEU!O1234:O1235)/1000</f>
        <v>875.81125214999997</v>
      </c>
      <c r="L12" s="306">
        <f>SUM([4]PGEU!P1234:P1235)/1000</f>
        <v>875.17580599000007</v>
      </c>
      <c r="M12" s="306">
        <f>SUM([4]PGEU!Q1234:Q1235)/1000-250</f>
        <v>829.19415398115007</v>
      </c>
      <c r="N12" s="306">
        <f>SUM([4]PGEU!R1234:R1235)/1000</f>
        <v>1078.3543865577333</v>
      </c>
      <c r="O12" s="306">
        <f>SUM([4]PGEU!S1234:S1235)/1000</f>
        <v>1077.5097086152364</v>
      </c>
      <c r="P12" s="306">
        <f>SUM([4]PGEU!T1234:T1235)/1000</f>
        <v>1076.6600918772542</v>
      </c>
      <c r="Q12" s="138"/>
      <c r="R12" s="140"/>
      <c r="S12" s="130"/>
    </row>
    <row r="13" spans="1:19">
      <c r="A13" s="167"/>
      <c r="B13" s="165" t="s">
        <v>47</v>
      </c>
      <c r="C13" s="140">
        <v>0</v>
      </c>
      <c r="D13" s="308"/>
      <c r="E13" s="140">
        <v>0</v>
      </c>
      <c r="F13" s="140">
        <v>0</v>
      </c>
      <c r="G13" s="140">
        <v>0</v>
      </c>
      <c r="H13" s="140">
        <v>0</v>
      </c>
      <c r="I13" s="140">
        <v>0</v>
      </c>
      <c r="J13" s="140">
        <v>0</v>
      </c>
      <c r="K13" s="140">
        <v>0</v>
      </c>
      <c r="L13" s="140">
        <v>0</v>
      </c>
      <c r="M13" s="140">
        <v>0</v>
      </c>
      <c r="N13" s="140">
        <v>0</v>
      </c>
      <c r="O13" s="140">
        <v>0</v>
      </c>
      <c r="P13" s="140">
        <v>0</v>
      </c>
      <c r="Q13" s="138"/>
      <c r="R13" s="140"/>
      <c r="S13" s="130"/>
    </row>
    <row r="14" spans="1:19" s="150" customFormat="1">
      <c r="B14" s="166" t="s">
        <v>61</v>
      </c>
      <c r="C14" s="169">
        <f>SUM(C11:C13)</f>
        <v>895.73143140999991</v>
      </c>
      <c r="D14" s="309"/>
      <c r="E14" s="169">
        <f t="shared" ref="E14:P14" si="0">SUM(E11:E13)</f>
        <v>879.54635747000009</v>
      </c>
      <c r="F14" s="169">
        <f t="shared" si="0"/>
        <v>878.93296854000005</v>
      </c>
      <c r="G14" s="169">
        <f t="shared" si="0"/>
        <v>878.31595636000009</v>
      </c>
      <c r="H14" s="169">
        <f t="shared" si="0"/>
        <v>877.69529353000007</v>
      </c>
      <c r="I14" s="169">
        <f t="shared" si="0"/>
        <v>898.06851638000001</v>
      </c>
      <c r="J14" s="169">
        <f t="shared" si="0"/>
        <v>1081.46851638</v>
      </c>
      <c r="K14" s="169">
        <f t="shared" si="0"/>
        <v>1035.5685163799999</v>
      </c>
      <c r="L14" s="169">
        <f t="shared" si="0"/>
        <v>1078.2685163799999</v>
      </c>
      <c r="M14" s="169">
        <f t="shared" si="0"/>
        <v>1097.0685163799999</v>
      </c>
      <c r="N14" s="169">
        <f t="shared" si="0"/>
        <v>1173.6685163799998</v>
      </c>
      <c r="O14" s="169">
        <f t="shared" si="0"/>
        <v>1173.6685163799998</v>
      </c>
      <c r="P14" s="169">
        <f t="shared" si="0"/>
        <v>1173.6685163799998</v>
      </c>
      <c r="Q14" s="141"/>
      <c r="R14" s="169"/>
      <c r="S14" s="141"/>
    </row>
    <row r="15" spans="1:19">
      <c r="A15" s="139"/>
      <c r="B15" s="139"/>
      <c r="C15" s="137"/>
      <c r="D15" s="310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>
        <f>+Q14-P14</f>
        <v>-1173.6685163799998</v>
      </c>
      <c r="R15" s="137"/>
      <c r="S15" s="142"/>
    </row>
    <row r="16" spans="1:19" s="150" customFormat="1">
      <c r="A16" s="221" t="s">
        <v>78</v>
      </c>
      <c r="B16" s="143"/>
      <c r="D16" s="311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1"/>
      <c r="R16" s="140"/>
      <c r="S16" s="141"/>
    </row>
    <row r="17" spans="1:19">
      <c r="A17" s="222">
        <v>1710</v>
      </c>
      <c r="B17" t="s">
        <v>179</v>
      </c>
      <c r="E17" s="137">
        <f>[4]PGEU!I827/1000</f>
        <v>5.0065918600000003</v>
      </c>
      <c r="F17" s="137">
        <f>[4]PGEU!J827/1000</f>
        <v>5.0042839999999993</v>
      </c>
      <c r="G17" s="137">
        <f>[4]PGEU!K827/1000</f>
        <v>5.0043151099999994</v>
      </c>
      <c r="H17" s="137">
        <f>[4]PGEU!L827/1000</f>
        <v>4.9979231000000004</v>
      </c>
      <c r="I17" s="137">
        <f>[4]PGEU!M827/1000</f>
        <v>4.9960976300000004</v>
      </c>
      <c r="J17" s="137">
        <f>[4]PGEU!N827/1000</f>
        <v>4.9924045900000005</v>
      </c>
      <c r="K17" s="137">
        <f>[4]PGEU!O827/1000</f>
        <v>4.9775336500000007</v>
      </c>
      <c r="L17" s="137">
        <f>[4]PGEU!P827/1000</f>
        <v>4.9730257399999998</v>
      </c>
      <c r="M17" s="137">
        <f>[4]PGEU!Q827/1000</f>
        <v>6.3865826616499994</v>
      </c>
      <c r="N17" s="137">
        <f>[4]PGEU!R827/1000</f>
        <v>6.2522002570831221</v>
      </c>
      <c r="O17" s="137">
        <f>[4]PGEU!S827/1000</f>
        <v>6.2472897380032801</v>
      </c>
      <c r="P17" s="137">
        <f>[4]PGEU!T827/1000</f>
        <v>6.2423509425177359</v>
      </c>
      <c r="Q17" s="137"/>
      <c r="R17" s="137">
        <f t="shared" ref="R17:R23" si="1">SUM(E17:P17)</f>
        <v>65.08059927925413</v>
      </c>
      <c r="S17" s="142"/>
    </row>
    <row r="18" spans="1:19">
      <c r="A18" s="222">
        <v>1719</v>
      </c>
      <c r="B18" t="s">
        <v>180</v>
      </c>
      <c r="E18" s="145">
        <f>[4]PGEU!I828/1000</f>
        <v>2.2763600000000002E-2</v>
      </c>
      <c r="F18" s="145">
        <f>[4]PGEU!J828/1000</f>
        <v>0</v>
      </c>
      <c r="G18" s="145">
        <f>[4]PGEU!K828/1000</f>
        <v>0</v>
      </c>
      <c r="H18" s="145">
        <f>[4]PGEU!L828/1000</f>
        <v>0</v>
      </c>
      <c r="I18" s="145">
        <f>[4]PGEU!M828/1000</f>
        <v>2.4617800000000002E-3</v>
      </c>
      <c r="J18" s="145">
        <f>[4]PGEU!N828/1000</f>
        <v>0.29998496000000002</v>
      </c>
      <c r="K18" s="145">
        <f>[4]PGEU!O828/1000</f>
        <v>0.64035158999999997</v>
      </c>
      <c r="L18" s="145">
        <f>[4]PGEU!P828/1000</f>
        <v>0.56133696</v>
      </c>
      <c r="M18" s="145">
        <f>[4]PGEU!Q828/1000</f>
        <v>0.43890242951247677</v>
      </c>
      <c r="N18" s="145">
        <f>[4]PGEU!R828/1000-1.1</f>
        <v>-0.68327163259653623</v>
      </c>
      <c r="O18" s="145">
        <f>[4]PGEU!S828/1000</f>
        <v>0.7039522062473319</v>
      </c>
      <c r="P18" s="145">
        <f>[4]PGEU!T828/1000</f>
        <v>0.7729545600318416</v>
      </c>
      <c r="R18" s="145">
        <f t="shared" si="1"/>
        <v>2.7594364531951143</v>
      </c>
    </row>
    <row r="19" spans="1:19">
      <c r="A19" s="222">
        <v>1720</v>
      </c>
      <c r="B19" t="s">
        <v>181</v>
      </c>
      <c r="E19" s="137">
        <v>0</v>
      </c>
      <c r="F19" s="137">
        <v>0</v>
      </c>
      <c r="G19" s="137">
        <v>-0.8</v>
      </c>
      <c r="H19" s="137">
        <v>0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  <c r="P19" s="137">
        <v>0</v>
      </c>
      <c r="Q19" s="137"/>
      <c r="R19" s="137">
        <f t="shared" si="1"/>
        <v>-0.8</v>
      </c>
    </row>
    <row r="20" spans="1:19">
      <c r="A20" s="222">
        <v>1722</v>
      </c>
      <c r="B20" t="s">
        <v>182</v>
      </c>
      <c r="E20" s="137">
        <f>[4]PGEU!I844/1000</f>
        <v>1.1500830499999999</v>
      </c>
      <c r="F20" s="137">
        <f>[4]PGEU!J844/1000</f>
        <v>1.5306495800000002</v>
      </c>
      <c r="G20" s="313">
        <f>[4]PGEU!K844/1000*0+3.4-SUM(E20:F20)</f>
        <v>0.71926736999999985</v>
      </c>
      <c r="H20" s="137">
        <f>[4]PGEU!L844/1000</f>
        <v>1.3574170400000003</v>
      </c>
      <c r="I20" s="137">
        <f>[4]PGEU!M844/1000</f>
        <v>1.0848029299999999</v>
      </c>
      <c r="J20" s="137">
        <f>[4]PGEU!N844/1000</f>
        <v>0.81908851999999988</v>
      </c>
      <c r="K20" s="137">
        <f>[4]PGEU!O844/1000</f>
        <v>0.58491877999999997</v>
      </c>
      <c r="L20" s="137">
        <f>[4]PGEU!P844/1000</f>
        <v>0.68030877000000001</v>
      </c>
      <c r="M20" s="137">
        <f>[4]PGEU!Q844/1000</f>
        <v>0.69044700000000014</v>
      </c>
      <c r="N20" s="137">
        <f>[4]PGEU!R844/1000</f>
        <v>0.90264</v>
      </c>
      <c r="O20" s="137">
        <f>[4]PGEU!S844/1000</f>
        <v>0.64411499999999999</v>
      </c>
      <c r="P20" s="137">
        <f>[4]PGEU!T844/1000</f>
        <v>0.64711099999999999</v>
      </c>
      <c r="Q20" s="137"/>
      <c r="R20" s="137">
        <f t="shared" si="1"/>
        <v>10.810849040000001</v>
      </c>
    </row>
    <row r="21" spans="1:19">
      <c r="A21" s="222">
        <v>1725</v>
      </c>
      <c r="B21" t="s">
        <v>183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  <c r="P21" s="137">
        <v>0</v>
      </c>
      <c r="Q21" s="137"/>
      <c r="R21" s="137">
        <f t="shared" si="1"/>
        <v>0</v>
      </c>
    </row>
    <row r="22" spans="1:19">
      <c r="A22" s="222">
        <v>1750</v>
      </c>
      <c r="B22" t="s">
        <v>184</v>
      </c>
      <c r="E22" s="137">
        <f>([3]Forecast!E115+'[5]Total Subs'!C23)/1000000</f>
        <v>1.21671</v>
      </c>
      <c r="F22" s="137">
        <f>([3]Forecast!F115+'[5]Total Subs'!D23)/1000000</f>
        <v>-1.3156460000000001</v>
      </c>
      <c r="G22" s="137">
        <f>([3]Forecast!G115+'[5]Total Subs'!E23)/1000000</f>
        <v>-0.57304999999999995</v>
      </c>
      <c r="H22" s="137">
        <f>([3]Forecast!H115+'[5]Total Subs'!F23)/1000000</f>
        <v>0.18529300000000001</v>
      </c>
      <c r="I22" s="137">
        <f>([3]Forecast!I115+'[5]Total Subs'!G23)/1000000</f>
        <v>0.29420000000000002</v>
      </c>
      <c r="J22" s="137">
        <f>([3]Forecast!J115+'[5]Total Subs'!H23)/1000000</f>
        <v>0.376467</v>
      </c>
      <c r="K22" s="137">
        <f>([3]Forecast!K115+'[5]Total Subs'!I23)/1000000</f>
        <v>0.29623300000000002</v>
      </c>
      <c r="L22" s="137">
        <f>([3]Forecast!L115+'[5]Total Subs'!J23)/1000000</f>
        <v>-7.1855E-3</v>
      </c>
      <c r="M22" s="137">
        <f>([3]Forecast!M115+'[5]Total Subs'!K23)/1000000</f>
        <v>2.9814500000000001E-2</v>
      </c>
      <c r="N22" s="137">
        <f>([3]Forecast!N115+'[5]Total Subs'!L23)/1000000</f>
        <v>-7.1855E-3</v>
      </c>
      <c r="O22" s="137">
        <f>([3]Forecast!O115+'[5]Total Subs'!M23)/1000000</f>
        <v>2.9814500000000001E-2</v>
      </c>
      <c r="P22" s="137">
        <f>([3]Forecast!P115+'[5]Total Subs'!N23)/1000000</f>
        <v>-7.1855E-3</v>
      </c>
      <c r="Q22" s="137"/>
      <c r="R22" s="137">
        <f t="shared" si="1"/>
        <v>0.5182795</v>
      </c>
    </row>
    <row r="23" spans="1:19">
      <c r="A23" s="222">
        <v>1740</v>
      </c>
      <c r="B23" t="s">
        <v>185</v>
      </c>
      <c r="E23" s="137">
        <v>0</v>
      </c>
      <c r="F23" s="137">
        <v>0</v>
      </c>
      <c r="G23" s="137">
        <v>0.8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  <c r="P23" s="137">
        <v>0</v>
      </c>
      <c r="Q23" s="137"/>
      <c r="R23" s="137">
        <f t="shared" si="1"/>
        <v>0.8</v>
      </c>
    </row>
    <row r="24" spans="1:19" s="150" customFormat="1">
      <c r="A24" s="223" t="s">
        <v>194</v>
      </c>
      <c r="B24" s="166"/>
      <c r="D24" s="311"/>
      <c r="E24" s="169">
        <f t="shared" ref="E24:P24" si="2">SUM(E17:E23)</f>
        <v>7.3961485100000006</v>
      </c>
      <c r="F24" s="169">
        <f t="shared" si="2"/>
        <v>5.2192875799999996</v>
      </c>
      <c r="G24" s="169">
        <f t="shared" si="2"/>
        <v>5.150532479999999</v>
      </c>
      <c r="H24" s="169">
        <f t="shared" si="2"/>
        <v>6.5406331400000006</v>
      </c>
      <c r="I24" s="169">
        <f t="shared" si="2"/>
        <v>6.3775623400000008</v>
      </c>
      <c r="J24" s="169">
        <f t="shared" si="2"/>
        <v>6.4879450700000003</v>
      </c>
      <c r="K24" s="169">
        <f t="shared" si="2"/>
        <v>6.4990370200000003</v>
      </c>
      <c r="L24" s="169">
        <f t="shared" si="2"/>
        <v>6.2074859699999996</v>
      </c>
      <c r="M24" s="169">
        <f t="shared" si="2"/>
        <v>7.5457465911624757</v>
      </c>
      <c r="N24" s="169">
        <f t="shared" si="2"/>
        <v>6.4643831244865853</v>
      </c>
      <c r="O24" s="169">
        <f t="shared" si="2"/>
        <v>7.6251714442506122</v>
      </c>
      <c r="P24" s="169">
        <f t="shared" si="2"/>
        <v>7.6552310025495771</v>
      </c>
      <c r="Q24" s="141"/>
      <c r="R24" s="169">
        <f>SUM(R17:R23)</f>
        <v>79.169164272449265</v>
      </c>
      <c r="S24" s="141"/>
    </row>
    <row r="25" spans="1:19" ht="5.0999999999999996" customHeight="1">
      <c r="A25" s="220"/>
      <c r="B2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R25" s="145"/>
    </row>
    <row r="26" spans="1:19">
      <c r="A26" s="222">
        <v>1713</v>
      </c>
      <c r="B26" t="s">
        <v>186</v>
      </c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R26" s="145"/>
    </row>
    <row r="27" spans="1:19">
      <c r="A27" s="222">
        <v>1751</v>
      </c>
      <c r="B27" t="s">
        <v>187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R27" s="145">
        <f t="shared" ref="R27:R32" si="3">SUM(E27:P27)</f>
        <v>0</v>
      </c>
    </row>
    <row r="28" spans="1:19">
      <c r="A28" s="222">
        <v>1730</v>
      </c>
      <c r="B28" t="s">
        <v>188</v>
      </c>
      <c r="E28" s="145">
        <f>[2]DB!I334/1000</f>
        <v>1.542</v>
      </c>
      <c r="F28" s="145">
        <f>[2]DB!J334/1000</f>
        <v>1.526</v>
      </c>
      <c r="G28" s="145">
        <f>[2]DB!K334/1000*0+0.8-SUM(E28:F28)</f>
        <v>-2.2679999999999998</v>
      </c>
      <c r="H28" s="145">
        <f>[2]DB!L334/1000</f>
        <v>1.494</v>
      </c>
      <c r="I28" s="145">
        <f>[2]DB!M334/1000</f>
        <v>1.478</v>
      </c>
      <c r="J28" s="145">
        <f>[2]DB!N334/1000</f>
        <v>1.462</v>
      </c>
      <c r="K28" s="145">
        <f>[2]DB!O334/1000</f>
        <v>1.446</v>
      </c>
      <c r="L28" s="145">
        <f>[2]DB!P334/1000</f>
        <v>1.43</v>
      </c>
      <c r="M28" s="145">
        <f>[2]DB!Q334/1000</f>
        <v>1.4159999999999999</v>
      </c>
      <c r="N28" s="145">
        <f>[2]DB!R334/1000</f>
        <v>1.403</v>
      </c>
      <c r="O28" s="145">
        <f>[2]DB!S334/1000</f>
        <v>1.39</v>
      </c>
      <c r="P28" s="145">
        <f>[2]DB!T334/1000</f>
        <v>1.377</v>
      </c>
      <c r="R28" s="145">
        <f t="shared" si="3"/>
        <v>13.696000000000002</v>
      </c>
    </row>
    <row r="29" spans="1:19">
      <c r="A29" s="222">
        <v>1735</v>
      </c>
      <c r="B29" t="s">
        <v>189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R29" s="145">
        <f t="shared" si="3"/>
        <v>0</v>
      </c>
    </row>
    <row r="30" spans="1:19">
      <c r="A30" s="222">
        <v>1736</v>
      </c>
      <c r="B30" t="s">
        <v>190</v>
      </c>
      <c r="E30" s="145">
        <v>0</v>
      </c>
      <c r="F30" s="145">
        <v>0</v>
      </c>
      <c r="G30" s="145">
        <v>0</v>
      </c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R30" s="145">
        <f t="shared" si="3"/>
        <v>0</v>
      </c>
    </row>
    <row r="31" spans="1:19">
      <c r="A31" s="222">
        <v>1738</v>
      </c>
      <c r="B31" t="s">
        <v>191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R31" s="145">
        <f t="shared" si="3"/>
        <v>0</v>
      </c>
    </row>
    <row r="32" spans="1:19">
      <c r="A32" s="222">
        <v>1755</v>
      </c>
      <c r="B32" t="s">
        <v>192</v>
      </c>
      <c r="E32" s="145">
        <f>[4]PGEU!I845/1000</f>
        <v>-0.29460923999999999</v>
      </c>
      <c r="F32" s="145">
        <f>[4]PGEU!J845/1000</f>
        <v>-0.22703538000000001</v>
      </c>
      <c r="G32" s="145">
        <f>[4]PGEU!K845/1000</f>
        <v>-0.22100411</v>
      </c>
      <c r="H32" s="145">
        <f>[4]PGEU!L845/1000</f>
        <v>-0.21839725000000001</v>
      </c>
      <c r="I32" s="145">
        <f>[4]PGEU!M845/1000</f>
        <v>-0.22558082999999998</v>
      </c>
      <c r="J32" s="145">
        <f>[4]PGEU!N845/1000</f>
        <v>-0.23888967</v>
      </c>
      <c r="K32" s="145">
        <f>[4]PGEU!O845/1000</f>
        <v>-0.33576051000000001</v>
      </c>
      <c r="L32" s="145">
        <f>[4]PGEU!P845/1000</f>
        <v>-0.35921233000000002</v>
      </c>
      <c r="M32" s="145">
        <f>[4]PGEU!Q845/1000</f>
        <v>-0.37312364165687995</v>
      </c>
      <c r="N32" s="145">
        <f>[4]PGEU!R845/1000</f>
        <v>-0.29021876068075403</v>
      </c>
      <c r="O32" s="145">
        <f>[4]PGEU!S845/1000</f>
        <v>-0.25236083943331944</v>
      </c>
      <c r="P32" s="145">
        <f>[4]PGEU!T845/1000</f>
        <v>-0.24458095494711085</v>
      </c>
      <c r="R32" s="145">
        <f t="shared" si="3"/>
        <v>-3.2807735167180647</v>
      </c>
    </row>
    <row r="33" spans="1:19" ht="5.0999999999999996" customHeight="1">
      <c r="A33" s="168"/>
      <c r="B33" s="16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R33" s="145"/>
    </row>
    <row r="34" spans="1:19" s="150" customFormat="1">
      <c r="A34" s="223" t="s">
        <v>195</v>
      </c>
      <c r="B34" s="166"/>
      <c r="D34" s="311"/>
      <c r="E34" s="169">
        <f t="shared" ref="E34:P34" si="4">SUM(E24:E33)</f>
        <v>8.6435392700000016</v>
      </c>
      <c r="F34" s="169">
        <f t="shared" si="4"/>
        <v>6.5182521999999992</v>
      </c>
      <c r="G34" s="169">
        <f t="shared" si="4"/>
        <v>2.6615283699999992</v>
      </c>
      <c r="H34" s="169">
        <f t="shared" si="4"/>
        <v>7.8162358900000006</v>
      </c>
      <c r="I34" s="169">
        <f t="shared" si="4"/>
        <v>7.6299815100000004</v>
      </c>
      <c r="J34" s="169">
        <f t="shared" si="4"/>
        <v>7.7110554000000002</v>
      </c>
      <c r="K34" s="169">
        <f t="shared" si="4"/>
        <v>7.6092765099999999</v>
      </c>
      <c r="L34" s="169">
        <f t="shared" si="4"/>
        <v>7.2782736399999992</v>
      </c>
      <c r="M34" s="169">
        <f t="shared" si="4"/>
        <v>8.588622949505595</v>
      </c>
      <c r="N34" s="169">
        <f t="shared" si="4"/>
        <v>7.5771643638058306</v>
      </c>
      <c r="O34" s="169">
        <f t="shared" si="4"/>
        <v>8.7628106048172931</v>
      </c>
      <c r="P34" s="169">
        <f t="shared" si="4"/>
        <v>8.787650047602467</v>
      </c>
      <c r="Q34" s="141"/>
      <c r="R34" s="169">
        <f>SUM(R24:R33)</f>
        <v>89.584390755731192</v>
      </c>
      <c r="S34" s="141"/>
    </row>
    <row r="35" spans="1:19">
      <c r="C35" s="145"/>
      <c r="D35" s="314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</row>
    <row r="36" spans="1:19">
      <c r="C36" s="145"/>
      <c r="D36" s="314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</row>
    <row r="37" spans="1:19">
      <c r="A37" s="144" t="s">
        <v>197</v>
      </c>
      <c r="C37" s="145"/>
      <c r="D37" s="314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</row>
    <row r="38" spans="1:19" s="145" customFormat="1">
      <c r="A38" s="236"/>
      <c r="B38" s="145" t="s">
        <v>10</v>
      </c>
      <c r="C38" s="145">
        <v>0</v>
      </c>
      <c r="D38" s="314"/>
      <c r="E38" s="145">
        <v>0</v>
      </c>
      <c r="F38" s="145">
        <v>0</v>
      </c>
      <c r="G38" s="145">
        <v>0</v>
      </c>
      <c r="H38" s="145">
        <v>0</v>
      </c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</row>
    <row r="39" spans="1:19" s="145" customFormat="1">
      <c r="A39" s="236"/>
      <c r="B39" s="145" t="s">
        <v>10</v>
      </c>
      <c r="C39" s="145">
        <v>0</v>
      </c>
      <c r="D39" s="314"/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</row>
    <row r="40" spans="1:19" s="145" customFormat="1">
      <c r="A40" s="236"/>
      <c r="B40" s="145" t="s">
        <v>10</v>
      </c>
      <c r="C40" s="145">
        <v>0</v>
      </c>
      <c r="D40" s="314"/>
      <c r="E40" s="145">
        <v>0</v>
      </c>
      <c r="F40" s="145">
        <v>0</v>
      </c>
      <c r="G40" s="145">
        <v>0</v>
      </c>
      <c r="H40" s="145">
        <v>0</v>
      </c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</row>
    <row r="41" spans="1:19" s="237" customFormat="1">
      <c r="B41" s="166" t="s">
        <v>199</v>
      </c>
      <c r="C41" s="169">
        <f>SUM(C38:C40)</f>
        <v>0</v>
      </c>
      <c r="D41" s="309"/>
      <c r="E41" s="169">
        <f t="shared" ref="E41:P41" si="5">SUM(E38:E40)</f>
        <v>0</v>
      </c>
      <c r="F41" s="169">
        <f t="shared" si="5"/>
        <v>0</v>
      </c>
      <c r="G41" s="169">
        <f t="shared" si="5"/>
        <v>0</v>
      </c>
      <c r="H41" s="169">
        <f t="shared" si="5"/>
        <v>0</v>
      </c>
      <c r="I41" s="169">
        <f t="shared" si="5"/>
        <v>0</v>
      </c>
      <c r="J41" s="169">
        <f t="shared" si="5"/>
        <v>0</v>
      </c>
      <c r="K41" s="169">
        <f t="shared" si="5"/>
        <v>0</v>
      </c>
      <c r="L41" s="169">
        <f t="shared" si="5"/>
        <v>0</v>
      </c>
      <c r="M41" s="169">
        <f t="shared" si="5"/>
        <v>0</v>
      </c>
      <c r="N41" s="169">
        <f t="shared" si="5"/>
        <v>0</v>
      </c>
      <c r="O41" s="169">
        <f t="shared" si="5"/>
        <v>0</v>
      </c>
      <c r="P41" s="169">
        <f t="shared" si="5"/>
        <v>0</v>
      </c>
      <c r="Q41" s="141"/>
      <c r="S41" s="141"/>
    </row>
    <row r="42" spans="1:19" s="145" customFormat="1" ht="5.0999999999999996" customHeight="1">
      <c r="D42" s="314"/>
    </row>
    <row r="43" spans="1:19" s="145" customFormat="1">
      <c r="A43" s="238" t="s">
        <v>198</v>
      </c>
      <c r="D43" s="314"/>
    </row>
    <row r="44" spans="1:19" s="145" customFormat="1">
      <c r="A44" s="236"/>
      <c r="B44" s="145" t="s">
        <v>10</v>
      </c>
      <c r="D44" s="314"/>
      <c r="E44" s="145">
        <v>0</v>
      </c>
      <c r="F44" s="145">
        <v>0</v>
      </c>
      <c r="G44" s="145">
        <v>0</v>
      </c>
      <c r="H44" s="145">
        <v>0</v>
      </c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8"/>
      <c r="R44" s="145">
        <f>SUM(E44:P44)</f>
        <v>0</v>
      </c>
    </row>
    <row r="45" spans="1:19" s="145" customFormat="1">
      <c r="A45" s="236"/>
      <c r="B45" s="145" t="s">
        <v>10</v>
      </c>
      <c r="D45" s="314"/>
      <c r="E45" s="145">
        <v>0</v>
      </c>
      <c r="F45" s="145">
        <v>0</v>
      </c>
      <c r="G45" s="145">
        <v>0</v>
      </c>
      <c r="H45" s="145">
        <v>0</v>
      </c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8"/>
      <c r="R45" s="145">
        <f>SUM(E45:P45)</f>
        <v>0</v>
      </c>
    </row>
    <row r="46" spans="1:19" s="145" customFormat="1">
      <c r="A46" s="236"/>
      <c r="B46" s="145" t="s">
        <v>10</v>
      </c>
      <c r="D46" s="314"/>
      <c r="E46" s="145">
        <v>0</v>
      </c>
      <c r="F46" s="145">
        <v>0</v>
      </c>
      <c r="G46" s="145">
        <v>0</v>
      </c>
      <c r="H46" s="145">
        <v>0</v>
      </c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8"/>
      <c r="R46" s="145">
        <f>SUM(E46:P46)</f>
        <v>0</v>
      </c>
    </row>
    <row r="47" spans="1:19" s="237" customFormat="1">
      <c r="B47" s="166" t="s">
        <v>203</v>
      </c>
      <c r="C47" s="145"/>
      <c r="D47" s="314"/>
      <c r="E47" s="169">
        <f t="shared" ref="E47:P47" si="6">SUM(E44:E46)</f>
        <v>0</v>
      </c>
      <c r="F47" s="169">
        <f t="shared" si="6"/>
        <v>0</v>
      </c>
      <c r="G47" s="169">
        <f t="shared" si="6"/>
        <v>0</v>
      </c>
      <c r="H47" s="169">
        <f t="shared" si="6"/>
        <v>0</v>
      </c>
      <c r="I47" s="169">
        <f t="shared" si="6"/>
        <v>0</v>
      </c>
      <c r="J47" s="169">
        <f t="shared" si="6"/>
        <v>0</v>
      </c>
      <c r="K47" s="169">
        <f t="shared" si="6"/>
        <v>0</v>
      </c>
      <c r="L47" s="169">
        <f t="shared" si="6"/>
        <v>0</v>
      </c>
      <c r="M47" s="169">
        <f t="shared" si="6"/>
        <v>0</v>
      </c>
      <c r="N47" s="169">
        <f t="shared" si="6"/>
        <v>0</v>
      </c>
      <c r="O47" s="169">
        <f t="shared" si="6"/>
        <v>0</v>
      </c>
      <c r="P47" s="169">
        <f t="shared" si="6"/>
        <v>0</v>
      </c>
      <c r="Q47" s="141"/>
      <c r="R47" s="169">
        <f>SUM(R44:R46)</f>
        <v>0</v>
      </c>
      <c r="S47" s="141"/>
    </row>
    <row r="48" spans="1:19" s="145" customFormat="1">
      <c r="C48" s="237"/>
      <c r="D48" s="315"/>
    </row>
    <row r="49" spans="1:21" s="145" customFormat="1">
      <c r="D49" s="314"/>
    </row>
    <row r="50" spans="1:21">
      <c r="A50" s="144" t="s">
        <v>200</v>
      </c>
      <c r="C50" s="145"/>
      <c r="D50" s="314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</row>
    <row r="51" spans="1:21">
      <c r="A51" s="236"/>
      <c r="B51" s="145" t="s">
        <v>10</v>
      </c>
      <c r="C51" s="145">
        <v>0</v>
      </c>
      <c r="D51" s="314"/>
      <c r="E51" s="145">
        <v>0</v>
      </c>
      <c r="F51" s="145">
        <v>0</v>
      </c>
      <c r="G51" s="145">
        <v>0</v>
      </c>
      <c r="H51" s="145">
        <v>0</v>
      </c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/>
      <c r="R51" s="145"/>
      <c r="S51" s="145"/>
      <c r="T51" s="145"/>
      <c r="U51" s="145"/>
    </row>
    <row r="52" spans="1:21">
      <c r="A52" s="236"/>
      <c r="B52" s="145" t="s">
        <v>10</v>
      </c>
      <c r="C52" s="145">
        <v>0</v>
      </c>
      <c r="D52" s="314"/>
      <c r="E52" s="145">
        <v>0</v>
      </c>
      <c r="F52" s="145">
        <v>0</v>
      </c>
      <c r="G52" s="145">
        <v>0</v>
      </c>
      <c r="H52" s="145">
        <v>0</v>
      </c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/>
      <c r="R52" s="145"/>
      <c r="S52" s="145"/>
      <c r="T52" s="145"/>
      <c r="U52" s="145"/>
    </row>
    <row r="53" spans="1:21">
      <c r="A53" s="236"/>
      <c r="B53" s="145" t="s">
        <v>10</v>
      </c>
      <c r="C53" s="145">
        <v>0</v>
      </c>
      <c r="D53" s="314"/>
      <c r="E53" s="145">
        <v>0</v>
      </c>
      <c r="F53" s="145">
        <v>0</v>
      </c>
      <c r="G53" s="145">
        <v>0</v>
      </c>
      <c r="H53" s="145">
        <v>0</v>
      </c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/>
      <c r="R53" s="145"/>
      <c r="S53" s="145"/>
      <c r="T53" s="145"/>
      <c r="U53" s="145"/>
    </row>
    <row r="54" spans="1:21">
      <c r="A54" s="237"/>
      <c r="B54" s="166" t="s">
        <v>199</v>
      </c>
      <c r="C54" s="169">
        <f>SUM(C51:C53)</f>
        <v>0</v>
      </c>
      <c r="D54" s="309"/>
      <c r="E54" s="169">
        <f t="shared" ref="E54:P54" si="7">SUM(E51:E53)</f>
        <v>0</v>
      </c>
      <c r="F54" s="169">
        <f t="shared" si="7"/>
        <v>0</v>
      </c>
      <c r="G54" s="169">
        <f t="shared" si="7"/>
        <v>0</v>
      </c>
      <c r="H54" s="169">
        <f t="shared" si="7"/>
        <v>0</v>
      </c>
      <c r="I54" s="169">
        <f t="shared" si="7"/>
        <v>0</v>
      </c>
      <c r="J54" s="169">
        <f t="shared" si="7"/>
        <v>0</v>
      </c>
      <c r="K54" s="169">
        <f t="shared" si="7"/>
        <v>0</v>
      </c>
      <c r="L54" s="169">
        <f t="shared" si="7"/>
        <v>0</v>
      </c>
      <c r="M54" s="169">
        <f t="shared" si="7"/>
        <v>0</v>
      </c>
      <c r="N54" s="169">
        <f t="shared" si="7"/>
        <v>0</v>
      </c>
      <c r="O54" s="169">
        <f t="shared" si="7"/>
        <v>0</v>
      </c>
      <c r="P54" s="169">
        <f t="shared" si="7"/>
        <v>0</v>
      </c>
      <c r="Q54" s="141"/>
      <c r="R54" s="237"/>
      <c r="S54" s="141"/>
      <c r="T54" s="237"/>
      <c r="U54" s="237"/>
    </row>
    <row r="55" spans="1:21" ht="5.0999999999999996" customHeight="1">
      <c r="A55" s="145"/>
      <c r="B55" s="145"/>
      <c r="C55" s="145"/>
      <c r="D55" s="314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</row>
    <row r="56" spans="1:21">
      <c r="A56" s="223" t="s">
        <v>86</v>
      </c>
      <c r="B56" s="145"/>
      <c r="C56" s="145"/>
      <c r="D56" s="314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</row>
    <row r="57" spans="1:21">
      <c r="A57" s="222">
        <v>1765</v>
      </c>
      <c r="B57" s="145" t="s">
        <v>10</v>
      </c>
      <c r="C57" s="145"/>
      <c r="D57" s="314"/>
      <c r="E57" s="145">
        <v>0</v>
      </c>
      <c r="F57" s="145">
        <v>0</v>
      </c>
      <c r="G57" s="145">
        <v>0</v>
      </c>
      <c r="H57" s="145">
        <v>0</v>
      </c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R57" s="145">
        <f>SUM(E57:P57)</f>
        <v>0</v>
      </c>
      <c r="S57" s="145"/>
      <c r="T57" s="145"/>
      <c r="U57" s="145"/>
    </row>
    <row r="58" spans="1:21">
      <c r="A58" s="222">
        <v>1765</v>
      </c>
      <c r="B58" s="145" t="s">
        <v>10</v>
      </c>
      <c r="C58" s="145"/>
      <c r="D58" s="314"/>
      <c r="E58" s="145">
        <v>0</v>
      </c>
      <c r="F58" s="145">
        <v>0</v>
      </c>
      <c r="G58" s="145">
        <v>0</v>
      </c>
      <c r="H58" s="145">
        <v>0</v>
      </c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R58" s="145">
        <f>SUM(E58:P58)</f>
        <v>0</v>
      </c>
      <c r="S58" s="145"/>
      <c r="T58" s="145"/>
      <c r="U58" s="145"/>
    </row>
    <row r="59" spans="1:21">
      <c r="A59" s="222">
        <v>1765</v>
      </c>
      <c r="B59" s="145" t="s">
        <v>10</v>
      </c>
      <c r="C59" s="145"/>
      <c r="D59" s="314"/>
      <c r="E59" s="145">
        <v>0</v>
      </c>
      <c r="F59" s="145">
        <v>0</v>
      </c>
      <c r="G59" s="145">
        <v>0</v>
      </c>
      <c r="H59" s="145">
        <v>0</v>
      </c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R59" s="145">
        <f>SUM(E59:P59)</f>
        <v>0</v>
      </c>
      <c r="S59" s="145"/>
      <c r="T59" s="145"/>
      <c r="U59" s="145"/>
    </row>
    <row r="60" spans="1:21">
      <c r="A60" s="237"/>
      <c r="B60" s="166" t="s">
        <v>203</v>
      </c>
      <c r="C60" s="145"/>
      <c r="D60" s="314"/>
      <c r="E60" s="169">
        <f t="shared" ref="E60:P60" si="8">SUM(E57:E59)</f>
        <v>0</v>
      </c>
      <c r="F60" s="169">
        <f t="shared" si="8"/>
        <v>0</v>
      </c>
      <c r="G60" s="169">
        <f t="shared" si="8"/>
        <v>0</v>
      </c>
      <c r="H60" s="169">
        <f t="shared" si="8"/>
        <v>0</v>
      </c>
      <c r="I60" s="169">
        <f t="shared" si="8"/>
        <v>0</v>
      </c>
      <c r="J60" s="169">
        <f t="shared" si="8"/>
        <v>0</v>
      </c>
      <c r="K60" s="169">
        <f t="shared" si="8"/>
        <v>0</v>
      </c>
      <c r="L60" s="169">
        <f t="shared" si="8"/>
        <v>0</v>
      </c>
      <c r="M60" s="169">
        <f t="shared" si="8"/>
        <v>0</v>
      </c>
      <c r="N60" s="169">
        <f t="shared" si="8"/>
        <v>0</v>
      </c>
      <c r="O60" s="169">
        <f t="shared" si="8"/>
        <v>0</v>
      </c>
      <c r="P60" s="169">
        <f t="shared" si="8"/>
        <v>0</v>
      </c>
      <c r="Q60" s="141"/>
      <c r="R60" s="169">
        <f>SUM(R57:R59)</f>
        <v>0</v>
      </c>
      <c r="S60" s="141"/>
      <c r="T60" s="237"/>
      <c r="U60" s="237"/>
    </row>
    <row r="63" spans="1:21">
      <c r="A63" s="144" t="s">
        <v>201</v>
      </c>
      <c r="C63" s="145"/>
      <c r="D63" s="314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</row>
    <row r="64" spans="1:21">
      <c r="A64" s="236"/>
      <c r="B64" s="145" t="s">
        <v>10</v>
      </c>
      <c r="C64" s="145">
        <v>0</v>
      </c>
      <c r="D64" s="314"/>
      <c r="E64" s="145">
        <v>0</v>
      </c>
      <c r="F64" s="145">
        <v>0</v>
      </c>
      <c r="G64" s="145">
        <v>0</v>
      </c>
      <c r="H64" s="145">
        <v>0</v>
      </c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/>
      <c r="R64" s="145"/>
      <c r="S64" s="145"/>
      <c r="T64" s="145"/>
      <c r="U64" s="145"/>
    </row>
    <row r="65" spans="1:21">
      <c r="A65" s="236"/>
      <c r="B65" s="145" t="s">
        <v>10</v>
      </c>
      <c r="C65" s="145">
        <v>0</v>
      </c>
      <c r="D65" s="314"/>
      <c r="E65" s="145">
        <v>0</v>
      </c>
      <c r="F65" s="145">
        <v>0</v>
      </c>
      <c r="G65" s="145">
        <v>0</v>
      </c>
      <c r="H65" s="145">
        <v>0</v>
      </c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/>
      <c r="R65" s="145"/>
      <c r="S65" s="145"/>
      <c r="T65" s="145"/>
      <c r="U65" s="145"/>
    </row>
    <row r="66" spans="1:21">
      <c r="A66" s="236"/>
      <c r="B66" s="145" t="s">
        <v>10</v>
      </c>
      <c r="C66" s="145">
        <v>0</v>
      </c>
      <c r="D66" s="314"/>
      <c r="E66" s="145">
        <v>0</v>
      </c>
      <c r="F66" s="145">
        <v>0</v>
      </c>
      <c r="G66" s="145">
        <v>0</v>
      </c>
      <c r="H66" s="145">
        <v>0</v>
      </c>
      <c r="I66" s="145">
        <v>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/>
      <c r="R66" s="145"/>
      <c r="S66" s="145"/>
      <c r="T66" s="145"/>
      <c r="U66" s="145"/>
    </row>
    <row r="67" spans="1:21">
      <c r="A67" s="237"/>
      <c r="B67" s="166" t="s">
        <v>199</v>
      </c>
      <c r="C67" s="169">
        <f>SUM(C64:C66)</f>
        <v>0</v>
      </c>
      <c r="D67" s="309"/>
      <c r="E67" s="169">
        <f t="shared" ref="E67:P67" si="9">SUM(E64:E66)</f>
        <v>0</v>
      </c>
      <c r="F67" s="169">
        <f t="shared" si="9"/>
        <v>0</v>
      </c>
      <c r="G67" s="169">
        <f t="shared" si="9"/>
        <v>0</v>
      </c>
      <c r="H67" s="169">
        <f t="shared" si="9"/>
        <v>0</v>
      </c>
      <c r="I67" s="169">
        <f t="shared" si="9"/>
        <v>0</v>
      </c>
      <c r="J67" s="169">
        <f t="shared" si="9"/>
        <v>0</v>
      </c>
      <c r="K67" s="169">
        <f t="shared" si="9"/>
        <v>0</v>
      </c>
      <c r="L67" s="169">
        <f t="shared" si="9"/>
        <v>0</v>
      </c>
      <c r="M67" s="169">
        <f t="shared" si="9"/>
        <v>0</v>
      </c>
      <c r="N67" s="169">
        <f t="shared" si="9"/>
        <v>0</v>
      </c>
      <c r="O67" s="169">
        <f t="shared" si="9"/>
        <v>0</v>
      </c>
      <c r="P67" s="169">
        <f t="shared" si="9"/>
        <v>0</v>
      </c>
      <c r="Q67" s="141"/>
      <c r="R67" s="237"/>
      <c r="S67" s="141"/>
      <c r="T67" s="237"/>
      <c r="U67" s="237"/>
    </row>
    <row r="68" spans="1:21" ht="5.0999999999999996" customHeight="1">
      <c r="A68" s="145"/>
      <c r="B68" s="145"/>
      <c r="C68" s="145"/>
      <c r="D68" s="314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</row>
    <row r="69" spans="1:21">
      <c r="A69" s="223" t="s">
        <v>202</v>
      </c>
      <c r="B69" s="145"/>
      <c r="C69" s="145"/>
      <c r="D69" s="314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</row>
    <row r="70" spans="1:21">
      <c r="A70" s="222">
        <v>1760</v>
      </c>
      <c r="B70" s="145" t="s">
        <v>10</v>
      </c>
      <c r="C70" s="145"/>
      <c r="D70" s="314"/>
      <c r="E70" s="145">
        <v>0</v>
      </c>
      <c r="F70" s="145">
        <v>0</v>
      </c>
      <c r="G70" s="145">
        <v>0</v>
      </c>
      <c r="H70" s="145">
        <v>0</v>
      </c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R70" s="145">
        <f>SUM(E70:P70)</f>
        <v>0</v>
      </c>
      <c r="S70" s="145"/>
      <c r="T70" s="145"/>
      <c r="U70" s="145"/>
    </row>
    <row r="71" spans="1:21">
      <c r="A71" s="222">
        <v>1760</v>
      </c>
      <c r="B71" s="145" t="s">
        <v>10</v>
      </c>
      <c r="C71" s="145"/>
      <c r="D71" s="314"/>
      <c r="E71" s="145">
        <v>0</v>
      </c>
      <c r="F71" s="145">
        <v>0</v>
      </c>
      <c r="G71" s="145">
        <v>0</v>
      </c>
      <c r="H71" s="145">
        <v>0</v>
      </c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R71" s="145">
        <f>SUM(E71:P71)</f>
        <v>0</v>
      </c>
      <c r="S71" s="145"/>
      <c r="T71" s="145"/>
      <c r="U71" s="145"/>
    </row>
    <row r="72" spans="1:21">
      <c r="A72" s="222">
        <v>1760</v>
      </c>
      <c r="B72" s="145" t="s">
        <v>10</v>
      </c>
      <c r="C72" s="145"/>
      <c r="D72" s="314"/>
      <c r="E72" s="145">
        <v>0</v>
      </c>
      <c r="F72" s="145">
        <v>0</v>
      </c>
      <c r="G72" s="145">
        <v>0</v>
      </c>
      <c r="H72" s="145">
        <v>0</v>
      </c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R72" s="145">
        <f>SUM(E72:P72)</f>
        <v>0</v>
      </c>
      <c r="S72" s="145"/>
      <c r="T72" s="145"/>
      <c r="U72" s="145"/>
    </row>
    <row r="73" spans="1:21">
      <c r="A73" s="237"/>
      <c r="B73" s="166" t="s">
        <v>203</v>
      </c>
      <c r="C73" s="145"/>
      <c r="D73" s="314"/>
      <c r="E73" s="169">
        <f t="shared" ref="E73:P73" si="10">SUM(E70:E72)</f>
        <v>0</v>
      </c>
      <c r="F73" s="169">
        <f t="shared" si="10"/>
        <v>0</v>
      </c>
      <c r="G73" s="169">
        <f t="shared" si="10"/>
        <v>0</v>
      </c>
      <c r="H73" s="169">
        <f t="shared" si="10"/>
        <v>0</v>
      </c>
      <c r="I73" s="169">
        <f t="shared" si="10"/>
        <v>0</v>
      </c>
      <c r="J73" s="169">
        <f t="shared" si="10"/>
        <v>0</v>
      </c>
      <c r="K73" s="169">
        <f t="shared" si="10"/>
        <v>0</v>
      </c>
      <c r="L73" s="169">
        <f t="shared" si="10"/>
        <v>0</v>
      </c>
      <c r="M73" s="169">
        <f t="shared" si="10"/>
        <v>0</v>
      </c>
      <c r="N73" s="169">
        <f t="shared" si="10"/>
        <v>0</v>
      </c>
      <c r="O73" s="169">
        <f t="shared" si="10"/>
        <v>0</v>
      </c>
      <c r="P73" s="169">
        <f t="shared" si="10"/>
        <v>0</v>
      </c>
      <c r="Q73" s="141"/>
      <c r="R73" s="169">
        <f>SUM(R70:R72)</f>
        <v>0</v>
      </c>
      <c r="S73" s="141"/>
      <c r="T73" s="237"/>
      <c r="U73" s="237"/>
    </row>
    <row r="76" spans="1:21">
      <c r="A76" s="351" t="s">
        <v>346</v>
      </c>
      <c r="B76" s="148" t="s">
        <v>347</v>
      </c>
    </row>
  </sheetData>
  <printOptions horizontalCentered="1"/>
  <pageMargins left="0.5" right="0.5" top="0.75" bottom="0.75" header="0.5" footer="0.5"/>
  <pageSetup scale="5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topLeftCell="A11" workbookViewId="0">
      <selection activeCell="C12" sqref="C12"/>
    </sheetView>
  </sheetViews>
  <sheetFormatPr defaultColWidth="12.5546875" defaultRowHeight="15"/>
  <cols>
    <col min="1" max="1" width="40.109375" style="91" customWidth="1"/>
    <col min="2" max="2" width="3" style="91" customWidth="1"/>
    <col min="3" max="3" width="7.44140625" style="91" customWidth="1"/>
    <col min="4" max="4" width="3" style="91" customWidth="1"/>
    <col min="5" max="5" width="7.44140625" style="91" customWidth="1"/>
    <col min="6" max="6" width="3" style="91" customWidth="1"/>
    <col min="7" max="7" width="7.44140625" style="91" customWidth="1"/>
    <col min="8" max="8" width="3" style="91" customWidth="1"/>
    <col min="9" max="9" width="7.44140625" style="91" customWidth="1"/>
    <col min="10" max="10" width="3" style="91" customWidth="1"/>
    <col min="11" max="11" width="7.44140625" style="91" customWidth="1"/>
    <col min="12" max="12" width="3" style="91" customWidth="1"/>
    <col min="13" max="13" width="7.44140625" style="91" customWidth="1"/>
    <col min="14" max="14" width="3" style="91" customWidth="1"/>
    <col min="15" max="15" width="7.44140625" style="91" customWidth="1"/>
    <col min="16" max="16" width="3" style="91" customWidth="1"/>
    <col min="17" max="17" width="7.44140625" style="91" customWidth="1"/>
    <col min="18" max="18" width="3" style="91" customWidth="1"/>
    <col min="19" max="19" width="7.44140625" style="91" customWidth="1"/>
    <col min="20" max="20" width="3" style="91" customWidth="1"/>
    <col min="21" max="21" width="7.44140625" style="91" customWidth="1"/>
    <col min="22" max="22" width="3" style="91" customWidth="1"/>
    <col min="23" max="23" width="7.44140625" style="91" customWidth="1"/>
    <col min="24" max="24" width="3" style="91" customWidth="1"/>
    <col min="25" max="25" width="7.44140625" style="91" customWidth="1"/>
    <col min="26" max="26" width="3" style="91" customWidth="1"/>
    <col min="27" max="27" width="8.5546875" style="91" customWidth="1"/>
    <col min="28" max="16384" width="12.5546875" style="91"/>
  </cols>
  <sheetData>
    <row r="1" spans="1:27" ht="17.399999999999999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spans="1:27" ht="17.399999999999999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ht="17.399999999999999">
      <c r="A3" s="40" t="s">
        <v>24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17.399999999999999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spans="1:27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 s="92" customFormat="1" ht="13.8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1:27" s="92" customFormat="1" ht="13.8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7" s="92" customFormat="1" ht="13.8">
      <c r="A8" s="71"/>
      <c r="B8" s="72"/>
      <c r="C8" s="73" t="s">
        <v>176</v>
      </c>
      <c r="D8" s="73"/>
      <c r="E8" s="74"/>
      <c r="F8" s="73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s="226" customFormat="1" ht="13.2">
      <c r="A9" s="224"/>
      <c r="B9" s="224"/>
      <c r="C9" s="225" t="s">
        <v>26</v>
      </c>
      <c r="D9" s="225"/>
      <c r="E9" s="225" t="s">
        <v>27</v>
      </c>
      <c r="F9" s="225"/>
      <c r="G9" s="225" t="s">
        <v>28</v>
      </c>
      <c r="H9" s="225"/>
      <c r="I9" s="225" t="s">
        <v>29</v>
      </c>
      <c r="J9" s="225"/>
      <c r="K9" s="225" t="s">
        <v>30</v>
      </c>
      <c r="L9" s="225"/>
      <c r="M9" s="225" t="s">
        <v>31</v>
      </c>
      <c r="N9" s="225"/>
      <c r="O9" s="225" t="s">
        <v>32</v>
      </c>
      <c r="P9" s="225"/>
      <c r="Q9" s="225" t="s">
        <v>33</v>
      </c>
      <c r="R9" s="225"/>
      <c r="S9" s="225" t="s">
        <v>34</v>
      </c>
      <c r="T9" s="225"/>
      <c r="U9" s="225" t="s">
        <v>35</v>
      </c>
      <c r="V9" s="225"/>
      <c r="W9" s="225" t="s">
        <v>36</v>
      </c>
      <c r="X9" s="225"/>
      <c r="Y9" s="225" t="s">
        <v>37</v>
      </c>
      <c r="Z9" s="225"/>
      <c r="AA9" s="225" t="s">
        <v>38</v>
      </c>
    </row>
    <row r="10" spans="1:27" s="226" customFormat="1" ht="13.2">
      <c r="A10" s="227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</row>
    <row r="11" spans="1:27" s="226" customFormat="1" ht="13.2">
      <c r="A11" s="235" t="s">
        <v>193</v>
      </c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</row>
    <row r="12" spans="1:27" s="228" customFormat="1" ht="15" customHeight="1">
      <c r="A12" s="232" t="s">
        <v>39</v>
      </c>
      <c r="B12" s="79"/>
      <c r="C12" s="80">
        <v>0</v>
      </c>
      <c r="D12" s="80"/>
      <c r="E12" s="80">
        <v>0</v>
      </c>
      <c r="F12" s="80"/>
      <c r="G12" s="80">
        <v>0</v>
      </c>
      <c r="H12" s="80"/>
      <c r="I12" s="80">
        <v>0</v>
      </c>
      <c r="J12" s="80"/>
      <c r="K12" s="80">
        <v>0</v>
      </c>
      <c r="L12" s="80"/>
      <c r="M12" s="80">
        <v>0</v>
      </c>
      <c r="N12" s="80"/>
      <c r="O12" s="80">
        <v>0</v>
      </c>
      <c r="P12" s="80"/>
      <c r="Q12" s="80">
        <v>0</v>
      </c>
      <c r="R12" s="80"/>
      <c r="S12" s="80">
        <v>0</v>
      </c>
      <c r="T12" s="80"/>
      <c r="U12" s="80">
        <v>0</v>
      </c>
      <c r="V12" s="80"/>
      <c r="W12" s="80">
        <v>0</v>
      </c>
      <c r="X12" s="80"/>
      <c r="Y12" s="80">
        <v>0</v>
      </c>
      <c r="Z12" s="79"/>
      <c r="AA12" s="79">
        <f>SUM(C12:Y12)</f>
        <v>0</v>
      </c>
    </row>
    <row r="13" spans="1:27" s="228" customFormat="1" ht="15" customHeight="1">
      <c r="A13" s="232" t="s">
        <v>40</v>
      </c>
      <c r="B13" s="79"/>
      <c r="C13" s="80">
        <v>0</v>
      </c>
      <c r="D13" s="80"/>
      <c r="E13" s="80">
        <v>0</v>
      </c>
      <c r="F13" s="80"/>
      <c r="G13" s="80">
        <v>0</v>
      </c>
      <c r="H13" s="80"/>
      <c r="I13" s="80">
        <v>0</v>
      </c>
      <c r="J13" s="80"/>
      <c r="K13" s="80">
        <v>0</v>
      </c>
      <c r="L13" s="80"/>
      <c r="M13" s="80">
        <v>0</v>
      </c>
      <c r="N13" s="80"/>
      <c r="O13" s="80">
        <v>0</v>
      </c>
      <c r="P13" s="80"/>
      <c r="Q13" s="80">
        <v>0</v>
      </c>
      <c r="R13" s="80"/>
      <c r="S13" s="80">
        <v>0</v>
      </c>
      <c r="T13" s="80"/>
      <c r="U13" s="80">
        <v>0</v>
      </c>
      <c r="V13" s="80"/>
      <c r="W13" s="80">
        <v>0</v>
      </c>
      <c r="X13" s="80"/>
      <c r="Y13" s="80">
        <v>0</v>
      </c>
      <c r="Z13" s="79"/>
      <c r="AA13" s="79">
        <f t="shared" ref="AA13:AA22" si="0">SUM(C13:Y13)</f>
        <v>0</v>
      </c>
    </row>
    <row r="14" spans="1:27" s="228" customFormat="1" ht="15" customHeight="1">
      <c r="A14" s="232" t="s">
        <v>41</v>
      </c>
      <c r="B14" s="79"/>
      <c r="C14" s="80">
        <v>0</v>
      </c>
      <c r="D14" s="80"/>
      <c r="E14" s="80">
        <v>0</v>
      </c>
      <c r="F14" s="80"/>
      <c r="G14" s="80">
        <v>0</v>
      </c>
      <c r="H14" s="80"/>
      <c r="I14" s="80">
        <v>0</v>
      </c>
      <c r="J14" s="80"/>
      <c r="K14" s="80">
        <v>0</v>
      </c>
      <c r="L14" s="80"/>
      <c r="M14" s="80">
        <v>0</v>
      </c>
      <c r="N14" s="80"/>
      <c r="O14" s="80">
        <v>0</v>
      </c>
      <c r="P14" s="80"/>
      <c r="Q14" s="80">
        <v>0</v>
      </c>
      <c r="R14" s="80"/>
      <c r="S14" s="80">
        <v>0</v>
      </c>
      <c r="T14" s="80"/>
      <c r="U14" s="80">
        <v>0</v>
      </c>
      <c r="V14" s="80"/>
      <c r="W14" s="80">
        <v>0</v>
      </c>
      <c r="X14" s="80"/>
      <c r="Y14" s="80">
        <v>0</v>
      </c>
      <c r="Z14" s="79"/>
      <c r="AA14" s="79">
        <f t="shared" si="0"/>
        <v>0</v>
      </c>
    </row>
    <row r="15" spans="1:27" s="228" customFormat="1" ht="15" customHeight="1">
      <c r="A15" s="232" t="s">
        <v>42</v>
      </c>
      <c r="B15" s="79"/>
      <c r="C15" s="80">
        <v>0</v>
      </c>
      <c r="D15" s="80"/>
      <c r="E15" s="80">
        <v>0</v>
      </c>
      <c r="F15" s="80"/>
      <c r="G15" s="80">
        <v>0</v>
      </c>
      <c r="H15" s="80"/>
      <c r="I15" s="80">
        <v>0</v>
      </c>
      <c r="J15" s="80"/>
      <c r="K15" s="80">
        <v>0</v>
      </c>
      <c r="L15" s="80"/>
      <c r="M15" s="80">
        <v>0</v>
      </c>
      <c r="N15" s="80"/>
      <c r="O15" s="80">
        <v>0</v>
      </c>
      <c r="P15" s="80"/>
      <c r="Q15" s="80">
        <v>0</v>
      </c>
      <c r="R15" s="80"/>
      <c r="S15" s="80">
        <v>0</v>
      </c>
      <c r="T15" s="80"/>
      <c r="U15" s="80">
        <v>0</v>
      </c>
      <c r="V15" s="80"/>
      <c r="W15" s="80">
        <v>0</v>
      </c>
      <c r="X15" s="80"/>
      <c r="Y15" s="80">
        <v>0</v>
      </c>
      <c r="Z15" s="79"/>
      <c r="AA15" s="79">
        <f t="shared" si="0"/>
        <v>0</v>
      </c>
    </row>
    <row r="16" spans="1:27" s="228" customFormat="1" ht="15" customHeight="1">
      <c r="A16" s="232" t="s">
        <v>43</v>
      </c>
      <c r="B16" s="79"/>
      <c r="C16" s="80">
        <v>0</v>
      </c>
      <c r="D16" s="80"/>
      <c r="E16" s="80">
        <v>0</v>
      </c>
      <c r="F16" s="80"/>
      <c r="G16" s="80">
        <v>0</v>
      </c>
      <c r="H16" s="80"/>
      <c r="I16" s="80">
        <v>0</v>
      </c>
      <c r="J16" s="80"/>
      <c r="K16" s="80">
        <v>0</v>
      </c>
      <c r="L16" s="80"/>
      <c r="M16" s="80">
        <v>0</v>
      </c>
      <c r="N16" s="80"/>
      <c r="O16" s="80">
        <v>0</v>
      </c>
      <c r="P16" s="80"/>
      <c r="Q16" s="80">
        <v>0</v>
      </c>
      <c r="R16" s="80"/>
      <c r="S16" s="80">
        <v>0</v>
      </c>
      <c r="T16" s="80"/>
      <c r="U16" s="80">
        <v>0</v>
      </c>
      <c r="V16" s="80"/>
      <c r="W16" s="80">
        <v>0</v>
      </c>
      <c r="X16" s="80"/>
      <c r="Y16" s="80">
        <v>0</v>
      </c>
      <c r="Z16" s="79"/>
      <c r="AA16" s="79">
        <f t="shared" si="0"/>
        <v>0</v>
      </c>
    </row>
    <row r="17" spans="1:28" s="228" customFormat="1" ht="15" customHeight="1">
      <c r="A17" s="232" t="s">
        <v>44</v>
      </c>
      <c r="B17" s="79"/>
      <c r="C17" s="80">
        <v>0</v>
      </c>
      <c r="D17" s="80"/>
      <c r="E17" s="80">
        <v>0</v>
      </c>
      <c r="F17" s="80"/>
      <c r="G17" s="80">
        <v>0</v>
      </c>
      <c r="H17" s="80"/>
      <c r="I17" s="80">
        <v>0</v>
      </c>
      <c r="J17" s="80"/>
      <c r="K17" s="80">
        <v>0</v>
      </c>
      <c r="L17" s="80"/>
      <c r="M17" s="80">
        <v>0</v>
      </c>
      <c r="N17" s="80"/>
      <c r="O17" s="80">
        <v>0</v>
      </c>
      <c r="P17" s="80"/>
      <c r="Q17" s="80">
        <v>0</v>
      </c>
      <c r="R17" s="80"/>
      <c r="S17" s="80">
        <v>0</v>
      </c>
      <c r="T17" s="80"/>
      <c r="U17" s="80">
        <v>0</v>
      </c>
      <c r="V17" s="80"/>
      <c r="W17" s="80">
        <v>0</v>
      </c>
      <c r="X17" s="80"/>
      <c r="Y17" s="80">
        <v>0</v>
      </c>
      <c r="Z17" s="79"/>
      <c r="AA17" s="79">
        <f t="shared" si="0"/>
        <v>0</v>
      </c>
    </row>
    <row r="18" spans="1:28" s="228" customFormat="1" ht="15" customHeight="1">
      <c r="A18" s="232" t="s">
        <v>45</v>
      </c>
      <c r="B18" s="79"/>
      <c r="C18" s="80">
        <v>0</v>
      </c>
      <c r="D18" s="80"/>
      <c r="E18" s="80">
        <v>0</v>
      </c>
      <c r="F18" s="80"/>
      <c r="G18" s="80">
        <v>0</v>
      </c>
      <c r="H18" s="80"/>
      <c r="I18" s="80">
        <v>0</v>
      </c>
      <c r="J18" s="80"/>
      <c r="K18" s="80">
        <v>0</v>
      </c>
      <c r="L18" s="80"/>
      <c r="M18" s="80">
        <v>0</v>
      </c>
      <c r="N18" s="80"/>
      <c r="O18" s="80">
        <v>0</v>
      </c>
      <c r="P18" s="80"/>
      <c r="Q18" s="80">
        <v>0</v>
      </c>
      <c r="R18" s="80"/>
      <c r="S18" s="80">
        <v>0</v>
      </c>
      <c r="T18" s="80"/>
      <c r="U18" s="80">
        <v>0</v>
      </c>
      <c r="V18" s="80"/>
      <c r="W18" s="80">
        <v>0</v>
      </c>
      <c r="X18" s="80"/>
      <c r="Y18" s="80">
        <v>0</v>
      </c>
      <c r="Z18" s="79"/>
      <c r="AA18" s="79">
        <f t="shared" si="0"/>
        <v>0</v>
      </c>
    </row>
    <row r="19" spans="1:28" s="228" customFormat="1" ht="15" customHeight="1">
      <c r="A19" s="232" t="s">
        <v>46</v>
      </c>
      <c r="B19" s="79"/>
      <c r="C19" s="80">
        <v>0</v>
      </c>
      <c r="D19" s="80"/>
      <c r="E19" s="80">
        <v>0</v>
      </c>
      <c r="F19" s="80"/>
      <c r="G19" s="80">
        <v>0</v>
      </c>
      <c r="H19" s="80"/>
      <c r="I19" s="80">
        <v>0</v>
      </c>
      <c r="J19" s="80"/>
      <c r="K19" s="80">
        <v>0</v>
      </c>
      <c r="L19" s="80"/>
      <c r="M19" s="80">
        <v>0</v>
      </c>
      <c r="N19" s="80"/>
      <c r="O19" s="80">
        <v>0</v>
      </c>
      <c r="P19" s="80"/>
      <c r="Q19" s="80">
        <v>0</v>
      </c>
      <c r="R19" s="80"/>
      <c r="S19" s="80">
        <v>0</v>
      </c>
      <c r="T19" s="80"/>
      <c r="U19" s="80">
        <v>0</v>
      </c>
      <c r="V19" s="80"/>
      <c r="W19" s="80">
        <v>0</v>
      </c>
      <c r="X19" s="80"/>
      <c r="Y19" s="80">
        <v>0</v>
      </c>
      <c r="Z19" s="79"/>
      <c r="AA19" s="79">
        <f t="shared" si="0"/>
        <v>0</v>
      </c>
    </row>
    <row r="20" spans="1:28" s="228" customFormat="1" ht="15" customHeight="1">
      <c r="A20" s="249" t="s">
        <v>218</v>
      </c>
      <c r="B20" s="79"/>
      <c r="C20" s="80">
        <v>0</v>
      </c>
      <c r="D20" s="80"/>
      <c r="E20" s="80">
        <v>0</v>
      </c>
      <c r="F20" s="80"/>
      <c r="G20" s="80">
        <v>0</v>
      </c>
      <c r="H20" s="80"/>
      <c r="I20" s="80">
        <v>0</v>
      </c>
      <c r="J20" s="80"/>
      <c r="K20" s="80">
        <v>0</v>
      </c>
      <c r="L20" s="80"/>
      <c r="M20" s="80">
        <v>0</v>
      </c>
      <c r="N20" s="80"/>
      <c r="O20" s="80">
        <v>0</v>
      </c>
      <c r="P20" s="80"/>
      <c r="Q20" s="80">
        <v>0</v>
      </c>
      <c r="R20" s="80"/>
      <c r="S20" s="80">
        <v>0</v>
      </c>
      <c r="T20" s="80"/>
      <c r="U20" s="80">
        <v>0</v>
      </c>
      <c r="V20" s="80"/>
      <c r="W20" s="80">
        <v>0</v>
      </c>
      <c r="X20" s="80"/>
      <c r="Y20" s="80">
        <v>0</v>
      </c>
      <c r="Z20" s="79"/>
      <c r="AA20" s="79">
        <f>SUM(C20:Y20)</f>
        <v>0</v>
      </c>
    </row>
    <row r="21" spans="1:28" s="228" customFormat="1" ht="5.0999999999999996" customHeight="1">
      <c r="A21" s="249"/>
      <c r="B21" s="79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79"/>
      <c r="AA21" s="79"/>
    </row>
    <row r="22" spans="1:28" s="228" customFormat="1" ht="15" customHeight="1">
      <c r="A22" s="273" t="s">
        <v>47</v>
      </c>
      <c r="B22" s="265"/>
      <c r="C22" s="265">
        <f>+C24-SUM(C11:C21)</f>
        <v>-1.4</v>
      </c>
      <c r="D22" s="80"/>
      <c r="E22" s="265">
        <f>+E24-SUM(E11:E21)</f>
        <v>-5.3</v>
      </c>
      <c r="F22" s="80"/>
      <c r="G22" s="265">
        <f>+G24-SUM(G11:G21)</f>
        <v>-15.5</v>
      </c>
      <c r="H22" s="80"/>
      <c r="I22" s="265">
        <f>+I24-SUM(I11:I21)</f>
        <v>-3.3</v>
      </c>
      <c r="J22" s="80"/>
      <c r="K22" s="265">
        <f>+K24-SUM(K11:K21)</f>
        <v>-7</v>
      </c>
      <c r="L22" s="80"/>
      <c r="M22" s="265">
        <f>+M24-SUM(M11:M21)</f>
        <v>-10.600000000000003</v>
      </c>
      <c r="N22" s="80"/>
      <c r="O22" s="265">
        <f>+O24-SUM(O11:O21)</f>
        <v>27.300000000000004</v>
      </c>
      <c r="P22" s="80"/>
      <c r="Q22" s="265">
        <f>+Q24-SUM(Q11:Q21)</f>
        <v>21</v>
      </c>
      <c r="R22" s="80"/>
      <c r="S22" s="265">
        <f>+S24-SUM(S11:S21)</f>
        <v>20.400000000000002</v>
      </c>
      <c r="T22" s="80"/>
      <c r="U22" s="265">
        <f>+U24-SUM(U11:U21)</f>
        <v>-0.6000000000000002</v>
      </c>
      <c r="V22" s="80"/>
      <c r="W22" s="265">
        <f>+W24-SUM(W11:W21)</f>
        <v>-3.1999999999999997</v>
      </c>
      <c r="X22" s="80"/>
      <c r="Y22" s="265">
        <f>+Y24-SUM(Y11:Y21)</f>
        <v>-3.0999999999999996</v>
      </c>
      <c r="Z22" s="79"/>
      <c r="AA22" s="79">
        <f t="shared" si="0"/>
        <v>18.700000000000003</v>
      </c>
    </row>
    <row r="23" spans="1:28" s="228" customFormat="1" ht="5.0999999999999996" customHeight="1">
      <c r="A23" s="233"/>
      <c r="B23" s="83"/>
      <c r="C23" s="82"/>
      <c r="D23" s="83"/>
      <c r="E23" s="82"/>
      <c r="F23" s="83"/>
      <c r="G23" s="82"/>
      <c r="H23" s="83"/>
      <c r="I23" s="82"/>
      <c r="J23" s="83"/>
      <c r="K23" s="82"/>
      <c r="L23" s="83"/>
      <c r="M23" s="82"/>
      <c r="N23" s="83"/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82"/>
      <c r="Z23" s="83"/>
      <c r="AA23" s="82"/>
    </row>
    <row r="24" spans="1:28" s="228" customFormat="1" ht="13.8" thickBot="1">
      <c r="A24" s="234" t="s">
        <v>222</v>
      </c>
      <c r="B24" s="86"/>
      <c r="C24" s="272">
        <f>+Format!D71</f>
        <v>-1.4</v>
      </c>
      <c r="D24" s="87"/>
      <c r="E24" s="272">
        <f>+Format!F71</f>
        <v>-5.3</v>
      </c>
      <c r="F24" s="87"/>
      <c r="G24" s="272">
        <f>+Format!H71</f>
        <v>-15.5</v>
      </c>
      <c r="H24" s="87"/>
      <c r="I24" s="272">
        <f>+Format!J71</f>
        <v>-3.3</v>
      </c>
      <c r="J24" s="87"/>
      <c r="K24" s="272">
        <f>+Format!L71</f>
        <v>-7</v>
      </c>
      <c r="L24" s="87"/>
      <c r="M24" s="272">
        <f>+Format!N71</f>
        <v>-10.600000000000003</v>
      </c>
      <c r="N24" s="87"/>
      <c r="O24" s="272">
        <f>+Format!P71</f>
        <v>27.300000000000004</v>
      </c>
      <c r="P24" s="87"/>
      <c r="Q24" s="272">
        <f>+Format!R71</f>
        <v>21</v>
      </c>
      <c r="R24" s="87"/>
      <c r="S24" s="272">
        <f>+Format!T71</f>
        <v>20.400000000000002</v>
      </c>
      <c r="T24" s="87"/>
      <c r="U24" s="272">
        <f>+Format!V71</f>
        <v>-0.6000000000000002</v>
      </c>
      <c r="V24" s="87"/>
      <c r="W24" s="272">
        <f>+Format!X71</f>
        <v>-3.1999999999999997</v>
      </c>
      <c r="X24" s="87"/>
      <c r="Y24" s="272">
        <f>+Format!Z71</f>
        <v>-3.0999999999999996</v>
      </c>
      <c r="Z24" s="87"/>
      <c r="AA24" s="85">
        <f>SUM(AA12:AA22)</f>
        <v>18.700000000000003</v>
      </c>
    </row>
    <row r="25" spans="1:28" s="226" customFormat="1" ht="13.8" thickTop="1">
      <c r="A25" s="229"/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1"/>
    </row>
    <row r="26" spans="1:28" s="226" customFormat="1" ht="13.2">
      <c r="A26" s="229"/>
      <c r="B26" s="230"/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1"/>
    </row>
    <row r="27" spans="1:28">
      <c r="A27" s="67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9"/>
    </row>
    <row r="28" spans="1:28">
      <c r="A28" s="67" t="s">
        <v>277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9"/>
    </row>
    <row r="29" spans="1:28">
      <c r="A29" s="67" t="s">
        <v>278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9"/>
    </row>
    <row r="30" spans="1:28">
      <c r="A30" s="6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9"/>
    </row>
    <row r="31" spans="1:28">
      <c r="A31" s="6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9"/>
    </row>
    <row r="32" spans="1:28">
      <c r="A32" s="6" t="str">
        <f ca="1">CELL("filename",A1)</f>
        <v>G:\MRO\MRO\Aug01\[3rd quarter curr est.xls]PRMA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89"/>
    </row>
    <row r="33" spans="1:28">
      <c r="A33" s="7">
        <f ca="1">NOW()</f>
        <v>37151.667196296294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</sheetData>
  <printOptions horizontalCentered="1"/>
  <pageMargins left="0.5" right="0.5" top="0.75" bottom="0.75" header="0.5" footer="0.5"/>
  <pageSetup scale="7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X115" sqref="X115"/>
      <selection pane="topRight" activeCell="X115" sqref="X115"/>
      <selection pane="bottomLeft" activeCell="X115" sqref="X115"/>
      <selection pane="bottomRight" activeCell="C8" sqref="C8"/>
    </sheetView>
  </sheetViews>
  <sheetFormatPr defaultColWidth="6.5546875" defaultRowHeight="13.2"/>
  <cols>
    <col min="1" max="1" width="5.6640625" style="148" customWidth="1"/>
    <col min="2" max="2" width="40.109375" style="148" customWidth="1"/>
    <col min="3" max="3" width="12.6640625" style="148" customWidth="1"/>
    <col min="4" max="4" width="3.6640625" style="148" customWidth="1"/>
    <col min="5" max="5" width="12.6640625" style="148" customWidth="1"/>
    <col min="6" max="6" width="1.6640625" style="148" customWidth="1"/>
    <col min="7" max="7" width="12.6640625" style="148" customWidth="1"/>
    <col min="8" max="8" width="1.6640625" style="148" customWidth="1"/>
    <col min="9" max="9" width="12.6640625" style="148" customWidth="1"/>
    <col min="10" max="10" width="1.6640625" style="148" customWidth="1"/>
    <col min="11" max="11" width="12.6640625" style="148" customWidth="1"/>
    <col min="12" max="12" width="1.6640625" style="148" customWidth="1"/>
    <col min="13" max="13" width="12.6640625" style="148" customWidth="1"/>
    <col min="14" max="14" width="1.6640625" style="148" customWidth="1"/>
    <col min="15" max="15" width="12.6640625" style="148" customWidth="1"/>
    <col min="16" max="16" width="1.6640625" style="148" customWidth="1"/>
    <col min="17" max="17" width="12.6640625" style="148" customWidth="1"/>
    <col min="18" max="18" width="1.6640625" style="148" customWidth="1"/>
    <col min="19" max="19" width="12.6640625" style="148" customWidth="1"/>
    <col min="20" max="20" width="1.6640625" style="148" customWidth="1"/>
    <col min="21" max="21" width="12.6640625" style="148" customWidth="1"/>
    <col min="22" max="22" width="1.6640625" style="148" customWidth="1"/>
    <col min="23" max="23" width="12.6640625" style="148" customWidth="1"/>
    <col min="24" max="24" width="1.6640625" style="148" customWidth="1"/>
    <col min="25" max="25" width="12.6640625" style="148" customWidth="1"/>
    <col min="26" max="26" width="1.6640625" style="148" customWidth="1"/>
    <col min="27" max="27" width="12.6640625" style="148" customWidth="1"/>
    <col min="28" max="28" width="1.6640625" style="148" customWidth="1"/>
    <col min="29" max="29" width="12.6640625" style="148" customWidth="1"/>
    <col min="30" max="30" width="3.6640625" style="148" customWidth="1"/>
    <col min="31" max="16384" width="6.5546875" style="148"/>
  </cols>
  <sheetData>
    <row r="1" spans="1:30" s="146" customFormat="1" ht="15.75" customHeight="1">
      <c r="A1" s="63" t="str">
        <f>+QtrComp_vs_PY!A1</f>
        <v>PORTLAND GENERAL GROUP</v>
      </c>
      <c r="B1" s="121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3"/>
      <c r="AB1" s="122"/>
      <c r="AC1" s="123"/>
      <c r="AD1" s="123"/>
    </row>
    <row r="2" spans="1:30" s="147" customFormat="1" ht="15.75" customHeight="1">
      <c r="A2" s="63" t="str">
        <f>+QtrComp_vs_PY!A2</f>
        <v>2001 CURRENT ESTIMATE - AUGUST</v>
      </c>
      <c r="B2" s="121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5"/>
      <c r="AB2" s="124"/>
      <c r="AC2" s="125"/>
      <c r="AD2" s="125"/>
    </row>
    <row r="3" spans="1:30" s="146" customFormat="1" ht="12.75" customHeight="1">
      <c r="A3" s="126" t="s">
        <v>236</v>
      </c>
      <c r="B3" s="126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</row>
    <row r="4" spans="1:30">
      <c r="A4" s="127" t="s">
        <v>56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8"/>
      <c r="AB4" s="127"/>
      <c r="AC4" s="128"/>
      <c r="AD4" s="127"/>
    </row>
    <row r="5" spans="1:30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9"/>
      <c r="AB5" s="127"/>
      <c r="AC5" s="129"/>
      <c r="AD5" s="130"/>
    </row>
    <row r="6" spans="1:30" s="149" customFormat="1" ht="13.8" thickBot="1">
      <c r="A6" s="131"/>
      <c r="B6" s="131"/>
      <c r="C6" s="170" t="s">
        <v>90</v>
      </c>
      <c r="D6" s="132"/>
      <c r="E6" s="170" t="s">
        <v>91</v>
      </c>
      <c r="F6" s="132"/>
      <c r="G6" s="170" t="s">
        <v>92</v>
      </c>
      <c r="H6" s="132"/>
      <c r="I6" s="170" t="s">
        <v>93</v>
      </c>
      <c r="J6" s="132"/>
      <c r="K6" s="170" t="s">
        <v>94</v>
      </c>
      <c r="L6" s="132"/>
      <c r="M6" s="170" t="s">
        <v>95</v>
      </c>
      <c r="N6" s="132"/>
      <c r="O6" s="170" t="s">
        <v>96</v>
      </c>
      <c r="P6" s="132"/>
      <c r="Q6" s="170" t="s">
        <v>97</v>
      </c>
      <c r="R6" s="132"/>
      <c r="S6" s="170" t="s">
        <v>98</v>
      </c>
      <c r="T6" s="132"/>
      <c r="U6" s="170" t="s">
        <v>99</v>
      </c>
      <c r="V6" s="132"/>
      <c r="W6" s="170" t="s">
        <v>100</v>
      </c>
      <c r="X6" s="132"/>
      <c r="Y6" s="170" t="s">
        <v>101</v>
      </c>
      <c r="Z6" s="132"/>
      <c r="AA6" s="171" t="s">
        <v>102</v>
      </c>
      <c r="AB6" s="134"/>
      <c r="AC6" s="133" t="s">
        <v>103</v>
      </c>
      <c r="AD6" s="134"/>
    </row>
    <row r="7" spans="1:30" ht="13.8" thickTop="1">
      <c r="A7" s="127"/>
      <c r="B7" s="127"/>
      <c r="C7" s="135"/>
      <c r="D7" s="135"/>
      <c r="E7" s="135" t="s">
        <v>57</v>
      </c>
      <c r="F7" s="135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7"/>
      <c r="X7" s="137"/>
      <c r="Y7" s="136"/>
      <c r="Z7" s="138"/>
      <c r="AA7" s="130"/>
      <c r="AB7" s="138"/>
      <c r="AC7" s="130"/>
      <c r="AD7" s="130"/>
    </row>
    <row r="8" spans="1:30">
      <c r="A8" s="144" t="s">
        <v>197</v>
      </c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</row>
    <row r="9" spans="1:30" s="145" customFormat="1">
      <c r="A9" s="236"/>
      <c r="B9" s="145" t="s">
        <v>10</v>
      </c>
      <c r="C9" s="145">
        <v>0</v>
      </c>
      <c r="E9" s="145">
        <v>0</v>
      </c>
      <c r="G9" s="145">
        <f>+E9</f>
        <v>0</v>
      </c>
      <c r="I9" s="145">
        <f>+G9</f>
        <v>0</v>
      </c>
      <c r="K9" s="145">
        <f>+I9</f>
        <v>0</v>
      </c>
      <c r="M9" s="145">
        <f>+K9</f>
        <v>0</v>
      </c>
      <c r="O9" s="145">
        <f>+M9</f>
        <v>0</v>
      </c>
      <c r="Q9" s="145">
        <f>+O9</f>
        <v>0</v>
      </c>
      <c r="S9" s="145">
        <f>+Q9</f>
        <v>0</v>
      </c>
      <c r="U9" s="145">
        <v>0</v>
      </c>
      <c r="W9" s="145">
        <f>+U9</f>
        <v>0</v>
      </c>
      <c r="Y9" s="145">
        <f>+W9</f>
        <v>0</v>
      </c>
      <c r="Z9" s="148"/>
      <c r="AA9" s="145">
        <f>+Y9</f>
        <v>0</v>
      </c>
    </row>
    <row r="10" spans="1:30" s="145" customFormat="1">
      <c r="A10" s="236"/>
      <c r="B10" s="145" t="s">
        <v>10</v>
      </c>
      <c r="C10" s="145">
        <v>0</v>
      </c>
      <c r="E10" s="145">
        <v>0</v>
      </c>
      <c r="G10" s="145">
        <f>+E10</f>
        <v>0</v>
      </c>
      <c r="I10" s="145">
        <f>+G10</f>
        <v>0</v>
      </c>
      <c r="K10" s="145">
        <f>+I10</f>
        <v>0</v>
      </c>
      <c r="M10" s="145">
        <f>+K10</f>
        <v>0</v>
      </c>
      <c r="O10" s="145">
        <f>+M10</f>
        <v>0</v>
      </c>
      <c r="Q10" s="145">
        <f>+O10</f>
        <v>0</v>
      </c>
      <c r="S10" s="145">
        <f>+Q10</f>
        <v>0</v>
      </c>
      <c r="U10" s="145">
        <f>+S10</f>
        <v>0</v>
      </c>
      <c r="W10" s="145">
        <f>+U10</f>
        <v>0</v>
      </c>
      <c r="Y10" s="145">
        <f>+W10</f>
        <v>0</v>
      </c>
      <c r="Z10" s="148"/>
      <c r="AA10" s="145">
        <f>+Y10</f>
        <v>0</v>
      </c>
    </row>
    <row r="11" spans="1:30" s="145" customFormat="1">
      <c r="A11" s="236"/>
      <c r="B11" s="145" t="s">
        <v>10</v>
      </c>
      <c r="E11" s="145">
        <v>0</v>
      </c>
      <c r="G11" s="145">
        <f>+E11</f>
        <v>0</v>
      </c>
      <c r="I11" s="145">
        <f>+G11</f>
        <v>0</v>
      </c>
      <c r="K11" s="145">
        <f>+I11</f>
        <v>0</v>
      </c>
      <c r="M11" s="145">
        <f>+K11</f>
        <v>0</v>
      </c>
      <c r="O11" s="145">
        <f>+M11</f>
        <v>0</v>
      </c>
      <c r="Q11" s="145">
        <f>+O11</f>
        <v>0</v>
      </c>
      <c r="S11" s="145">
        <f>+Q11</f>
        <v>0</v>
      </c>
      <c r="U11" s="145">
        <f>+S11</f>
        <v>0</v>
      </c>
      <c r="W11" s="145">
        <f>+U11</f>
        <v>0</v>
      </c>
      <c r="Y11" s="145">
        <f>+W11</f>
        <v>0</v>
      </c>
      <c r="Z11" s="148"/>
      <c r="AA11" s="145">
        <f>+Y11</f>
        <v>0</v>
      </c>
    </row>
    <row r="12" spans="1:30" s="145" customFormat="1">
      <c r="A12" s="236"/>
      <c r="B12" s="145" t="s">
        <v>10</v>
      </c>
      <c r="E12" s="145">
        <v>0</v>
      </c>
      <c r="G12" s="145">
        <f>+E12</f>
        <v>0</v>
      </c>
      <c r="I12" s="145">
        <f>+G12</f>
        <v>0</v>
      </c>
      <c r="K12" s="145">
        <f>+I12</f>
        <v>0</v>
      </c>
      <c r="M12" s="145">
        <f>+K12</f>
        <v>0</v>
      </c>
      <c r="O12" s="145">
        <f>+M12</f>
        <v>0</v>
      </c>
      <c r="Q12" s="145">
        <f>+O12</f>
        <v>0</v>
      </c>
      <c r="S12" s="145">
        <f>+Q12</f>
        <v>0</v>
      </c>
      <c r="U12" s="145">
        <f>+S12</f>
        <v>0</v>
      </c>
      <c r="W12" s="145">
        <f>+U12</f>
        <v>0</v>
      </c>
      <c r="Y12" s="145">
        <f>+W12</f>
        <v>0</v>
      </c>
      <c r="Z12" s="148"/>
      <c r="AA12" s="145">
        <f>+Y12</f>
        <v>0</v>
      </c>
    </row>
    <row r="13" spans="1:30" s="145" customFormat="1">
      <c r="A13" s="236"/>
      <c r="B13" s="145" t="s">
        <v>10</v>
      </c>
      <c r="C13" s="145">
        <v>0</v>
      </c>
      <c r="E13" s="145">
        <v>0</v>
      </c>
      <c r="G13" s="145">
        <v>0</v>
      </c>
      <c r="I13" s="145">
        <v>0</v>
      </c>
      <c r="K13" s="145">
        <v>0</v>
      </c>
      <c r="M13" s="145">
        <v>0</v>
      </c>
      <c r="O13" s="145">
        <v>0</v>
      </c>
      <c r="Q13" s="145">
        <v>0</v>
      </c>
      <c r="S13" s="145">
        <v>0</v>
      </c>
      <c r="U13" s="145">
        <v>0</v>
      </c>
      <c r="W13" s="145">
        <v>0</v>
      </c>
      <c r="Y13" s="145">
        <v>0</v>
      </c>
      <c r="Z13" s="148"/>
      <c r="AA13" s="145">
        <v>0</v>
      </c>
    </row>
    <row r="14" spans="1:30" s="237" customFormat="1">
      <c r="B14" s="166" t="s">
        <v>199</v>
      </c>
      <c r="C14" s="169">
        <f>SUM(C9:C13)</f>
        <v>0</v>
      </c>
      <c r="D14" s="141"/>
      <c r="E14" s="169">
        <f>SUM(E9:E13)</f>
        <v>0</v>
      </c>
      <c r="F14" s="141"/>
      <c r="G14" s="169">
        <f>SUM(G9:G13)</f>
        <v>0</v>
      </c>
      <c r="H14" s="141"/>
      <c r="I14" s="169">
        <f>SUM(I9:I13)</f>
        <v>0</v>
      </c>
      <c r="J14" s="141"/>
      <c r="K14" s="169">
        <f>SUM(K9:K13)</f>
        <v>0</v>
      </c>
      <c r="L14" s="141"/>
      <c r="M14" s="169">
        <f>SUM(M9:M13)</f>
        <v>0</v>
      </c>
      <c r="N14" s="141"/>
      <c r="O14" s="169">
        <f>SUM(O9:O13)</f>
        <v>0</v>
      </c>
      <c r="P14" s="141"/>
      <c r="Q14" s="169">
        <f>SUM(Q9:Q13)</f>
        <v>0</v>
      </c>
      <c r="R14" s="141"/>
      <c r="S14" s="169">
        <f>SUM(S9:S13)</f>
        <v>0</v>
      </c>
      <c r="T14" s="141"/>
      <c r="U14" s="169">
        <f>SUM(U9:U13)</f>
        <v>0</v>
      </c>
      <c r="V14" s="141"/>
      <c r="W14" s="169">
        <f>SUM(W9:W13)</f>
        <v>0</v>
      </c>
      <c r="X14" s="141"/>
      <c r="Y14" s="169">
        <f>SUM(Y9:Y13)</f>
        <v>0</v>
      </c>
      <c r="Z14" s="141"/>
      <c r="AA14" s="169">
        <f>SUM(AA9:AA13)</f>
        <v>0</v>
      </c>
      <c r="AB14" s="141"/>
      <c r="AD14" s="141"/>
    </row>
    <row r="16" spans="1:30" s="145" customFormat="1">
      <c r="A16" s="238" t="s">
        <v>198</v>
      </c>
    </row>
    <row r="17" spans="1:30" s="145" customFormat="1">
      <c r="A17" s="236"/>
      <c r="B17" s="145" t="s">
        <v>10</v>
      </c>
      <c r="E17" s="145">
        <v>0</v>
      </c>
      <c r="G17" s="145">
        <v>0</v>
      </c>
      <c r="I17" s="145">
        <v>0</v>
      </c>
      <c r="K17" s="145">
        <v>0</v>
      </c>
      <c r="M17" s="145">
        <v>0</v>
      </c>
      <c r="O17" s="145">
        <v>0</v>
      </c>
      <c r="Q17" s="145">
        <v>0</v>
      </c>
      <c r="S17" s="145">
        <v>0</v>
      </c>
      <c r="U17" s="145">
        <v>0</v>
      </c>
      <c r="W17" s="145">
        <v>0</v>
      </c>
      <c r="Y17" s="145">
        <v>0</v>
      </c>
      <c r="Z17" s="148"/>
      <c r="AA17" s="145">
        <v>0</v>
      </c>
      <c r="AB17" s="148"/>
      <c r="AC17" s="145">
        <f>SUM(E17:AA17)</f>
        <v>0</v>
      </c>
    </row>
    <row r="18" spans="1:30" s="145" customFormat="1">
      <c r="A18" s="236"/>
      <c r="B18" s="145" t="s">
        <v>10</v>
      </c>
      <c r="E18" s="145">
        <v>0</v>
      </c>
      <c r="G18" s="145">
        <v>0</v>
      </c>
      <c r="I18" s="145">
        <v>0</v>
      </c>
      <c r="K18" s="145">
        <v>0</v>
      </c>
      <c r="M18" s="145">
        <v>0</v>
      </c>
      <c r="O18" s="145">
        <v>0</v>
      </c>
      <c r="Q18" s="145">
        <v>0</v>
      </c>
      <c r="S18" s="145">
        <v>0</v>
      </c>
      <c r="U18" s="145">
        <v>0</v>
      </c>
      <c r="W18" s="145">
        <v>0</v>
      </c>
      <c r="Y18" s="145">
        <v>0</v>
      </c>
      <c r="Z18" s="148"/>
      <c r="AA18" s="145">
        <v>0</v>
      </c>
      <c r="AB18" s="148"/>
      <c r="AC18" s="145">
        <f>SUM(E18:AA18)</f>
        <v>0</v>
      </c>
    </row>
    <row r="19" spans="1:30" s="145" customFormat="1">
      <c r="A19" s="236"/>
      <c r="B19" s="145" t="s">
        <v>10</v>
      </c>
      <c r="E19" s="145">
        <v>0</v>
      </c>
      <c r="G19" s="145">
        <v>0</v>
      </c>
      <c r="I19" s="145">
        <v>0</v>
      </c>
      <c r="K19" s="145">
        <v>0</v>
      </c>
      <c r="M19" s="145">
        <v>0</v>
      </c>
      <c r="O19" s="145">
        <v>0</v>
      </c>
      <c r="Q19" s="145">
        <v>0</v>
      </c>
      <c r="S19" s="145">
        <v>0</v>
      </c>
      <c r="U19" s="145">
        <v>0</v>
      </c>
      <c r="W19" s="145">
        <v>0</v>
      </c>
      <c r="Y19" s="145">
        <v>0</v>
      </c>
      <c r="Z19" s="148"/>
      <c r="AA19" s="145">
        <v>0</v>
      </c>
      <c r="AB19" s="148"/>
      <c r="AC19" s="145">
        <f>SUM(E19:AA19)</f>
        <v>0</v>
      </c>
    </row>
    <row r="20" spans="1:30" s="145" customFormat="1">
      <c r="A20" s="236"/>
      <c r="B20" s="145" t="s">
        <v>10</v>
      </c>
      <c r="E20" s="145">
        <v>0</v>
      </c>
      <c r="G20" s="145">
        <v>0</v>
      </c>
      <c r="I20" s="145">
        <v>0</v>
      </c>
      <c r="K20" s="145">
        <v>0</v>
      </c>
      <c r="M20" s="145">
        <v>0</v>
      </c>
      <c r="O20" s="145">
        <v>0</v>
      </c>
      <c r="Q20" s="145">
        <v>0</v>
      </c>
      <c r="S20" s="145">
        <v>0</v>
      </c>
      <c r="U20" s="145">
        <v>0</v>
      </c>
      <c r="W20" s="145">
        <v>0</v>
      </c>
      <c r="Y20" s="145">
        <v>0</v>
      </c>
      <c r="Z20" s="148"/>
      <c r="AA20" s="145">
        <v>0</v>
      </c>
      <c r="AB20" s="148"/>
      <c r="AC20" s="145">
        <f>SUM(E20:AA20)</f>
        <v>0</v>
      </c>
    </row>
    <row r="21" spans="1:30" s="145" customFormat="1">
      <c r="A21" s="236"/>
      <c r="B21" s="145" t="s">
        <v>10</v>
      </c>
      <c r="E21" s="145">
        <v>0</v>
      </c>
      <c r="G21" s="145">
        <v>0</v>
      </c>
      <c r="I21" s="145">
        <v>0</v>
      </c>
      <c r="K21" s="145">
        <v>0</v>
      </c>
      <c r="M21" s="145">
        <v>0</v>
      </c>
      <c r="O21" s="145">
        <v>0</v>
      </c>
      <c r="Q21" s="145">
        <v>0</v>
      </c>
      <c r="S21" s="145">
        <v>0</v>
      </c>
      <c r="U21" s="145">
        <v>0</v>
      </c>
      <c r="W21" s="145">
        <v>0</v>
      </c>
      <c r="Y21" s="145">
        <v>0</v>
      </c>
      <c r="Z21" s="148"/>
      <c r="AA21" s="145">
        <v>0</v>
      </c>
      <c r="AB21" s="148"/>
      <c r="AC21" s="145">
        <f>SUM(E21:AA21)</f>
        <v>0</v>
      </c>
    </row>
    <row r="22" spans="1:30" s="237" customFormat="1">
      <c r="B22" s="166" t="s">
        <v>203</v>
      </c>
      <c r="C22" s="145"/>
      <c r="D22" s="141"/>
      <c r="E22" s="169">
        <f>SUM(E17:E21)</f>
        <v>0</v>
      </c>
      <c r="F22" s="141"/>
      <c r="G22" s="169">
        <f>SUM(G17:G21)</f>
        <v>0</v>
      </c>
      <c r="H22" s="141"/>
      <c r="I22" s="169">
        <f>SUM(I17:I21)</f>
        <v>0</v>
      </c>
      <c r="J22" s="141"/>
      <c r="K22" s="169">
        <f>SUM(K17:K21)</f>
        <v>0</v>
      </c>
      <c r="L22" s="141"/>
      <c r="M22" s="169">
        <f>SUM(M17:M21)</f>
        <v>0</v>
      </c>
      <c r="N22" s="141"/>
      <c r="O22" s="169">
        <f>SUM(O17:O21)</f>
        <v>0</v>
      </c>
      <c r="P22" s="141"/>
      <c r="Q22" s="169">
        <f>SUM(Q17:Q21)</f>
        <v>0</v>
      </c>
      <c r="R22" s="141"/>
      <c r="S22" s="169">
        <f>SUM(S17:S21)</f>
        <v>0</v>
      </c>
      <c r="T22" s="141"/>
      <c r="U22" s="169">
        <f>SUM(U17:U21)</f>
        <v>0</v>
      </c>
      <c r="V22" s="141"/>
      <c r="W22" s="169">
        <f>SUM(W17:W21)</f>
        <v>0</v>
      </c>
      <c r="X22" s="141"/>
      <c r="Y22" s="169">
        <f>SUM(Y17:Y21)</f>
        <v>0</v>
      </c>
      <c r="Z22" s="141"/>
      <c r="AA22" s="169">
        <f>SUM(AA17:AA21)</f>
        <v>0</v>
      </c>
      <c r="AB22" s="141"/>
      <c r="AC22" s="169">
        <f>SUM(AC17:AC21)</f>
        <v>0</v>
      </c>
      <c r="AD22" s="141"/>
    </row>
    <row r="23" spans="1:30" s="145" customFormat="1">
      <c r="C23" s="237"/>
    </row>
    <row r="24" spans="1:30" s="145" customFormat="1"/>
  </sheetData>
  <printOptions horizontalCentered="1"/>
  <pageMargins left="0.5" right="0.5" top="0.75" bottom="0.75" header="0.5" footer="0.5"/>
  <pageSetup scale="5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23" workbookViewId="0">
      <selection activeCell="A44" sqref="A44"/>
    </sheetView>
  </sheetViews>
  <sheetFormatPr defaultColWidth="12.5546875" defaultRowHeight="15"/>
  <cols>
    <col min="1" max="1" width="40.109375" style="91" customWidth="1"/>
    <col min="2" max="2" width="3" style="91" customWidth="1"/>
    <col min="3" max="3" width="7.44140625" style="91" customWidth="1"/>
    <col min="4" max="4" width="3" style="91" customWidth="1"/>
    <col min="5" max="5" width="7.44140625" style="91" customWidth="1"/>
    <col min="6" max="6" width="3" style="91" customWidth="1"/>
    <col min="7" max="7" width="7.44140625" style="91" customWidth="1"/>
    <col min="8" max="8" width="3" style="91" customWidth="1"/>
    <col min="9" max="9" width="7.44140625" style="91" customWidth="1"/>
    <col min="10" max="10" width="3" style="91" customWidth="1"/>
    <col min="11" max="11" width="7.44140625" style="91" customWidth="1"/>
    <col min="12" max="12" width="3" style="91" customWidth="1"/>
    <col min="13" max="13" width="7.44140625" style="91" customWidth="1"/>
    <col min="14" max="14" width="3" style="91" customWidth="1"/>
    <col min="15" max="15" width="7.44140625" style="91" customWidth="1"/>
    <col min="16" max="16" width="3" style="91" customWidth="1"/>
    <col min="17" max="17" width="7.44140625" style="91" customWidth="1"/>
    <col min="18" max="18" width="3" style="91" customWidth="1"/>
    <col min="19" max="19" width="7.44140625" style="91" customWidth="1"/>
    <col min="20" max="20" width="3" style="91" customWidth="1"/>
    <col min="21" max="21" width="7.44140625" style="91" customWidth="1"/>
    <col min="22" max="22" width="3" style="91" customWidth="1"/>
    <col min="23" max="23" width="7.44140625" style="91" customWidth="1"/>
    <col min="24" max="24" width="3" style="91" customWidth="1"/>
    <col min="25" max="25" width="7.44140625" style="91" customWidth="1"/>
    <col min="26" max="26" width="3" style="91" customWidth="1"/>
    <col min="27" max="27" width="8.5546875" style="91" customWidth="1"/>
    <col min="28" max="16384" width="12.5546875" style="91"/>
  </cols>
  <sheetData>
    <row r="1" spans="1:27" ht="17.399999999999999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</row>
    <row r="2" spans="1:27" ht="17.399999999999999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ht="17.399999999999999">
      <c r="A3" s="40" t="s">
        <v>48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17.399999999999999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spans="1:27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 s="92" customFormat="1" ht="13.8">
      <c r="A6" s="71"/>
      <c r="B6" s="72"/>
      <c r="C6" s="73" t="s">
        <v>104</v>
      </c>
      <c r="D6" s="73"/>
      <c r="E6" s="74"/>
      <c r="F6" s="73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 s="92" customFormat="1" ht="13.8">
      <c r="A7" s="75"/>
      <c r="B7" s="75"/>
      <c r="C7" s="76" t="s">
        <v>26</v>
      </c>
      <c r="D7" s="76"/>
      <c r="E7" s="76" t="s">
        <v>27</v>
      </c>
      <c r="F7" s="76"/>
      <c r="G7" s="76" t="s">
        <v>28</v>
      </c>
      <c r="H7" s="76"/>
      <c r="I7" s="76" t="s">
        <v>29</v>
      </c>
      <c r="J7" s="76"/>
      <c r="K7" s="76" t="s">
        <v>30</v>
      </c>
      <c r="L7" s="76"/>
      <c r="M7" s="76" t="s">
        <v>31</v>
      </c>
      <c r="N7" s="76"/>
      <c r="O7" s="76" t="s">
        <v>32</v>
      </c>
      <c r="P7" s="76"/>
      <c r="Q7" s="76" t="s">
        <v>33</v>
      </c>
      <c r="R7" s="76"/>
      <c r="S7" s="76" t="s">
        <v>34</v>
      </c>
      <c r="T7" s="76"/>
      <c r="U7" s="76" t="s">
        <v>35</v>
      </c>
      <c r="V7" s="76"/>
      <c r="W7" s="76" t="s">
        <v>36</v>
      </c>
      <c r="X7" s="76"/>
      <c r="Y7" s="76" t="s">
        <v>37</v>
      </c>
      <c r="Z7" s="76"/>
      <c r="AA7" s="76" t="s">
        <v>38</v>
      </c>
    </row>
    <row r="8" spans="1:27" s="92" customFormat="1" ht="13.8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s="92" customFormat="1" ht="13.8">
      <c r="A9" s="94" t="s">
        <v>49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spans="1:27" s="93" customFormat="1" ht="13.8">
      <c r="A10" s="250" t="s">
        <v>10</v>
      </c>
      <c r="B10" s="251"/>
      <c r="C10" s="80">
        <v>0</v>
      </c>
      <c r="D10" s="80"/>
      <c r="E10" s="80">
        <v>0</v>
      </c>
      <c r="F10" s="80"/>
      <c r="G10" s="80">
        <v>0</v>
      </c>
      <c r="H10" s="80"/>
      <c r="I10" s="80">
        <v>0</v>
      </c>
      <c r="J10" s="80"/>
      <c r="K10" s="80">
        <v>0</v>
      </c>
      <c r="L10" s="80"/>
      <c r="M10" s="80">
        <v>0</v>
      </c>
      <c r="N10" s="80"/>
      <c r="O10" s="80">
        <v>0</v>
      </c>
      <c r="P10" s="80"/>
      <c r="Q10" s="80">
        <v>0</v>
      </c>
      <c r="R10" s="80"/>
      <c r="S10" s="80">
        <v>0</v>
      </c>
      <c r="T10" s="80"/>
      <c r="U10" s="80">
        <v>0</v>
      </c>
      <c r="V10" s="80"/>
      <c r="W10" s="80">
        <v>0</v>
      </c>
      <c r="X10" s="80"/>
      <c r="Y10" s="80">
        <v>0</v>
      </c>
      <c r="Z10" s="79"/>
      <c r="AA10" s="79">
        <f>SUM(C10:Y10)</f>
        <v>0</v>
      </c>
    </row>
    <row r="11" spans="1:27" s="93" customFormat="1" ht="13.8">
      <c r="A11" s="250" t="s">
        <v>10</v>
      </c>
      <c r="B11" s="251"/>
      <c r="C11" s="80">
        <v>0</v>
      </c>
      <c r="D11" s="80"/>
      <c r="E11" s="80">
        <v>0</v>
      </c>
      <c r="F11" s="80"/>
      <c r="G11" s="80">
        <v>0</v>
      </c>
      <c r="H11" s="80"/>
      <c r="I11" s="80">
        <v>0</v>
      </c>
      <c r="J11" s="80"/>
      <c r="K11" s="80">
        <v>0</v>
      </c>
      <c r="L11" s="80"/>
      <c r="M11" s="80">
        <v>0</v>
      </c>
      <c r="N11" s="80"/>
      <c r="O11" s="80">
        <v>0</v>
      </c>
      <c r="P11" s="80"/>
      <c r="Q11" s="80">
        <v>0</v>
      </c>
      <c r="R11" s="80"/>
      <c r="S11" s="80">
        <v>0</v>
      </c>
      <c r="T11" s="80"/>
      <c r="U11" s="80">
        <v>0</v>
      </c>
      <c r="V11" s="80"/>
      <c r="W11" s="80">
        <v>0</v>
      </c>
      <c r="X11" s="80"/>
      <c r="Y11" s="80">
        <v>0</v>
      </c>
      <c r="Z11" s="79"/>
      <c r="AA11" s="79">
        <f>SUM(C11:Y11)</f>
        <v>0</v>
      </c>
    </row>
    <row r="12" spans="1:27" s="93" customFormat="1" ht="13.8">
      <c r="A12" s="250" t="s">
        <v>10</v>
      </c>
      <c r="B12" s="251"/>
      <c r="C12" s="80">
        <v>0</v>
      </c>
      <c r="D12" s="80"/>
      <c r="E12" s="80">
        <v>0</v>
      </c>
      <c r="F12" s="80"/>
      <c r="G12" s="80">
        <v>0</v>
      </c>
      <c r="H12" s="80"/>
      <c r="I12" s="80">
        <v>0</v>
      </c>
      <c r="J12" s="80"/>
      <c r="K12" s="80">
        <v>0</v>
      </c>
      <c r="L12" s="80"/>
      <c r="M12" s="80">
        <v>0</v>
      </c>
      <c r="N12" s="80"/>
      <c r="O12" s="80">
        <v>0</v>
      </c>
      <c r="P12" s="80"/>
      <c r="Q12" s="80">
        <v>0</v>
      </c>
      <c r="R12" s="80"/>
      <c r="S12" s="80">
        <v>0</v>
      </c>
      <c r="T12" s="80"/>
      <c r="U12" s="80">
        <v>0</v>
      </c>
      <c r="V12" s="80"/>
      <c r="W12" s="80">
        <v>0</v>
      </c>
      <c r="X12" s="80"/>
      <c r="Y12" s="80">
        <v>0</v>
      </c>
      <c r="Z12" s="79"/>
      <c r="AA12" s="79">
        <f>SUM(C12:Y12)</f>
        <v>0</v>
      </c>
    </row>
    <row r="13" spans="1:27" s="93" customFormat="1" ht="5.0999999999999996" customHeight="1">
      <c r="A13" s="250"/>
      <c r="B13" s="251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79"/>
      <c r="AA13" s="79"/>
    </row>
    <row r="14" spans="1:27" s="93" customFormat="1" ht="13.8">
      <c r="A14" s="256" t="s">
        <v>47</v>
      </c>
      <c r="B14" s="251"/>
      <c r="C14" s="265">
        <f>+C16-SUM(C9:C13)</f>
        <v>0</v>
      </c>
      <c r="D14" s="80"/>
      <c r="E14" s="265">
        <f>+E16-SUM(E9:E13)</f>
        <v>0</v>
      </c>
      <c r="F14" s="80"/>
      <c r="G14" s="265">
        <f>+G16-SUM(G9:G13)</f>
        <v>0</v>
      </c>
      <c r="H14" s="80"/>
      <c r="I14" s="265">
        <f>+I16-SUM(I9:I13)</f>
        <v>0</v>
      </c>
      <c r="J14" s="80"/>
      <c r="K14" s="265">
        <f>+K16-SUM(K9:K13)</f>
        <v>0</v>
      </c>
      <c r="L14" s="80"/>
      <c r="M14" s="265">
        <f>+M16-SUM(M9:M13)</f>
        <v>0</v>
      </c>
      <c r="N14" s="80"/>
      <c r="O14" s="265">
        <f>+O16-SUM(O9:O13)</f>
        <v>0</v>
      </c>
      <c r="P14" s="80"/>
      <c r="Q14" s="265">
        <f>+Q16-SUM(Q9:Q13)</f>
        <v>0</v>
      </c>
      <c r="R14" s="80"/>
      <c r="S14" s="265">
        <f>+S16-SUM(S9:S13)</f>
        <v>0</v>
      </c>
      <c r="T14" s="80"/>
      <c r="U14" s="265">
        <f>+U16-SUM(U9:U13)</f>
        <v>0</v>
      </c>
      <c r="V14" s="80"/>
      <c r="W14" s="265">
        <f>+W16-SUM(W9:W13)</f>
        <v>0</v>
      </c>
      <c r="X14" s="80"/>
      <c r="Y14" s="265">
        <f>+Y16-SUM(Y9:Y13)</f>
        <v>0</v>
      </c>
      <c r="Z14" s="79"/>
      <c r="AA14" s="265">
        <f>+AA16-SUM(AA9:AA13)</f>
        <v>0</v>
      </c>
    </row>
    <row r="15" spans="1:27" s="93" customFormat="1" ht="5.0999999999999996" customHeight="1">
      <c r="A15" s="250"/>
      <c r="B15" s="251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79"/>
      <c r="AA15" s="79"/>
    </row>
    <row r="16" spans="1:27" s="258" customFormat="1" ht="13.8">
      <c r="A16" s="257" t="s">
        <v>223</v>
      </c>
      <c r="B16" s="157"/>
      <c r="C16" s="266">
        <f>+Format!D73</f>
        <v>0</v>
      </c>
      <c r="D16" s="267"/>
      <c r="E16" s="266">
        <f>+Format!F73</f>
        <v>0</v>
      </c>
      <c r="F16" s="267"/>
      <c r="G16" s="266">
        <f>+Format!H73</f>
        <v>0</v>
      </c>
      <c r="H16" s="267"/>
      <c r="I16" s="266">
        <f>+Format!J73</f>
        <v>0</v>
      </c>
      <c r="J16" s="267"/>
      <c r="K16" s="266">
        <f>+Format!L73</f>
        <v>0</v>
      </c>
      <c r="L16" s="267"/>
      <c r="M16" s="266">
        <f>+Format!N73</f>
        <v>0</v>
      </c>
      <c r="N16" s="267"/>
      <c r="O16" s="266">
        <f>+Format!P73</f>
        <v>0</v>
      </c>
      <c r="P16" s="267"/>
      <c r="Q16" s="266">
        <f>+Format!R73</f>
        <v>0</v>
      </c>
      <c r="R16" s="267"/>
      <c r="S16" s="266">
        <f>+Format!T73</f>
        <v>0</v>
      </c>
      <c r="T16" s="267"/>
      <c r="U16" s="266">
        <f>+Format!V73</f>
        <v>0</v>
      </c>
      <c r="V16" s="267"/>
      <c r="W16" s="266">
        <f>+Format!X73</f>
        <v>0</v>
      </c>
      <c r="X16" s="267"/>
      <c r="Y16" s="266">
        <f>+Format!Z73</f>
        <v>0</v>
      </c>
      <c r="Z16" s="268"/>
      <c r="AA16" s="266">
        <f>+Format!AB73</f>
        <v>0</v>
      </c>
    </row>
    <row r="17" spans="1:27" s="93" customFormat="1" ht="13.8">
      <c r="A17" s="250"/>
      <c r="B17" s="251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79"/>
      <c r="AA17" s="79"/>
    </row>
    <row r="18" spans="1:27" s="92" customFormat="1" ht="13.8">
      <c r="A18" s="94" t="s">
        <v>50</v>
      </c>
      <c r="B18" s="7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</row>
    <row r="19" spans="1:27" s="93" customFormat="1" ht="13.8">
      <c r="A19" s="250" t="s">
        <v>10</v>
      </c>
      <c r="B19" s="251"/>
      <c r="C19" s="80">
        <v>0</v>
      </c>
      <c r="D19" s="80"/>
      <c r="E19" s="80">
        <v>0</v>
      </c>
      <c r="F19" s="80"/>
      <c r="G19" s="80">
        <v>0</v>
      </c>
      <c r="H19" s="80"/>
      <c r="I19" s="80">
        <v>0</v>
      </c>
      <c r="J19" s="80"/>
      <c r="K19" s="80">
        <v>0</v>
      </c>
      <c r="L19" s="80"/>
      <c r="M19" s="80">
        <v>0</v>
      </c>
      <c r="N19" s="80"/>
      <c r="O19" s="80">
        <v>0</v>
      </c>
      <c r="P19" s="80"/>
      <c r="Q19" s="80">
        <v>0</v>
      </c>
      <c r="R19" s="80"/>
      <c r="S19" s="80">
        <v>0</v>
      </c>
      <c r="T19" s="80"/>
      <c r="U19" s="80">
        <v>0</v>
      </c>
      <c r="V19" s="80"/>
      <c r="W19" s="80">
        <v>0</v>
      </c>
      <c r="X19" s="80"/>
      <c r="Y19" s="80">
        <v>0</v>
      </c>
      <c r="Z19" s="79"/>
      <c r="AA19" s="79">
        <f>SUM(C19:Y19)</f>
        <v>0</v>
      </c>
    </row>
    <row r="20" spans="1:27" s="93" customFormat="1" ht="13.8">
      <c r="A20" s="250" t="s">
        <v>10</v>
      </c>
      <c r="B20" s="251"/>
      <c r="C20" s="80">
        <v>0</v>
      </c>
      <c r="D20" s="80"/>
      <c r="E20" s="80">
        <v>0</v>
      </c>
      <c r="F20" s="80"/>
      <c r="G20" s="80">
        <v>0</v>
      </c>
      <c r="H20" s="80"/>
      <c r="I20" s="80">
        <v>0</v>
      </c>
      <c r="J20" s="80"/>
      <c r="K20" s="80">
        <v>0</v>
      </c>
      <c r="L20" s="80"/>
      <c r="M20" s="80">
        <v>0</v>
      </c>
      <c r="N20" s="80"/>
      <c r="O20" s="80">
        <v>0</v>
      </c>
      <c r="P20" s="80"/>
      <c r="Q20" s="80">
        <v>0</v>
      </c>
      <c r="R20" s="80"/>
      <c r="S20" s="80">
        <v>0</v>
      </c>
      <c r="T20" s="80"/>
      <c r="U20" s="80">
        <v>0</v>
      </c>
      <c r="V20" s="80"/>
      <c r="W20" s="80">
        <v>0</v>
      </c>
      <c r="X20" s="80"/>
      <c r="Y20" s="80">
        <v>0</v>
      </c>
      <c r="Z20" s="79"/>
      <c r="AA20" s="79">
        <f>SUM(C20:Y20)</f>
        <v>0</v>
      </c>
    </row>
    <row r="21" spans="1:27" s="93" customFormat="1" ht="13.8">
      <c r="A21" s="250" t="s">
        <v>10</v>
      </c>
      <c r="B21" s="251"/>
      <c r="C21" s="80">
        <v>0</v>
      </c>
      <c r="D21" s="80"/>
      <c r="E21" s="80">
        <v>0</v>
      </c>
      <c r="F21" s="80"/>
      <c r="G21" s="80">
        <v>0</v>
      </c>
      <c r="H21" s="80"/>
      <c r="I21" s="80">
        <v>0</v>
      </c>
      <c r="J21" s="80"/>
      <c r="K21" s="80">
        <v>0</v>
      </c>
      <c r="L21" s="80"/>
      <c r="M21" s="80">
        <v>0</v>
      </c>
      <c r="N21" s="80"/>
      <c r="O21" s="80">
        <v>0</v>
      </c>
      <c r="P21" s="80"/>
      <c r="Q21" s="80">
        <v>0</v>
      </c>
      <c r="R21" s="80"/>
      <c r="S21" s="80">
        <v>0</v>
      </c>
      <c r="T21" s="80"/>
      <c r="U21" s="80">
        <v>0</v>
      </c>
      <c r="V21" s="80"/>
      <c r="W21" s="80">
        <v>0</v>
      </c>
      <c r="X21" s="80"/>
      <c r="Y21" s="80">
        <v>0</v>
      </c>
      <c r="Z21" s="79"/>
      <c r="AA21" s="79">
        <f>SUM(C21:Y21)</f>
        <v>0</v>
      </c>
    </row>
    <row r="22" spans="1:27" s="93" customFormat="1" ht="5.0999999999999996" customHeight="1">
      <c r="A22" s="250"/>
      <c r="B22" s="251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79"/>
      <c r="AA22" s="79"/>
    </row>
    <row r="23" spans="1:27" s="93" customFormat="1" ht="13.8">
      <c r="A23" s="256" t="s">
        <v>47</v>
      </c>
      <c r="B23" s="251"/>
      <c r="C23" s="265">
        <f>+C25-SUM(C18:C22)</f>
        <v>0</v>
      </c>
      <c r="D23" s="80"/>
      <c r="E23" s="265">
        <f>+E25-SUM(E18:E22)</f>
        <v>0</v>
      </c>
      <c r="F23" s="80"/>
      <c r="G23" s="265">
        <f>+G25-SUM(G18:G22)</f>
        <v>0</v>
      </c>
      <c r="H23" s="80"/>
      <c r="I23" s="265">
        <f>+I25-SUM(I18:I22)</f>
        <v>0</v>
      </c>
      <c r="J23" s="80"/>
      <c r="K23" s="265">
        <f>+K25-SUM(K18:K22)</f>
        <v>0</v>
      </c>
      <c r="L23" s="80"/>
      <c r="M23" s="265">
        <f>+M25-SUM(M18:M22)</f>
        <v>0</v>
      </c>
      <c r="N23" s="80"/>
      <c r="O23" s="265">
        <f>+O25-SUM(O18:O22)</f>
        <v>0</v>
      </c>
      <c r="P23" s="80"/>
      <c r="Q23" s="265">
        <f>+Q25-SUM(Q18:Q22)</f>
        <v>0</v>
      </c>
      <c r="R23" s="80"/>
      <c r="S23" s="265">
        <f>+S25-SUM(S18:S22)</f>
        <v>0</v>
      </c>
      <c r="T23" s="80"/>
      <c r="U23" s="265">
        <f>+U25-SUM(U18:U22)</f>
        <v>0</v>
      </c>
      <c r="V23" s="80"/>
      <c r="W23" s="265">
        <f>+W25-SUM(W18:W22)</f>
        <v>0</v>
      </c>
      <c r="X23" s="80"/>
      <c r="Y23" s="265">
        <f>+Y25-SUM(Y18:Y22)</f>
        <v>0</v>
      </c>
      <c r="Z23" s="79"/>
      <c r="AA23" s="265">
        <f>+AA25-SUM(AA18:AA22)</f>
        <v>0</v>
      </c>
    </row>
    <row r="24" spans="1:27" s="93" customFormat="1" ht="5.0999999999999996" customHeight="1">
      <c r="A24" s="250"/>
      <c r="B24" s="251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79"/>
      <c r="AA24" s="80"/>
    </row>
    <row r="25" spans="1:27" s="258" customFormat="1" ht="13.8">
      <c r="A25" s="257" t="s">
        <v>224</v>
      </c>
      <c r="B25" s="157"/>
      <c r="C25" s="266">
        <f>+Format!D74</f>
        <v>0</v>
      </c>
      <c r="D25" s="267"/>
      <c r="E25" s="266">
        <f>+Format!F74</f>
        <v>0</v>
      </c>
      <c r="F25" s="267"/>
      <c r="G25" s="266">
        <f>+Format!H74</f>
        <v>0</v>
      </c>
      <c r="H25" s="267"/>
      <c r="I25" s="266">
        <f>+Format!J74</f>
        <v>0</v>
      </c>
      <c r="J25" s="267"/>
      <c r="K25" s="266">
        <f>+Format!L74</f>
        <v>0</v>
      </c>
      <c r="L25" s="267"/>
      <c r="M25" s="266">
        <f>+Format!N74</f>
        <v>0</v>
      </c>
      <c r="N25" s="267"/>
      <c r="O25" s="266">
        <f>+Format!P74</f>
        <v>0</v>
      </c>
      <c r="P25" s="267"/>
      <c r="Q25" s="266">
        <f>+Format!R74</f>
        <v>0</v>
      </c>
      <c r="R25" s="267"/>
      <c r="S25" s="266">
        <f>+Format!T74</f>
        <v>0</v>
      </c>
      <c r="T25" s="267"/>
      <c r="U25" s="266">
        <f>+Format!V74</f>
        <v>0</v>
      </c>
      <c r="V25" s="267"/>
      <c r="W25" s="266">
        <f>+Format!X74</f>
        <v>0</v>
      </c>
      <c r="X25" s="267"/>
      <c r="Y25" s="266">
        <f>+Format!Z74</f>
        <v>0</v>
      </c>
      <c r="Z25" s="268"/>
      <c r="AA25" s="266">
        <f>+Format!AB74</f>
        <v>0</v>
      </c>
    </row>
    <row r="26" spans="1:27" s="93" customFormat="1" ht="13.8">
      <c r="A26" s="250"/>
      <c r="B26" s="251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79"/>
      <c r="AA26" s="79"/>
    </row>
    <row r="27" spans="1:27" s="93" customFormat="1" ht="13.8">
      <c r="A27" s="94" t="s">
        <v>51</v>
      </c>
      <c r="B27" s="251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79"/>
      <c r="AA27" s="79"/>
    </row>
    <row r="28" spans="1:27" s="93" customFormat="1" ht="13.8">
      <c r="A28" s="250" t="s">
        <v>10</v>
      </c>
      <c r="B28" s="251"/>
      <c r="C28" s="80">
        <v>0</v>
      </c>
      <c r="D28" s="80"/>
      <c r="E28" s="80">
        <v>0</v>
      </c>
      <c r="F28" s="80"/>
      <c r="G28" s="80">
        <v>0</v>
      </c>
      <c r="H28" s="80"/>
      <c r="I28" s="80">
        <v>0</v>
      </c>
      <c r="J28" s="80"/>
      <c r="K28" s="80">
        <v>0</v>
      </c>
      <c r="L28" s="80"/>
      <c r="M28" s="80">
        <v>0</v>
      </c>
      <c r="N28" s="80"/>
      <c r="O28" s="80">
        <v>0</v>
      </c>
      <c r="P28" s="80"/>
      <c r="Q28" s="80">
        <v>0</v>
      </c>
      <c r="R28" s="80"/>
      <c r="S28" s="80">
        <v>0</v>
      </c>
      <c r="T28" s="80"/>
      <c r="U28" s="80">
        <v>0</v>
      </c>
      <c r="V28" s="80"/>
      <c r="W28" s="80">
        <v>0</v>
      </c>
      <c r="X28" s="80"/>
      <c r="Y28" s="80">
        <v>0</v>
      </c>
      <c r="Z28" s="79"/>
      <c r="AA28" s="79">
        <f>SUM(C28:Y28)</f>
        <v>0</v>
      </c>
    </row>
    <row r="29" spans="1:27" s="93" customFormat="1" ht="13.8">
      <c r="A29" s="250" t="s">
        <v>10</v>
      </c>
      <c r="B29" s="251"/>
      <c r="C29" s="80">
        <v>0</v>
      </c>
      <c r="D29" s="80"/>
      <c r="E29" s="80">
        <v>0</v>
      </c>
      <c r="F29" s="80"/>
      <c r="G29" s="80">
        <v>0</v>
      </c>
      <c r="H29" s="80"/>
      <c r="I29" s="80">
        <v>0</v>
      </c>
      <c r="J29" s="80"/>
      <c r="K29" s="80">
        <v>0</v>
      </c>
      <c r="L29" s="80"/>
      <c r="M29" s="80">
        <v>0</v>
      </c>
      <c r="N29" s="80"/>
      <c r="O29" s="80">
        <v>0</v>
      </c>
      <c r="P29" s="80"/>
      <c r="Q29" s="80">
        <v>0</v>
      </c>
      <c r="R29" s="80"/>
      <c r="S29" s="80">
        <v>0</v>
      </c>
      <c r="T29" s="80"/>
      <c r="U29" s="80">
        <v>0</v>
      </c>
      <c r="V29" s="80"/>
      <c r="W29" s="80">
        <v>0</v>
      </c>
      <c r="X29" s="80"/>
      <c r="Y29" s="80">
        <v>0</v>
      </c>
      <c r="Z29" s="79"/>
      <c r="AA29" s="79">
        <f>SUM(C29:Y29)</f>
        <v>0</v>
      </c>
    </row>
    <row r="30" spans="1:27" s="93" customFormat="1" ht="13.8">
      <c r="A30" s="250" t="s">
        <v>10</v>
      </c>
      <c r="B30" s="251"/>
      <c r="C30" s="80">
        <v>0</v>
      </c>
      <c r="D30" s="80"/>
      <c r="E30" s="80">
        <v>0</v>
      </c>
      <c r="F30" s="80"/>
      <c r="G30" s="80">
        <v>0</v>
      </c>
      <c r="H30" s="80"/>
      <c r="I30" s="80">
        <v>0</v>
      </c>
      <c r="J30" s="80"/>
      <c r="K30" s="80">
        <v>0</v>
      </c>
      <c r="L30" s="80"/>
      <c r="M30" s="80">
        <v>0</v>
      </c>
      <c r="N30" s="80"/>
      <c r="O30" s="80">
        <v>0</v>
      </c>
      <c r="P30" s="80"/>
      <c r="Q30" s="80">
        <v>0</v>
      </c>
      <c r="R30" s="80"/>
      <c r="S30" s="80">
        <v>0</v>
      </c>
      <c r="T30" s="80"/>
      <c r="U30" s="80">
        <v>0</v>
      </c>
      <c r="V30" s="80"/>
      <c r="W30" s="80">
        <v>0</v>
      </c>
      <c r="X30" s="80"/>
      <c r="Y30" s="80">
        <v>0</v>
      </c>
      <c r="Z30" s="79"/>
      <c r="AA30" s="79">
        <f>SUM(C30:Y30)</f>
        <v>0</v>
      </c>
    </row>
    <row r="31" spans="1:27" s="93" customFormat="1" ht="5.0999999999999996" customHeight="1">
      <c r="A31" s="250"/>
      <c r="B31" s="251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79"/>
      <c r="AA31" s="79"/>
    </row>
    <row r="32" spans="1:27" s="93" customFormat="1" ht="13.8">
      <c r="A32" s="256" t="s">
        <v>47</v>
      </c>
      <c r="B32" s="251"/>
      <c r="C32" s="265">
        <f>+C34-SUM(C27:C31)</f>
        <v>0</v>
      </c>
      <c r="D32" s="80"/>
      <c r="E32" s="265">
        <f>+E34-SUM(E27:E31)</f>
        <v>0</v>
      </c>
      <c r="F32" s="80"/>
      <c r="G32" s="265">
        <f>+G34-SUM(G27:G31)</f>
        <v>0</v>
      </c>
      <c r="H32" s="80"/>
      <c r="I32" s="265">
        <f>+I34-SUM(I27:I31)</f>
        <v>0</v>
      </c>
      <c r="J32" s="80"/>
      <c r="K32" s="265">
        <f>+K34-SUM(K27:K31)</f>
        <v>0</v>
      </c>
      <c r="L32" s="80"/>
      <c r="M32" s="265">
        <f>+M34-SUM(M27:M31)</f>
        <v>0</v>
      </c>
      <c r="N32" s="80"/>
      <c r="O32" s="265">
        <f>+O34-SUM(O27:O31)</f>
        <v>0</v>
      </c>
      <c r="P32" s="80"/>
      <c r="Q32" s="265">
        <f>+Q34-SUM(Q27:Q31)</f>
        <v>0</v>
      </c>
      <c r="R32" s="80"/>
      <c r="S32" s="265">
        <f>+S34-SUM(S27:S31)</f>
        <v>0</v>
      </c>
      <c r="T32" s="80"/>
      <c r="U32" s="265">
        <f>+U34-SUM(U27:U31)</f>
        <v>0</v>
      </c>
      <c r="V32" s="80"/>
      <c r="W32" s="265">
        <f>+W34-SUM(W27:W31)</f>
        <v>0</v>
      </c>
      <c r="X32" s="80"/>
      <c r="Y32" s="265">
        <f>+Y34-SUM(Y27:Y31)</f>
        <v>0</v>
      </c>
      <c r="Z32" s="79"/>
      <c r="AA32" s="265">
        <f>+AA34-SUM(AA27:AA31)</f>
        <v>0</v>
      </c>
    </row>
    <row r="33" spans="1:28" s="93" customFormat="1" ht="5.0999999999999996" customHeight="1">
      <c r="A33" s="250"/>
      <c r="B33" s="251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79"/>
      <c r="AA33" s="80"/>
    </row>
    <row r="34" spans="1:28" s="258" customFormat="1" ht="13.8">
      <c r="A34" s="257" t="s">
        <v>225</v>
      </c>
      <c r="B34" s="157"/>
      <c r="C34" s="266">
        <f>+Format!D75</f>
        <v>0</v>
      </c>
      <c r="D34" s="267"/>
      <c r="E34" s="266">
        <f>+Format!F75</f>
        <v>0</v>
      </c>
      <c r="F34" s="267"/>
      <c r="G34" s="266">
        <f>+Format!H75</f>
        <v>0</v>
      </c>
      <c r="H34" s="267"/>
      <c r="I34" s="266">
        <f>+Format!J75</f>
        <v>0</v>
      </c>
      <c r="J34" s="267"/>
      <c r="K34" s="266">
        <f>+Format!L75</f>
        <v>0</v>
      </c>
      <c r="L34" s="267"/>
      <c r="M34" s="266">
        <f>+Format!N75</f>
        <v>0</v>
      </c>
      <c r="N34" s="267"/>
      <c r="O34" s="266">
        <f>+Format!P75</f>
        <v>0</v>
      </c>
      <c r="P34" s="267"/>
      <c r="Q34" s="266">
        <f>+Format!R75</f>
        <v>0</v>
      </c>
      <c r="R34" s="267"/>
      <c r="S34" s="266">
        <f>+Format!T75</f>
        <v>0</v>
      </c>
      <c r="T34" s="267"/>
      <c r="U34" s="266">
        <f>+Format!V75</f>
        <v>0</v>
      </c>
      <c r="V34" s="267"/>
      <c r="W34" s="266">
        <f>+Format!X75</f>
        <v>0</v>
      </c>
      <c r="X34" s="267"/>
      <c r="Y34" s="266">
        <f>+Format!Z75</f>
        <v>0</v>
      </c>
      <c r="Z34" s="268"/>
      <c r="AA34" s="266">
        <f>+Format!AB75</f>
        <v>0</v>
      </c>
    </row>
    <row r="35" spans="1:28" s="93" customFormat="1" ht="13.8">
      <c r="A35" s="81"/>
      <c r="B35" s="81"/>
      <c r="C35" s="269"/>
      <c r="D35" s="83"/>
      <c r="E35" s="269"/>
      <c r="F35" s="83"/>
      <c r="G35" s="269"/>
      <c r="H35" s="83"/>
      <c r="I35" s="269"/>
      <c r="J35" s="83"/>
      <c r="K35" s="269"/>
      <c r="L35" s="83"/>
      <c r="M35" s="269"/>
      <c r="N35" s="83"/>
      <c r="O35" s="269"/>
      <c r="P35" s="83"/>
      <c r="Q35" s="269"/>
      <c r="R35" s="83"/>
      <c r="S35" s="269"/>
      <c r="T35" s="83"/>
      <c r="U35" s="269"/>
      <c r="V35" s="83"/>
      <c r="W35" s="269"/>
      <c r="X35" s="83"/>
      <c r="Y35" s="269"/>
      <c r="Z35" s="83"/>
      <c r="AA35" s="269"/>
    </row>
    <row r="36" spans="1:28" s="93" customFormat="1" ht="13.8">
      <c r="A36" s="94" t="s">
        <v>221</v>
      </c>
      <c r="B36" s="81"/>
      <c r="C36" s="269"/>
      <c r="D36" s="83"/>
      <c r="E36" s="269"/>
      <c r="F36" s="83"/>
      <c r="G36" s="269"/>
      <c r="H36" s="83"/>
      <c r="I36" s="269"/>
      <c r="J36" s="83"/>
      <c r="K36" s="269"/>
      <c r="L36" s="83"/>
      <c r="M36" s="269"/>
      <c r="N36" s="83"/>
      <c r="O36" s="269"/>
      <c r="P36" s="83"/>
      <c r="Q36" s="269"/>
      <c r="R36" s="83"/>
      <c r="S36" s="269"/>
      <c r="T36" s="83"/>
      <c r="U36" s="269"/>
      <c r="V36" s="83"/>
      <c r="W36" s="269"/>
      <c r="X36" s="83"/>
      <c r="Y36" s="269"/>
      <c r="Z36" s="83"/>
      <c r="AA36" s="269"/>
    </row>
    <row r="37" spans="1:28" s="93" customFormat="1" ht="13.8">
      <c r="A37" s="250" t="s">
        <v>10</v>
      </c>
      <c r="B37" s="251"/>
      <c r="C37" s="80">
        <v>0</v>
      </c>
      <c r="D37" s="80"/>
      <c r="E37" s="80">
        <v>0</v>
      </c>
      <c r="F37" s="80"/>
      <c r="G37" s="80">
        <v>0</v>
      </c>
      <c r="H37" s="80"/>
      <c r="I37" s="80">
        <v>0</v>
      </c>
      <c r="J37" s="80"/>
      <c r="K37" s="80">
        <v>0</v>
      </c>
      <c r="L37" s="80"/>
      <c r="M37" s="80">
        <v>0</v>
      </c>
      <c r="N37" s="80"/>
      <c r="O37" s="80">
        <v>0</v>
      </c>
      <c r="P37" s="80"/>
      <c r="Q37" s="80">
        <v>0</v>
      </c>
      <c r="R37" s="80"/>
      <c r="S37" s="80">
        <v>0</v>
      </c>
      <c r="T37" s="80"/>
      <c r="U37" s="80">
        <v>0</v>
      </c>
      <c r="V37" s="80"/>
      <c r="W37" s="80">
        <v>0</v>
      </c>
      <c r="X37" s="80"/>
      <c r="Y37" s="80">
        <v>0</v>
      </c>
      <c r="Z37" s="79"/>
      <c r="AA37" s="79">
        <f>SUM(C37:Y37)</f>
        <v>0</v>
      </c>
    </row>
    <row r="38" spans="1:28" s="93" customFormat="1" ht="13.8">
      <c r="A38" s="250" t="s">
        <v>10</v>
      </c>
      <c r="B38" s="251"/>
      <c r="C38" s="80">
        <v>0</v>
      </c>
      <c r="D38" s="80"/>
      <c r="E38" s="80">
        <v>0</v>
      </c>
      <c r="F38" s="80"/>
      <c r="G38" s="80">
        <v>0</v>
      </c>
      <c r="H38" s="80"/>
      <c r="I38" s="80">
        <v>0</v>
      </c>
      <c r="J38" s="80"/>
      <c r="K38" s="80">
        <v>0</v>
      </c>
      <c r="L38" s="80"/>
      <c r="M38" s="80">
        <v>0</v>
      </c>
      <c r="N38" s="80"/>
      <c r="O38" s="80">
        <v>0</v>
      </c>
      <c r="P38" s="80"/>
      <c r="Q38" s="80">
        <v>0</v>
      </c>
      <c r="R38" s="80"/>
      <c r="S38" s="80">
        <v>0</v>
      </c>
      <c r="T38" s="80"/>
      <c r="U38" s="80">
        <v>0</v>
      </c>
      <c r="V38" s="80"/>
      <c r="W38" s="80">
        <v>0</v>
      </c>
      <c r="X38" s="80"/>
      <c r="Y38" s="80">
        <v>0</v>
      </c>
      <c r="Z38" s="79"/>
      <c r="AA38" s="79">
        <f>SUM(C38:Y38)</f>
        <v>0</v>
      </c>
    </row>
    <row r="39" spans="1:28" s="93" customFormat="1" ht="13.8">
      <c r="A39" s="250" t="s">
        <v>10</v>
      </c>
      <c r="B39" s="251"/>
      <c r="C39" s="80">
        <v>0</v>
      </c>
      <c r="D39" s="80"/>
      <c r="E39" s="80">
        <v>0</v>
      </c>
      <c r="F39" s="80"/>
      <c r="G39" s="80">
        <v>0</v>
      </c>
      <c r="H39" s="80"/>
      <c r="I39" s="80">
        <v>0</v>
      </c>
      <c r="J39" s="80"/>
      <c r="K39" s="80">
        <v>0</v>
      </c>
      <c r="L39" s="80"/>
      <c r="M39" s="80">
        <v>0</v>
      </c>
      <c r="N39" s="80"/>
      <c r="O39" s="80">
        <v>0</v>
      </c>
      <c r="P39" s="80"/>
      <c r="Q39" s="80">
        <v>0</v>
      </c>
      <c r="R39" s="80"/>
      <c r="S39" s="80">
        <v>0</v>
      </c>
      <c r="T39" s="80"/>
      <c r="U39" s="80">
        <v>0</v>
      </c>
      <c r="V39" s="80"/>
      <c r="W39" s="80">
        <v>0</v>
      </c>
      <c r="X39" s="80"/>
      <c r="Y39" s="80">
        <v>0</v>
      </c>
      <c r="Z39" s="79"/>
      <c r="AA39" s="79">
        <f>SUM(C39:Y39)</f>
        <v>0</v>
      </c>
    </row>
    <row r="40" spans="1:28" s="93" customFormat="1" ht="5.0999999999999996" customHeight="1">
      <c r="A40" s="250"/>
      <c r="B40" s="251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79"/>
      <c r="AA40" s="79"/>
    </row>
    <row r="41" spans="1:28" s="93" customFormat="1" ht="13.8">
      <c r="A41" s="256" t="s">
        <v>47</v>
      </c>
      <c r="B41" s="251"/>
      <c r="C41" s="265">
        <f>+C43-SUM(C36:C40)</f>
        <v>0</v>
      </c>
      <c r="D41" s="80"/>
      <c r="E41" s="265">
        <f>+E43-SUM(E36:E40)</f>
        <v>0</v>
      </c>
      <c r="F41" s="80"/>
      <c r="G41" s="265">
        <f>+G43-SUM(G36:G40)</f>
        <v>0</v>
      </c>
      <c r="H41" s="80"/>
      <c r="I41" s="265">
        <f>+I43-SUM(I36:I40)</f>
        <v>0</v>
      </c>
      <c r="J41" s="80"/>
      <c r="K41" s="265">
        <f>+K43-SUM(K36:K40)</f>
        <v>0</v>
      </c>
      <c r="L41" s="80"/>
      <c r="M41" s="265">
        <f>+M43-SUM(M36:M40)</f>
        <v>0</v>
      </c>
      <c r="N41" s="80"/>
      <c r="O41" s="265">
        <f>+O43-SUM(O36:O40)</f>
        <v>0</v>
      </c>
      <c r="P41" s="80"/>
      <c r="Q41" s="265">
        <f>+Q43-SUM(Q36:Q40)</f>
        <v>0</v>
      </c>
      <c r="R41" s="80"/>
      <c r="S41" s="265">
        <f>+S43-SUM(S36:S40)</f>
        <v>0</v>
      </c>
      <c r="T41" s="80"/>
      <c r="U41" s="265">
        <f>+U43-SUM(U36:U40)</f>
        <v>0</v>
      </c>
      <c r="V41" s="80"/>
      <c r="W41" s="265">
        <f>+W43-SUM(W36:W40)</f>
        <v>0</v>
      </c>
      <c r="X41" s="80"/>
      <c r="Y41" s="265">
        <f>+Y43-SUM(Y36:Y40)</f>
        <v>0</v>
      </c>
      <c r="Z41" s="79"/>
      <c r="AA41" s="265">
        <f>+AA43-SUM(AA36:AA40)</f>
        <v>0</v>
      </c>
    </row>
    <row r="42" spans="1:28" s="93" customFormat="1" ht="5.0999999999999996" customHeight="1">
      <c r="A42" s="250"/>
      <c r="B42" s="25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79"/>
      <c r="AA42" s="80"/>
    </row>
    <row r="43" spans="1:28" s="258" customFormat="1" ht="13.8">
      <c r="A43" s="257" t="s">
        <v>226</v>
      </c>
      <c r="B43" s="157"/>
      <c r="C43" s="266">
        <f>+Format!D76</f>
        <v>0</v>
      </c>
      <c r="D43" s="267"/>
      <c r="E43" s="266">
        <f>+Format!F76</f>
        <v>0</v>
      </c>
      <c r="F43" s="267"/>
      <c r="G43" s="266">
        <f>+Format!H76</f>
        <v>0</v>
      </c>
      <c r="H43" s="267"/>
      <c r="I43" s="266">
        <f>+Format!J76</f>
        <v>0</v>
      </c>
      <c r="J43" s="267"/>
      <c r="K43" s="266">
        <f>+Format!L76</f>
        <v>0</v>
      </c>
      <c r="L43" s="267"/>
      <c r="M43" s="266">
        <f>+Format!N76</f>
        <v>0</v>
      </c>
      <c r="N43" s="267"/>
      <c r="O43" s="266">
        <f>+Format!P76</f>
        <v>0</v>
      </c>
      <c r="P43" s="267"/>
      <c r="Q43" s="266">
        <f>+Format!R76</f>
        <v>0</v>
      </c>
      <c r="R43" s="267"/>
      <c r="S43" s="266">
        <f>+Format!T76</f>
        <v>0</v>
      </c>
      <c r="T43" s="267"/>
      <c r="U43" s="266">
        <f>+Format!V76</f>
        <v>0</v>
      </c>
      <c r="V43" s="267"/>
      <c r="W43" s="266">
        <f>+Format!X76</f>
        <v>0</v>
      </c>
      <c r="X43" s="267"/>
      <c r="Y43" s="266">
        <f>+Format!Z76</f>
        <v>0</v>
      </c>
      <c r="Z43" s="268"/>
      <c r="AA43" s="266">
        <f>+Format!AB76</f>
        <v>0</v>
      </c>
    </row>
    <row r="44" spans="1:28" s="264" customFormat="1" ht="13.8">
      <c r="A44" s="262"/>
      <c r="B44" s="263"/>
      <c r="C44" s="270"/>
      <c r="D44" s="270"/>
      <c r="E44" s="270"/>
      <c r="F44" s="270"/>
      <c r="G44" s="270"/>
      <c r="H44" s="270"/>
      <c r="I44" s="270"/>
      <c r="J44" s="270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0"/>
      <c r="Y44" s="270"/>
      <c r="Z44" s="271"/>
      <c r="AA44" s="270"/>
    </row>
    <row r="45" spans="1:28" s="93" customFormat="1" ht="14.4" thickBot="1">
      <c r="A45" s="84" t="s">
        <v>52</v>
      </c>
      <c r="B45" s="252"/>
      <c r="C45" s="85">
        <f>+C16+C25+C34+C43</f>
        <v>0</v>
      </c>
      <c r="D45" s="87"/>
      <c r="E45" s="85">
        <f>+E16+E25+E34+E43</f>
        <v>0</v>
      </c>
      <c r="F45" s="87"/>
      <c r="G45" s="85">
        <f>+G16+G25+G34+G43</f>
        <v>0</v>
      </c>
      <c r="H45" s="87"/>
      <c r="I45" s="85">
        <f>+I16+I25+I34+I43</f>
        <v>0</v>
      </c>
      <c r="J45" s="87"/>
      <c r="K45" s="85">
        <f>+K16+K25+K34+K43</f>
        <v>0</v>
      </c>
      <c r="L45" s="87"/>
      <c r="M45" s="85">
        <f>+M16+M25+M34+M43</f>
        <v>0</v>
      </c>
      <c r="N45" s="87"/>
      <c r="O45" s="85">
        <f>+O16+O25+O34+O43</f>
        <v>0</v>
      </c>
      <c r="P45" s="87"/>
      <c r="Q45" s="85">
        <f>+Q16+Q25+Q34+Q43</f>
        <v>0</v>
      </c>
      <c r="R45" s="87"/>
      <c r="S45" s="85">
        <f>+S16+S25+S34+S43</f>
        <v>0</v>
      </c>
      <c r="T45" s="87"/>
      <c r="U45" s="85">
        <f>+U16+U25+U34+U43</f>
        <v>0</v>
      </c>
      <c r="V45" s="87"/>
      <c r="W45" s="85">
        <f>+W16+W25+W34+W43</f>
        <v>0</v>
      </c>
      <c r="X45" s="87"/>
      <c r="Y45" s="85">
        <f>+Y16+Y25+Y34+Y43</f>
        <v>0</v>
      </c>
      <c r="Z45" s="87"/>
      <c r="AA45" s="85">
        <f>+AA16+AA25+AA34+AA43</f>
        <v>0</v>
      </c>
    </row>
    <row r="46" spans="1:28" s="92" customFormat="1" ht="14.4" thickTop="1">
      <c r="A46" s="69"/>
      <c r="B46" s="253"/>
      <c r="C46" s="253"/>
      <c r="D46" s="253"/>
      <c r="E46" s="253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4"/>
    </row>
    <row r="47" spans="1:28" s="92" customFormat="1" ht="13.8">
      <c r="A47" s="69"/>
      <c r="B47" s="253"/>
      <c r="C47" s="253"/>
      <c r="D47" s="253"/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4"/>
    </row>
    <row r="48" spans="1:28" s="92" customFormat="1" ht="13.8">
      <c r="A48" s="259" t="str">
        <f ca="1">CELL("filename",A1)</f>
        <v>G:\MRO\MRO\Aug01\[3rd quarter curr est.xls]Merchant</v>
      </c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4"/>
    </row>
    <row r="49" spans="1:28" s="92" customFormat="1" ht="13.8">
      <c r="A49" s="260">
        <f ca="1">NOW()</f>
        <v>37151.667196296294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</row>
    <row r="50" spans="1:28" s="92" customFormat="1" ht="13.8"/>
    <row r="51" spans="1:28" s="92" customFormat="1" ht="13.8"/>
    <row r="52" spans="1:28" s="92" customFormat="1" ht="13.8"/>
    <row r="53" spans="1:28" s="92" customFormat="1" ht="13.8"/>
    <row r="54" spans="1:28" s="92" customFormat="1" ht="13.8"/>
    <row r="55" spans="1:28" s="92" customFormat="1" ht="13.8"/>
    <row r="56" spans="1:28" s="92" customFormat="1" ht="13.8"/>
    <row r="57" spans="1:28" s="92" customFormat="1" ht="13.8"/>
    <row r="58" spans="1:28" s="92" customFormat="1" ht="13.8"/>
    <row r="59" spans="1:28" s="92" customFormat="1" ht="13.8"/>
  </sheetData>
  <printOptions horizontalCentered="1"/>
  <pageMargins left="0.5" right="0.5" top="0.75" bottom="0.75" header="0.5" footer="0.5"/>
  <pageSetup scale="7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22" workbookViewId="0">
      <selection activeCell="A22" sqref="A22"/>
    </sheetView>
  </sheetViews>
  <sheetFormatPr defaultColWidth="12.5546875" defaultRowHeight="15"/>
  <cols>
    <col min="1" max="1" width="40.109375" style="91" customWidth="1"/>
    <col min="2" max="2" width="3" style="91" customWidth="1"/>
    <col min="3" max="3" width="7.44140625" style="91" customWidth="1"/>
    <col min="4" max="4" width="3" style="91" customWidth="1"/>
    <col min="5" max="5" width="7.44140625" style="91" customWidth="1"/>
    <col min="6" max="6" width="3" style="91" customWidth="1"/>
    <col min="7" max="7" width="7.44140625" style="91" customWidth="1"/>
    <col min="8" max="8" width="3" style="91" customWidth="1"/>
    <col min="9" max="9" width="7.44140625" style="91" customWidth="1"/>
    <col min="10" max="10" width="3" style="91" customWidth="1"/>
    <col min="11" max="11" width="7.44140625" style="91" customWidth="1"/>
    <col min="12" max="12" width="3" style="91" customWidth="1"/>
    <col min="13" max="13" width="7.44140625" style="91" customWidth="1"/>
    <col min="14" max="14" width="3" style="91" customWidth="1"/>
    <col min="15" max="15" width="7.44140625" style="91" customWidth="1"/>
    <col min="16" max="16" width="3" style="91" customWidth="1"/>
    <col min="17" max="17" width="7.44140625" style="91" customWidth="1"/>
    <col min="18" max="18" width="3" style="91" customWidth="1"/>
    <col min="19" max="19" width="7.44140625" style="91" customWidth="1"/>
    <col min="20" max="20" width="3" style="91" customWidth="1"/>
    <col min="21" max="21" width="7.44140625" style="91" customWidth="1"/>
    <col min="22" max="22" width="3" style="91" customWidth="1"/>
    <col min="23" max="23" width="7.44140625" style="91" customWidth="1"/>
    <col min="24" max="24" width="3" style="91" customWidth="1"/>
    <col min="25" max="25" width="7.44140625" style="91" customWidth="1"/>
    <col min="26" max="26" width="3" style="91" customWidth="1"/>
    <col min="27" max="27" width="8.5546875" style="91" customWidth="1"/>
    <col min="28" max="28" width="2.6640625" style="91" customWidth="1"/>
    <col min="29" max="16384" width="12.5546875" style="91"/>
  </cols>
  <sheetData>
    <row r="1" spans="1:28" ht="17.399999999999999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28" ht="17.399999999999999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17.399999999999999">
      <c r="A3" s="40" t="s">
        <v>79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ht="17.399999999999999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8" s="92" customFormat="1" ht="13.8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1:28" s="92" customFormat="1" ht="13.8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8" s="92" customFormat="1" ht="13.8">
      <c r="A8" s="71"/>
      <c r="B8" s="72"/>
      <c r="C8" s="73" t="s">
        <v>105</v>
      </c>
      <c r="D8" s="73"/>
      <c r="E8" s="74"/>
      <c r="F8" s="73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8" s="92" customFormat="1" ht="13.8">
      <c r="A9" s="75"/>
      <c r="B9" s="75"/>
      <c r="C9" s="76" t="s">
        <v>26</v>
      </c>
      <c r="D9" s="76"/>
      <c r="E9" s="76" t="s">
        <v>27</v>
      </c>
      <c r="F9" s="76"/>
      <c r="G9" s="76" t="s">
        <v>28</v>
      </c>
      <c r="H9" s="76"/>
      <c r="I9" s="76" t="s">
        <v>29</v>
      </c>
      <c r="J9" s="76"/>
      <c r="K9" s="76" t="s">
        <v>30</v>
      </c>
      <c r="L9" s="76"/>
      <c r="M9" s="76" t="s">
        <v>31</v>
      </c>
      <c r="N9" s="76"/>
      <c r="O9" s="76" t="s">
        <v>32</v>
      </c>
      <c r="P9" s="76"/>
      <c r="Q9" s="76" t="s">
        <v>33</v>
      </c>
      <c r="R9" s="76"/>
      <c r="S9" s="76" t="s">
        <v>34</v>
      </c>
      <c r="T9" s="76"/>
      <c r="U9" s="76" t="s">
        <v>35</v>
      </c>
      <c r="V9" s="76"/>
      <c r="W9" s="76" t="s">
        <v>36</v>
      </c>
      <c r="X9" s="76"/>
      <c r="Y9" s="76" t="s">
        <v>37</v>
      </c>
      <c r="Z9" s="76"/>
      <c r="AA9" s="76" t="s">
        <v>38</v>
      </c>
    </row>
    <row r="10" spans="1:28" s="92" customFormat="1" ht="13.8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 spans="1:28" s="92" customFormat="1" ht="13.8">
      <c r="A11" s="94" t="s">
        <v>80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93"/>
    </row>
    <row r="12" spans="1:28" s="92" customFormat="1" ht="13.8">
      <c r="A12" s="250" t="s">
        <v>81</v>
      </c>
      <c r="B12" s="77"/>
      <c r="C12" s="277">
        <v>0</v>
      </c>
      <c r="D12" s="277"/>
      <c r="E12" s="277">
        <v>0</v>
      </c>
      <c r="F12" s="277"/>
      <c r="G12" s="277">
        <v>0</v>
      </c>
      <c r="H12" s="277"/>
      <c r="I12" s="277">
        <v>0</v>
      </c>
      <c r="J12" s="277"/>
      <c r="K12" s="277">
        <v>0</v>
      </c>
      <c r="L12" s="277"/>
      <c r="M12" s="277">
        <v>0</v>
      </c>
      <c r="N12" s="277"/>
      <c r="O12" s="277">
        <v>0</v>
      </c>
      <c r="P12" s="277"/>
      <c r="Q12" s="277">
        <v>0</v>
      </c>
      <c r="R12" s="277"/>
      <c r="S12" s="277">
        <v>0</v>
      </c>
      <c r="T12" s="277"/>
      <c r="U12" s="277">
        <v>0</v>
      </c>
      <c r="V12" s="277"/>
      <c r="W12" s="277">
        <v>0</v>
      </c>
      <c r="X12" s="277"/>
      <c r="Y12" s="277">
        <v>0</v>
      </c>
      <c r="Z12" s="251"/>
      <c r="AA12" s="251">
        <f>SUM(C12:Y12)</f>
        <v>0</v>
      </c>
      <c r="AB12" s="93"/>
    </row>
    <row r="13" spans="1:28" s="93" customFormat="1" ht="13.8">
      <c r="A13" s="250" t="s">
        <v>10</v>
      </c>
      <c r="B13" s="251"/>
      <c r="C13" s="277">
        <v>0</v>
      </c>
      <c r="D13" s="277"/>
      <c r="E13" s="277">
        <v>0</v>
      </c>
      <c r="F13" s="277"/>
      <c r="G13" s="277">
        <v>0</v>
      </c>
      <c r="H13" s="277"/>
      <c r="I13" s="277">
        <v>0</v>
      </c>
      <c r="J13" s="277"/>
      <c r="K13" s="277">
        <v>0</v>
      </c>
      <c r="L13" s="277"/>
      <c r="M13" s="277">
        <v>0</v>
      </c>
      <c r="N13" s="277"/>
      <c r="O13" s="277">
        <v>0</v>
      </c>
      <c r="P13" s="277"/>
      <c r="Q13" s="277">
        <v>0</v>
      </c>
      <c r="R13" s="277"/>
      <c r="S13" s="277">
        <v>0</v>
      </c>
      <c r="T13" s="277"/>
      <c r="U13" s="277">
        <v>0</v>
      </c>
      <c r="V13" s="277"/>
      <c r="W13" s="277">
        <v>0</v>
      </c>
      <c r="X13" s="277"/>
      <c r="Y13" s="277">
        <v>0</v>
      </c>
      <c r="Z13" s="251"/>
      <c r="AA13" s="251">
        <f>SUM(C13:Y13)</f>
        <v>0</v>
      </c>
    </row>
    <row r="14" spans="1:28" s="93" customFormat="1" ht="13.8">
      <c r="A14" s="250" t="s">
        <v>10</v>
      </c>
      <c r="B14" s="251"/>
      <c r="C14" s="277">
        <v>0</v>
      </c>
      <c r="D14" s="277"/>
      <c r="E14" s="277">
        <v>0</v>
      </c>
      <c r="F14" s="277"/>
      <c r="G14" s="277">
        <v>0</v>
      </c>
      <c r="H14" s="277"/>
      <c r="I14" s="277">
        <v>0</v>
      </c>
      <c r="J14" s="277"/>
      <c r="K14" s="277">
        <v>0</v>
      </c>
      <c r="L14" s="277"/>
      <c r="M14" s="277">
        <v>0</v>
      </c>
      <c r="N14" s="277"/>
      <c r="O14" s="277">
        <v>0</v>
      </c>
      <c r="P14" s="277"/>
      <c r="Q14" s="277">
        <v>0</v>
      </c>
      <c r="R14" s="277"/>
      <c r="S14" s="277">
        <v>0</v>
      </c>
      <c r="T14" s="277"/>
      <c r="U14" s="277">
        <v>0</v>
      </c>
      <c r="V14" s="277"/>
      <c r="W14" s="277">
        <v>0</v>
      </c>
      <c r="X14" s="277"/>
      <c r="Y14" s="277">
        <v>0</v>
      </c>
      <c r="Z14" s="251"/>
      <c r="AA14" s="251">
        <f>SUM(C14:Y14)</f>
        <v>0</v>
      </c>
    </row>
    <row r="15" spans="1:28" s="93" customFormat="1" ht="13.8">
      <c r="A15" s="250" t="s">
        <v>10</v>
      </c>
      <c r="B15" s="251"/>
      <c r="C15" s="277">
        <v>0</v>
      </c>
      <c r="D15" s="277"/>
      <c r="E15" s="277">
        <v>0</v>
      </c>
      <c r="F15" s="277"/>
      <c r="G15" s="277">
        <v>0</v>
      </c>
      <c r="H15" s="277"/>
      <c r="I15" s="277">
        <v>0</v>
      </c>
      <c r="J15" s="277"/>
      <c r="K15" s="277">
        <v>0</v>
      </c>
      <c r="L15" s="277"/>
      <c r="M15" s="277">
        <v>0</v>
      </c>
      <c r="N15" s="277"/>
      <c r="O15" s="277">
        <v>0</v>
      </c>
      <c r="P15" s="277"/>
      <c r="Q15" s="277">
        <v>0</v>
      </c>
      <c r="R15" s="277"/>
      <c r="S15" s="277">
        <v>0</v>
      </c>
      <c r="T15" s="277"/>
      <c r="U15" s="277">
        <v>0</v>
      </c>
      <c r="V15" s="277"/>
      <c r="W15" s="277">
        <v>0</v>
      </c>
      <c r="X15" s="277"/>
      <c r="Y15" s="277">
        <v>0</v>
      </c>
      <c r="Z15" s="251"/>
      <c r="AA15" s="251">
        <f>SUM(C15:Y15)</f>
        <v>0</v>
      </c>
    </row>
    <row r="16" spans="1:28" s="93" customFormat="1" ht="5.0999999999999996" customHeight="1">
      <c r="A16" s="250"/>
      <c r="B16" s="251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51"/>
      <c r="AA16" s="251"/>
    </row>
    <row r="17" spans="1:28" s="93" customFormat="1" ht="13.8">
      <c r="A17" s="256" t="s">
        <v>47</v>
      </c>
      <c r="B17" s="251"/>
      <c r="C17" s="280">
        <f>+C19-SUM(C11:C16)</f>
        <v>0</v>
      </c>
      <c r="D17" s="277"/>
      <c r="E17" s="280">
        <f>+E19-SUM(E11:E16)</f>
        <v>0</v>
      </c>
      <c r="F17" s="277"/>
      <c r="G17" s="280">
        <f>+G19-SUM(G11:G16)</f>
        <v>0</v>
      </c>
      <c r="H17" s="277"/>
      <c r="I17" s="280">
        <f>+I19-SUM(I11:I16)</f>
        <v>0</v>
      </c>
      <c r="J17" s="277"/>
      <c r="K17" s="280">
        <f>+K19-SUM(K11:K16)</f>
        <v>0</v>
      </c>
      <c r="L17" s="277"/>
      <c r="M17" s="280">
        <f>+M19-SUM(M11:M16)</f>
        <v>0</v>
      </c>
      <c r="N17" s="277"/>
      <c r="O17" s="280">
        <f>+O19-SUM(O11:O16)</f>
        <v>0</v>
      </c>
      <c r="P17" s="277"/>
      <c r="Q17" s="280">
        <f>+Q19-SUM(Q11:Q16)</f>
        <v>0</v>
      </c>
      <c r="R17" s="277"/>
      <c r="S17" s="280">
        <f>+S19-SUM(S11:S16)</f>
        <v>0</v>
      </c>
      <c r="T17" s="277"/>
      <c r="U17" s="280">
        <f>+U19-SUM(U11:U16)</f>
        <v>0</v>
      </c>
      <c r="V17" s="277"/>
      <c r="W17" s="280">
        <f>+W19-SUM(W11:W16)</f>
        <v>0</v>
      </c>
      <c r="X17" s="277"/>
      <c r="Y17" s="280">
        <f>+Y19-SUM(Y11:Y16)</f>
        <v>0</v>
      </c>
      <c r="Z17" s="251"/>
      <c r="AA17" s="280">
        <f>+AA19-SUM(AA11:AA16)</f>
        <v>0</v>
      </c>
    </row>
    <row r="18" spans="1:28" s="93" customFormat="1" ht="5.0999999999999996" customHeight="1">
      <c r="A18" s="250"/>
      <c r="B18" s="251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51"/>
      <c r="AA18" s="277"/>
    </row>
    <row r="19" spans="1:28" s="93" customFormat="1" ht="13.8">
      <c r="A19" s="257" t="s">
        <v>227</v>
      </c>
      <c r="B19" s="157"/>
      <c r="C19" s="281">
        <f>+Format!D69</f>
        <v>0</v>
      </c>
      <c r="D19" s="282"/>
      <c r="E19" s="281">
        <f>+Format!F69</f>
        <v>0</v>
      </c>
      <c r="F19" s="282"/>
      <c r="G19" s="281">
        <f>+Format!H69</f>
        <v>0</v>
      </c>
      <c r="H19" s="282"/>
      <c r="I19" s="281">
        <f>+Format!J69</f>
        <v>0</v>
      </c>
      <c r="J19" s="282"/>
      <c r="K19" s="281">
        <f>+Format!L69</f>
        <v>0</v>
      </c>
      <c r="L19" s="282"/>
      <c r="M19" s="281">
        <f>+Format!N69</f>
        <v>0</v>
      </c>
      <c r="N19" s="282"/>
      <c r="O19" s="281">
        <f>+Format!P69</f>
        <v>0</v>
      </c>
      <c r="P19" s="282"/>
      <c r="Q19" s="281">
        <f>+Format!R69</f>
        <v>0</v>
      </c>
      <c r="R19" s="282"/>
      <c r="S19" s="281">
        <f>+Format!T69</f>
        <v>0</v>
      </c>
      <c r="T19" s="282"/>
      <c r="U19" s="281">
        <f>+Format!V69</f>
        <v>0</v>
      </c>
      <c r="V19" s="282"/>
      <c r="W19" s="281">
        <f>+Format!X69</f>
        <v>0</v>
      </c>
      <c r="X19" s="282"/>
      <c r="Y19" s="281">
        <f>+Format!Z69</f>
        <v>0</v>
      </c>
      <c r="Z19" s="157"/>
      <c r="AA19" s="281">
        <f>+Format!AB69</f>
        <v>0</v>
      </c>
    </row>
    <row r="20" spans="1:28" s="93" customFormat="1" ht="13.8">
      <c r="A20" s="250"/>
      <c r="B20" s="251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51"/>
      <c r="AA20" s="251"/>
    </row>
    <row r="21" spans="1:28" s="93" customFormat="1" ht="13.8">
      <c r="A21" s="94" t="s">
        <v>82</v>
      </c>
      <c r="B21" s="251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51"/>
      <c r="AA21" s="251"/>
    </row>
    <row r="22" spans="1:28" s="93" customFormat="1" ht="13.8">
      <c r="A22" s="250" t="s">
        <v>81</v>
      </c>
      <c r="B22" s="77"/>
      <c r="C22" s="277">
        <v>0</v>
      </c>
      <c r="D22" s="277"/>
      <c r="E22" s="277">
        <v>0</v>
      </c>
      <c r="F22" s="277"/>
      <c r="G22" s="277">
        <v>0</v>
      </c>
      <c r="H22" s="277"/>
      <c r="I22" s="277">
        <v>0</v>
      </c>
      <c r="J22" s="277"/>
      <c r="K22" s="277">
        <v>0</v>
      </c>
      <c r="L22" s="277"/>
      <c r="M22" s="277">
        <v>0</v>
      </c>
      <c r="N22" s="277"/>
      <c r="O22" s="277">
        <v>0</v>
      </c>
      <c r="P22" s="277"/>
      <c r="Q22" s="277">
        <v>0</v>
      </c>
      <c r="R22" s="277"/>
      <c r="S22" s="277">
        <v>0</v>
      </c>
      <c r="T22" s="277"/>
      <c r="U22" s="277">
        <v>0</v>
      </c>
      <c r="V22" s="277"/>
      <c r="W22" s="277">
        <v>0</v>
      </c>
      <c r="X22" s="277"/>
      <c r="Y22" s="277">
        <v>0</v>
      </c>
      <c r="Z22" s="251"/>
      <c r="AA22" s="251">
        <f>SUM(C22:Y22)</f>
        <v>0</v>
      </c>
    </row>
    <row r="23" spans="1:28" s="93" customFormat="1" ht="13.8">
      <c r="A23" s="250" t="s">
        <v>10</v>
      </c>
      <c r="B23" s="251"/>
      <c r="C23" s="277">
        <v>0</v>
      </c>
      <c r="D23" s="277"/>
      <c r="E23" s="277">
        <v>0</v>
      </c>
      <c r="F23" s="277"/>
      <c r="G23" s="277">
        <v>0</v>
      </c>
      <c r="H23" s="277"/>
      <c r="I23" s="277">
        <v>0</v>
      </c>
      <c r="J23" s="277"/>
      <c r="K23" s="277">
        <v>0</v>
      </c>
      <c r="L23" s="277"/>
      <c r="M23" s="277">
        <v>0</v>
      </c>
      <c r="N23" s="277"/>
      <c r="O23" s="277">
        <v>0</v>
      </c>
      <c r="P23" s="277"/>
      <c r="Q23" s="277">
        <v>0</v>
      </c>
      <c r="R23" s="277"/>
      <c r="S23" s="277">
        <v>0</v>
      </c>
      <c r="T23" s="277"/>
      <c r="U23" s="277">
        <v>0</v>
      </c>
      <c r="V23" s="277"/>
      <c r="W23" s="277">
        <v>0</v>
      </c>
      <c r="X23" s="277"/>
      <c r="Y23" s="277">
        <v>0</v>
      </c>
      <c r="Z23" s="251"/>
      <c r="AA23" s="251">
        <f>SUM(C23:Y23)</f>
        <v>0</v>
      </c>
      <c r="AB23" s="92"/>
    </row>
    <row r="24" spans="1:28" s="93" customFormat="1" ht="13.8">
      <c r="A24" s="250" t="s">
        <v>10</v>
      </c>
      <c r="B24" s="251"/>
      <c r="C24" s="277">
        <v>0</v>
      </c>
      <c r="D24" s="277"/>
      <c r="E24" s="277">
        <v>0</v>
      </c>
      <c r="F24" s="277"/>
      <c r="G24" s="277">
        <v>0</v>
      </c>
      <c r="H24" s="277"/>
      <c r="I24" s="277">
        <v>0</v>
      </c>
      <c r="J24" s="277"/>
      <c r="K24" s="277">
        <v>0</v>
      </c>
      <c r="L24" s="277"/>
      <c r="M24" s="277">
        <v>0</v>
      </c>
      <c r="N24" s="277"/>
      <c r="O24" s="277">
        <v>0</v>
      </c>
      <c r="P24" s="277"/>
      <c r="Q24" s="277">
        <v>0</v>
      </c>
      <c r="R24" s="277"/>
      <c r="S24" s="277">
        <v>0</v>
      </c>
      <c r="T24" s="277"/>
      <c r="U24" s="277">
        <v>0</v>
      </c>
      <c r="V24" s="277"/>
      <c r="W24" s="277">
        <v>0</v>
      </c>
      <c r="X24" s="277"/>
      <c r="Y24" s="277">
        <v>0</v>
      </c>
      <c r="Z24" s="251"/>
      <c r="AA24" s="251">
        <f>SUM(C24:Y24)</f>
        <v>0</v>
      </c>
      <c r="AB24" s="92"/>
    </row>
    <row r="25" spans="1:28" s="93" customFormat="1" ht="13.8">
      <c r="A25" s="250" t="s">
        <v>10</v>
      </c>
      <c r="B25" s="251"/>
      <c r="C25" s="277">
        <v>0</v>
      </c>
      <c r="D25" s="277"/>
      <c r="E25" s="277">
        <v>0</v>
      </c>
      <c r="F25" s="277"/>
      <c r="G25" s="277">
        <v>0</v>
      </c>
      <c r="H25" s="277"/>
      <c r="I25" s="277">
        <v>0</v>
      </c>
      <c r="J25" s="277"/>
      <c r="K25" s="277">
        <v>0</v>
      </c>
      <c r="L25" s="277"/>
      <c r="M25" s="277">
        <v>0</v>
      </c>
      <c r="N25" s="277"/>
      <c r="O25" s="277">
        <v>0</v>
      </c>
      <c r="P25" s="277"/>
      <c r="Q25" s="277">
        <v>0</v>
      </c>
      <c r="R25" s="277"/>
      <c r="S25" s="277">
        <v>0</v>
      </c>
      <c r="T25" s="277"/>
      <c r="U25" s="277">
        <v>0</v>
      </c>
      <c r="V25" s="277"/>
      <c r="W25" s="277">
        <v>0</v>
      </c>
      <c r="X25" s="277"/>
      <c r="Y25" s="277">
        <v>0</v>
      </c>
      <c r="Z25" s="251"/>
      <c r="AA25" s="251">
        <f>SUM(C25:Y25)</f>
        <v>0</v>
      </c>
      <c r="AB25" s="92"/>
    </row>
    <row r="26" spans="1:28" s="93" customFormat="1" ht="5.0999999999999996" customHeight="1">
      <c r="A26" s="250"/>
      <c r="B26" s="251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51"/>
      <c r="AA26" s="251"/>
      <c r="AB26" s="92"/>
    </row>
    <row r="27" spans="1:28" s="93" customFormat="1" ht="13.8">
      <c r="A27" s="256" t="s">
        <v>47</v>
      </c>
      <c r="B27" s="251"/>
      <c r="C27" s="280">
        <f>+C29-SUM(C21:C26)</f>
        <v>0</v>
      </c>
      <c r="D27" s="277"/>
      <c r="E27" s="280">
        <f>+E29-SUM(E21:E26)</f>
        <v>0</v>
      </c>
      <c r="F27" s="277"/>
      <c r="G27" s="280">
        <f>+G29-SUM(G21:G26)</f>
        <v>0</v>
      </c>
      <c r="H27" s="277"/>
      <c r="I27" s="280">
        <f>+I29-SUM(I21:I26)</f>
        <v>0</v>
      </c>
      <c r="J27" s="277"/>
      <c r="K27" s="280">
        <f>+K29-SUM(K21:K26)</f>
        <v>0</v>
      </c>
      <c r="L27" s="277"/>
      <c r="M27" s="280">
        <f>+M29-SUM(M21:M26)</f>
        <v>0</v>
      </c>
      <c r="N27" s="277"/>
      <c r="O27" s="280">
        <f>+O29-SUM(O21:O26)</f>
        <v>0</v>
      </c>
      <c r="P27" s="277"/>
      <c r="Q27" s="280">
        <f>+Q29-SUM(Q21:Q26)</f>
        <v>0</v>
      </c>
      <c r="R27" s="277"/>
      <c r="S27" s="280">
        <f>+S29-SUM(S21:S26)</f>
        <v>0</v>
      </c>
      <c r="T27" s="277"/>
      <c r="U27" s="280">
        <f>+U29-SUM(U21:U26)</f>
        <v>0</v>
      </c>
      <c r="V27" s="277"/>
      <c r="W27" s="280">
        <f>+W29-SUM(W21:W26)</f>
        <v>0</v>
      </c>
      <c r="X27" s="277"/>
      <c r="Y27" s="280">
        <f>+Y29-SUM(Y21:Y26)</f>
        <v>0</v>
      </c>
      <c r="Z27" s="251"/>
      <c r="AA27" s="280">
        <f>+AA29-SUM(AA21:AA26)</f>
        <v>0</v>
      </c>
      <c r="AB27" s="92"/>
    </row>
    <row r="28" spans="1:28" s="93" customFormat="1" ht="5.0999999999999996" customHeight="1">
      <c r="A28" s="250"/>
      <c r="B28" s="251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51"/>
      <c r="AA28" s="277"/>
      <c r="AB28" s="92"/>
    </row>
    <row r="29" spans="1:28" s="93" customFormat="1" ht="13.8">
      <c r="A29" s="257" t="s">
        <v>228</v>
      </c>
      <c r="B29" s="157"/>
      <c r="C29" s="281">
        <f>+Format!D78</f>
        <v>0</v>
      </c>
      <c r="D29" s="282"/>
      <c r="E29" s="281">
        <f>+Format!F78</f>
        <v>0</v>
      </c>
      <c r="F29" s="282"/>
      <c r="G29" s="281">
        <f>+Format!H78</f>
        <v>0</v>
      </c>
      <c r="H29" s="282"/>
      <c r="I29" s="281">
        <f>+Format!J78</f>
        <v>0</v>
      </c>
      <c r="J29" s="282"/>
      <c r="K29" s="281">
        <f>+Format!L78</f>
        <v>0</v>
      </c>
      <c r="L29" s="282"/>
      <c r="M29" s="281">
        <f>+Format!N78</f>
        <v>0</v>
      </c>
      <c r="N29" s="282"/>
      <c r="O29" s="281">
        <f>+Format!P78</f>
        <v>0</v>
      </c>
      <c r="P29" s="282"/>
      <c r="Q29" s="281">
        <f>+Format!R78</f>
        <v>0</v>
      </c>
      <c r="R29" s="282"/>
      <c r="S29" s="281">
        <f>+Format!T78</f>
        <v>0</v>
      </c>
      <c r="T29" s="282"/>
      <c r="U29" s="281">
        <f>+Format!V78</f>
        <v>0</v>
      </c>
      <c r="V29" s="282"/>
      <c r="W29" s="281">
        <f>+Format!X78</f>
        <v>0</v>
      </c>
      <c r="X29" s="282"/>
      <c r="Y29" s="281">
        <f>+Format!Z78</f>
        <v>0</v>
      </c>
      <c r="Z29" s="157"/>
      <c r="AA29" s="281">
        <f>+Format!AB78</f>
        <v>0</v>
      </c>
      <c r="AB29" s="92"/>
    </row>
    <row r="30" spans="1:28" s="93" customFormat="1" ht="13.8">
      <c r="A30" s="81"/>
      <c r="B30" s="81"/>
      <c r="C30" s="283"/>
      <c r="D30" s="81"/>
      <c r="E30" s="283"/>
      <c r="F30" s="81"/>
      <c r="G30" s="283"/>
      <c r="H30" s="81"/>
      <c r="I30" s="283"/>
      <c r="J30" s="81"/>
      <c r="K30" s="283"/>
      <c r="L30" s="81"/>
      <c r="M30" s="283"/>
      <c r="N30" s="81"/>
      <c r="O30" s="283"/>
      <c r="P30" s="81"/>
      <c r="Q30" s="283"/>
      <c r="R30" s="81"/>
      <c r="S30" s="283"/>
      <c r="T30" s="81"/>
      <c r="U30" s="283"/>
      <c r="V30" s="81"/>
      <c r="W30" s="283"/>
      <c r="X30" s="81"/>
      <c r="Y30" s="283"/>
      <c r="Z30" s="81"/>
      <c r="AA30" s="283"/>
      <c r="AB30" s="92"/>
    </row>
    <row r="31" spans="1:28" s="93" customFormat="1" ht="14.4" thickBot="1">
      <c r="A31" s="84" t="s">
        <v>83</v>
      </c>
      <c r="B31" s="252"/>
      <c r="C31" s="284">
        <f>+C19+C29</f>
        <v>0</v>
      </c>
      <c r="D31" s="84"/>
      <c r="E31" s="284">
        <f>+E19+E29</f>
        <v>0</v>
      </c>
      <c r="F31" s="84"/>
      <c r="G31" s="284">
        <f>+G19+G29</f>
        <v>0</v>
      </c>
      <c r="H31" s="84"/>
      <c r="I31" s="284">
        <f>+I19+I29</f>
        <v>0</v>
      </c>
      <c r="J31" s="84"/>
      <c r="K31" s="284">
        <f>+K19+K29</f>
        <v>0</v>
      </c>
      <c r="L31" s="84"/>
      <c r="M31" s="284">
        <f>+M19+M29</f>
        <v>0</v>
      </c>
      <c r="N31" s="84"/>
      <c r="O31" s="284">
        <f>+O19+O29</f>
        <v>0</v>
      </c>
      <c r="P31" s="84"/>
      <c r="Q31" s="284">
        <f>+Q19+Q29</f>
        <v>0</v>
      </c>
      <c r="R31" s="84"/>
      <c r="S31" s="284">
        <f>+S19+S29</f>
        <v>0</v>
      </c>
      <c r="T31" s="84"/>
      <c r="U31" s="284">
        <f>+U19+U29</f>
        <v>0</v>
      </c>
      <c r="V31" s="84"/>
      <c r="W31" s="284">
        <f>+W19+W29</f>
        <v>0</v>
      </c>
      <c r="X31" s="84"/>
      <c r="Y31" s="284">
        <f>+Y19+Y29</f>
        <v>0</v>
      </c>
      <c r="Z31" s="84"/>
      <c r="AA31" s="284">
        <f>+AA19+AA29</f>
        <v>0</v>
      </c>
      <c r="AB31" s="92"/>
    </row>
    <row r="32" spans="1:28" ht="15.6" thickTop="1">
      <c r="A32" s="6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</row>
    <row r="33" spans="1:27">
      <c r="A33" s="6" t="str">
        <f ca="1">CELL("filename",A1)</f>
        <v>G:\MRO\MRO\Aug01\[3rd quarter curr est.xls]EquityAffiliates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</row>
    <row r="34" spans="1:27">
      <c r="A34" s="7">
        <f ca="1">NOW()</f>
        <v>37151.667196180555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</row>
  </sheetData>
  <printOptions horizontalCentered="1"/>
  <pageMargins left="0.5" right="0.5" top="0.75" bottom="0.75" header="0.5" footer="0.5"/>
  <pageSetup scale="7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8"/>
  <sheetViews>
    <sheetView topLeftCell="I26" workbookViewId="0">
      <selection activeCell="W42" sqref="W42:W46"/>
    </sheetView>
  </sheetViews>
  <sheetFormatPr defaultColWidth="12.5546875" defaultRowHeight="15"/>
  <cols>
    <col min="1" max="1" width="48" style="91" bestFit="1" customWidth="1"/>
    <col min="2" max="2" width="3" style="91" customWidth="1"/>
    <col min="3" max="3" width="7.44140625" style="91" customWidth="1"/>
    <col min="4" max="4" width="3" style="91" customWidth="1"/>
    <col min="5" max="5" width="7.44140625" style="91" customWidth="1"/>
    <col min="6" max="6" width="3" style="91" customWidth="1"/>
    <col min="7" max="7" width="7.44140625" style="91" customWidth="1"/>
    <col min="8" max="8" width="3" style="91" customWidth="1"/>
    <col min="9" max="9" width="7.44140625" style="91" customWidth="1"/>
    <col min="10" max="10" width="3" style="91" customWidth="1"/>
    <col min="11" max="11" width="7.44140625" style="91" customWidth="1"/>
    <col min="12" max="12" width="3" style="91" customWidth="1"/>
    <col min="13" max="13" width="7.44140625" style="91" customWidth="1"/>
    <col min="14" max="14" width="3" style="91" customWidth="1"/>
    <col min="15" max="15" width="7.44140625" style="91" customWidth="1"/>
    <col min="16" max="16" width="3" style="91" customWidth="1"/>
    <col min="17" max="17" width="7.44140625" style="91" customWidth="1"/>
    <col min="18" max="18" width="3" style="91" customWidth="1"/>
    <col min="19" max="19" width="7.44140625" style="91" customWidth="1"/>
    <col min="20" max="20" width="3" style="91" customWidth="1"/>
    <col min="21" max="21" width="7.44140625" style="91" customWidth="1"/>
    <col min="22" max="22" width="3" style="91" customWidth="1"/>
    <col min="23" max="23" width="7.44140625" style="91" customWidth="1"/>
    <col min="24" max="24" width="3" style="91" customWidth="1"/>
    <col min="25" max="25" width="7.44140625" style="91" customWidth="1"/>
    <col min="26" max="26" width="3" style="91" customWidth="1"/>
    <col min="27" max="27" width="8.5546875" style="91" customWidth="1"/>
    <col min="28" max="28" width="2.6640625" style="91" customWidth="1"/>
    <col min="29" max="16384" width="12.5546875" style="91"/>
  </cols>
  <sheetData>
    <row r="1" spans="1:28" ht="17.399999999999999">
      <c r="A1" s="63" t="str">
        <f>+QtrComp_vs_PY!A1</f>
        <v>PORTLAND GENERAL GROUP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28" ht="17.399999999999999">
      <c r="A2" s="63" t="str">
        <f>+QtrComp_vs_PY!A2</f>
        <v>2001 CURRENT ESTIMATE - AUGUST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</row>
    <row r="3" spans="1:28" ht="17.399999999999999">
      <c r="A3" s="40" t="s">
        <v>84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ht="17.399999999999999">
      <c r="A4" s="66" t="s">
        <v>2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8" s="92" customFormat="1" ht="13.8">
      <c r="A6" s="71"/>
      <c r="B6" s="72"/>
      <c r="C6" s="73" t="s">
        <v>105</v>
      </c>
      <c r="D6" s="73"/>
      <c r="E6" s="74"/>
      <c r="F6" s="73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8" s="92" customFormat="1" ht="13.8">
      <c r="A7" s="75"/>
      <c r="B7" s="75"/>
      <c r="C7" s="76" t="s">
        <v>26</v>
      </c>
      <c r="D7" s="76"/>
      <c r="E7" s="76" t="s">
        <v>27</v>
      </c>
      <c r="F7" s="76"/>
      <c r="G7" s="76" t="s">
        <v>28</v>
      </c>
      <c r="H7" s="76"/>
      <c r="I7" s="76" t="s">
        <v>29</v>
      </c>
      <c r="J7" s="76"/>
      <c r="K7" s="76" t="s">
        <v>30</v>
      </c>
      <c r="L7" s="76"/>
      <c r="M7" s="76" t="s">
        <v>31</v>
      </c>
      <c r="N7" s="76"/>
      <c r="O7" s="76" t="s">
        <v>32</v>
      </c>
      <c r="P7" s="76"/>
      <c r="Q7" s="76" t="s">
        <v>33</v>
      </c>
      <c r="R7" s="76"/>
      <c r="S7" s="76" t="s">
        <v>34</v>
      </c>
      <c r="T7" s="76"/>
      <c r="U7" s="76" t="s">
        <v>35</v>
      </c>
      <c r="V7" s="76"/>
      <c r="W7" s="76" t="s">
        <v>36</v>
      </c>
      <c r="X7" s="76"/>
      <c r="Y7" s="76" t="s">
        <v>37</v>
      </c>
      <c r="Z7" s="76"/>
      <c r="AA7" s="76" t="s">
        <v>38</v>
      </c>
    </row>
    <row r="8" spans="1:28" s="92" customFormat="1" ht="13.8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8" s="92" customFormat="1" ht="13.8">
      <c r="A9" s="94" t="s">
        <v>85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93"/>
    </row>
    <row r="10" spans="1:28" s="93" customFormat="1" ht="13.8">
      <c r="A10" s="250" t="s">
        <v>87</v>
      </c>
      <c r="B10" s="251"/>
      <c r="C10" s="277">
        <v>0</v>
      </c>
      <c r="D10" s="277"/>
      <c r="E10" s="277">
        <v>0</v>
      </c>
      <c r="F10" s="277"/>
      <c r="G10" s="277">
        <v>0</v>
      </c>
      <c r="H10" s="277"/>
      <c r="I10" s="277">
        <v>0</v>
      </c>
      <c r="J10" s="277"/>
      <c r="K10" s="277">
        <v>0</v>
      </c>
      <c r="L10" s="277"/>
      <c r="M10" s="277">
        <v>0</v>
      </c>
      <c r="N10" s="277"/>
      <c r="O10" s="277">
        <v>0</v>
      </c>
      <c r="P10" s="277"/>
      <c r="Q10" s="277">
        <v>0</v>
      </c>
      <c r="R10" s="277"/>
      <c r="S10" s="277">
        <v>0</v>
      </c>
      <c r="T10" s="277"/>
      <c r="U10" s="277">
        <v>0</v>
      </c>
      <c r="V10" s="277"/>
      <c r="W10" s="277">
        <v>0</v>
      </c>
      <c r="X10" s="277"/>
      <c r="Y10" s="277">
        <v>0</v>
      </c>
      <c r="Z10" s="251"/>
      <c r="AA10" s="251">
        <f t="shared" ref="AA10:AA15" si="0">SUM(C10:Y10)</f>
        <v>0</v>
      </c>
    </row>
    <row r="11" spans="1:28" s="93" customFormat="1" ht="13.8">
      <c r="A11" s="250" t="s">
        <v>47</v>
      </c>
      <c r="B11" s="251"/>
      <c r="C11" s="277">
        <v>0</v>
      </c>
      <c r="D11" s="277"/>
      <c r="E11" s="277">
        <v>0</v>
      </c>
      <c r="F11" s="277"/>
      <c r="G11" s="277">
        <v>0</v>
      </c>
      <c r="H11" s="277"/>
      <c r="I11" s="277">
        <v>0</v>
      </c>
      <c r="J11" s="277"/>
      <c r="K11" s="277">
        <v>0</v>
      </c>
      <c r="L11" s="277"/>
      <c r="M11" s="277">
        <v>0</v>
      </c>
      <c r="N11" s="277"/>
      <c r="O11" s="277">
        <v>0</v>
      </c>
      <c r="P11" s="277"/>
      <c r="Q11" s="277">
        <v>0</v>
      </c>
      <c r="R11" s="277"/>
      <c r="S11" s="277">
        <v>0</v>
      </c>
      <c r="T11" s="277"/>
      <c r="U11" s="277">
        <v>0</v>
      </c>
      <c r="V11" s="277"/>
      <c r="W11" s="277">
        <v>0</v>
      </c>
      <c r="X11" s="277"/>
      <c r="Y11" s="277">
        <v>0</v>
      </c>
      <c r="Z11" s="251"/>
      <c r="AA11" s="251">
        <f t="shared" si="0"/>
        <v>0</v>
      </c>
    </row>
    <row r="12" spans="1:28" s="93" customFormat="1" ht="13.8">
      <c r="A12" s="250" t="s">
        <v>10</v>
      </c>
      <c r="B12" s="251"/>
      <c r="C12" s="277">
        <v>0</v>
      </c>
      <c r="D12" s="277"/>
      <c r="E12" s="277">
        <v>0</v>
      </c>
      <c r="F12" s="277"/>
      <c r="G12" s="277">
        <v>0</v>
      </c>
      <c r="H12" s="277"/>
      <c r="I12" s="277">
        <v>0</v>
      </c>
      <c r="J12" s="277"/>
      <c r="K12" s="277">
        <v>0</v>
      </c>
      <c r="L12" s="277"/>
      <c r="M12" s="277">
        <v>0</v>
      </c>
      <c r="N12" s="277"/>
      <c r="O12" s="277">
        <v>0</v>
      </c>
      <c r="P12" s="277"/>
      <c r="Q12" s="277">
        <v>0</v>
      </c>
      <c r="R12" s="277"/>
      <c r="S12" s="277">
        <v>0</v>
      </c>
      <c r="T12" s="277"/>
      <c r="U12" s="277">
        <v>0</v>
      </c>
      <c r="V12" s="277"/>
      <c r="W12" s="277">
        <v>0</v>
      </c>
      <c r="X12" s="277"/>
      <c r="Y12" s="277">
        <v>0</v>
      </c>
      <c r="Z12" s="251"/>
      <c r="AA12" s="251">
        <f t="shared" si="0"/>
        <v>0</v>
      </c>
    </row>
    <row r="13" spans="1:28" s="93" customFormat="1" ht="13.8">
      <c r="A13" s="250" t="s">
        <v>10</v>
      </c>
      <c r="B13" s="251"/>
      <c r="C13" s="277">
        <v>0</v>
      </c>
      <c r="D13" s="277"/>
      <c r="E13" s="277">
        <v>0</v>
      </c>
      <c r="F13" s="277"/>
      <c r="G13" s="277">
        <v>0</v>
      </c>
      <c r="H13" s="277"/>
      <c r="I13" s="277">
        <v>0</v>
      </c>
      <c r="J13" s="277"/>
      <c r="K13" s="277">
        <v>0</v>
      </c>
      <c r="L13" s="277"/>
      <c r="M13" s="277">
        <v>0</v>
      </c>
      <c r="N13" s="277"/>
      <c r="O13" s="277">
        <v>0</v>
      </c>
      <c r="P13" s="277"/>
      <c r="Q13" s="277">
        <v>0</v>
      </c>
      <c r="R13" s="277"/>
      <c r="S13" s="277">
        <v>0</v>
      </c>
      <c r="T13" s="277"/>
      <c r="U13" s="277">
        <v>0</v>
      </c>
      <c r="V13" s="277"/>
      <c r="W13" s="277">
        <v>0</v>
      </c>
      <c r="X13" s="277"/>
      <c r="Y13" s="277">
        <v>0</v>
      </c>
      <c r="Z13" s="251"/>
      <c r="AA13" s="251">
        <f>SUM(C13:Y13)</f>
        <v>0</v>
      </c>
    </row>
    <row r="14" spans="1:28" s="93" customFormat="1" ht="13.8">
      <c r="A14" s="250" t="s">
        <v>10</v>
      </c>
      <c r="B14" s="251"/>
      <c r="C14" s="277">
        <v>0</v>
      </c>
      <c r="D14" s="277"/>
      <c r="E14" s="277">
        <v>0</v>
      </c>
      <c r="F14" s="277"/>
      <c r="G14" s="277">
        <v>0</v>
      </c>
      <c r="H14" s="277"/>
      <c r="I14" s="277">
        <v>0</v>
      </c>
      <c r="J14" s="277"/>
      <c r="K14" s="277">
        <v>0</v>
      </c>
      <c r="L14" s="277"/>
      <c r="M14" s="277">
        <v>0</v>
      </c>
      <c r="N14" s="277"/>
      <c r="O14" s="277">
        <v>0</v>
      </c>
      <c r="P14" s="277"/>
      <c r="Q14" s="277">
        <v>0</v>
      </c>
      <c r="R14" s="277"/>
      <c r="S14" s="277">
        <v>0</v>
      </c>
      <c r="T14" s="277"/>
      <c r="U14" s="277">
        <v>0</v>
      </c>
      <c r="V14" s="277"/>
      <c r="W14" s="277">
        <v>0</v>
      </c>
      <c r="X14" s="277"/>
      <c r="Y14" s="277">
        <v>0</v>
      </c>
      <c r="Z14" s="251"/>
      <c r="AA14" s="251">
        <f>SUM(C14:Y14)</f>
        <v>0</v>
      </c>
    </row>
    <row r="15" spans="1:28" s="93" customFormat="1" ht="13.8">
      <c r="A15" s="250" t="s">
        <v>10</v>
      </c>
      <c r="B15" s="251"/>
      <c r="C15" s="277">
        <v>0</v>
      </c>
      <c r="D15" s="277"/>
      <c r="E15" s="277">
        <v>0</v>
      </c>
      <c r="F15" s="277"/>
      <c r="G15" s="277">
        <v>0</v>
      </c>
      <c r="H15" s="277"/>
      <c r="I15" s="277">
        <v>0</v>
      </c>
      <c r="J15" s="277"/>
      <c r="K15" s="277">
        <v>0</v>
      </c>
      <c r="L15" s="277"/>
      <c r="M15" s="277">
        <v>0</v>
      </c>
      <c r="N15" s="277"/>
      <c r="O15" s="277">
        <v>0</v>
      </c>
      <c r="P15" s="277"/>
      <c r="Q15" s="277">
        <v>0</v>
      </c>
      <c r="R15" s="277"/>
      <c r="S15" s="277">
        <v>0</v>
      </c>
      <c r="T15" s="277"/>
      <c r="U15" s="277">
        <v>0</v>
      </c>
      <c r="V15" s="277"/>
      <c r="W15" s="277">
        <v>0</v>
      </c>
      <c r="X15" s="277"/>
      <c r="Y15" s="277">
        <v>0</v>
      </c>
      <c r="Z15" s="251"/>
      <c r="AA15" s="251">
        <f t="shared" si="0"/>
        <v>0</v>
      </c>
    </row>
    <row r="16" spans="1:28" s="93" customFormat="1" ht="13.8">
      <c r="A16" s="250"/>
      <c r="B16" s="251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51"/>
      <c r="AA16" s="251"/>
    </row>
    <row r="17" spans="1:28" s="93" customFormat="1" ht="13.8">
      <c r="A17" s="94" t="s">
        <v>88</v>
      </c>
      <c r="B17" s="251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51"/>
      <c r="AA17" s="251"/>
    </row>
    <row r="18" spans="1:28" s="93" customFormat="1" ht="13.8">
      <c r="A18" s="250" t="s">
        <v>10</v>
      </c>
      <c r="B18" s="251"/>
      <c r="C18" s="277">
        <v>0</v>
      </c>
      <c r="D18" s="277"/>
      <c r="E18" s="277">
        <v>0</v>
      </c>
      <c r="F18" s="277"/>
      <c r="G18" s="277">
        <v>0</v>
      </c>
      <c r="H18" s="277"/>
      <c r="I18" s="277">
        <v>0</v>
      </c>
      <c r="J18" s="277"/>
      <c r="K18" s="277">
        <v>0</v>
      </c>
      <c r="L18" s="277"/>
      <c r="M18" s="277">
        <v>0</v>
      </c>
      <c r="N18" s="277"/>
      <c r="O18" s="277">
        <v>0</v>
      </c>
      <c r="P18" s="277"/>
      <c r="Q18" s="277">
        <v>0</v>
      </c>
      <c r="R18" s="277"/>
      <c r="S18" s="277">
        <v>0</v>
      </c>
      <c r="T18" s="277"/>
      <c r="U18" s="277">
        <v>0</v>
      </c>
      <c r="V18" s="277"/>
      <c r="W18" s="277">
        <v>0</v>
      </c>
      <c r="X18" s="277"/>
      <c r="Y18" s="277">
        <v>0</v>
      </c>
      <c r="Z18" s="251"/>
      <c r="AA18" s="251">
        <f>SUM(C18:Y18)</f>
        <v>0</v>
      </c>
    </row>
    <row r="19" spans="1:28" s="93" customFormat="1" ht="13.8">
      <c r="A19" s="250" t="s">
        <v>10</v>
      </c>
      <c r="B19" s="251"/>
      <c r="C19" s="277">
        <v>0</v>
      </c>
      <c r="D19" s="277"/>
      <c r="E19" s="277">
        <v>0</v>
      </c>
      <c r="F19" s="277"/>
      <c r="G19" s="277">
        <v>0</v>
      </c>
      <c r="H19" s="277"/>
      <c r="I19" s="277">
        <v>0</v>
      </c>
      <c r="J19" s="277"/>
      <c r="K19" s="277">
        <v>0</v>
      </c>
      <c r="L19" s="277"/>
      <c r="M19" s="277">
        <v>0</v>
      </c>
      <c r="N19" s="277"/>
      <c r="O19" s="277">
        <v>0</v>
      </c>
      <c r="P19" s="277"/>
      <c r="Q19" s="277">
        <v>0</v>
      </c>
      <c r="R19" s="277"/>
      <c r="S19" s="277">
        <v>0</v>
      </c>
      <c r="T19" s="277"/>
      <c r="U19" s="277">
        <v>0</v>
      </c>
      <c r="V19" s="277"/>
      <c r="W19" s="277">
        <v>0</v>
      </c>
      <c r="X19" s="277"/>
      <c r="Y19" s="277">
        <v>0</v>
      </c>
      <c r="Z19" s="251"/>
      <c r="AA19" s="251">
        <f>SUM(C19:Y19)</f>
        <v>0</v>
      </c>
    </row>
    <row r="20" spans="1:28" s="93" customFormat="1" ht="13.8">
      <c r="A20" s="250" t="s">
        <v>10</v>
      </c>
      <c r="B20" s="251"/>
      <c r="C20" s="277">
        <v>0</v>
      </c>
      <c r="D20" s="277"/>
      <c r="E20" s="277">
        <v>0</v>
      </c>
      <c r="F20" s="277"/>
      <c r="G20" s="277">
        <v>0</v>
      </c>
      <c r="H20" s="277"/>
      <c r="I20" s="277">
        <v>0</v>
      </c>
      <c r="J20" s="277"/>
      <c r="K20" s="277">
        <v>0</v>
      </c>
      <c r="L20" s="277"/>
      <c r="M20" s="277">
        <v>0</v>
      </c>
      <c r="N20" s="277"/>
      <c r="O20" s="277">
        <v>0</v>
      </c>
      <c r="P20" s="277"/>
      <c r="Q20" s="277">
        <v>0</v>
      </c>
      <c r="R20" s="277"/>
      <c r="S20" s="277">
        <v>0</v>
      </c>
      <c r="T20" s="277"/>
      <c r="U20" s="277">
        <v>0</v>
      </c>
      <c r="V20" s="277"/>
      <c r="W20" s="277">
        <v>0</v>
      </c>
      <c r="X20" s="277"/>
      <c r="Y20" s="277">
        <v>0</v>
      </c>
      <c r="Z20" s="251"/>
      <c r="AA20" s="251">
        <f>SUM(C20:Y20)</f>
        <v>0</v>
      </c>
    </row>
    <row r="21" spans="1:28" s="93" customFormat="1" ht="13.8">
      <c r="A21" s="250" t="s">
        <v>10</v>
      </c>
      <c r="B21" s="251"/>
      <c r="C21" s="277">
        <v>0</v>
      </c>
      <c r="D21" s="277"/>
      <c r="E21" s="277">
        <v>0</v>
      </c>
      <c r="F21" s="277"/>
      <c r="G21" s="277">
        <v>0</v>
      </c>
      <c r="H21" s="277"/>
      <c r="I21" s="277">
        <v>0</v>
      </c>
      <c r="J21" s="277"/>
      <c r="K21" s="277">
        <v>0</v>
      </c>
      <c r="L21" s="277"/>
      <c r="M21" s="277">
        <v>0</v>
      </c>
      <c r="N21" s="277"/>
      <c r="O21" s="277">
        <v>0</v>
      </c>
      <c r="P21" s="277"/>
      <c r="Q21" s="277">
        <v>0</v>
      </c>
      <c r="R21" s="277"/>
      <c r="S21" s="277">
        <v>0</v>
      </c>
      <c r="T21" s="277"/>
      <c r="U21" s="277">
        <v>0</v>
      </c>
      <c r="V21" s="277"/>
      <c r="W21" s="277">
        <v>0</v>
      </c>
      <c r="X21" s="277"/>
      <c r="Y21" s="277">
        <v>0</v>
      </c>
      <c r="Z21" s="251"/>
      <c r="AA21" s="251">
        <f>SUM(C21:Y21)</f>
        <v>0</v>
      </c>
      <c r="AB21" s="92"/>
    </row>
    <row r="22" spans="1:28" s="93" customFormat="1" ht="13.8">
      <c r="A22" s="250"/>
      <c r="B22" s="251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51"/>
      <c r="AA22" s="251"/>
      <c r="AB22" s="92"/>
    </row>
    <row r="23" spans="1:28" s="93" customFormat="1" ht="13.8">
      <c r="A23" s="94" t="s">
        <v>218</v>
      </c>
      <c r="B23" s="251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51"/>
      <c r="AA23" s="251"/>
      <c r="AB23" s="92"/>
    </row>
    <row r="24" spans="1:28" s="93" customFormat="1" ht="13.8">
      <c r="A24" s="250" t="s">
        <v>10</v>
      </c>
      <c r="B24" s="251"/>
      <c r="C24" s="277">
        <v>0</v>
      </c>
      <c r="D24" s="277"/>
      <c r="E24" s="277">
        <v>0</v>
      </c>
      <c r="F24" s="277"/>
      <c r="G24" s="277">
        <v>0</v>
      </c>
      <c r="H24" s="277"/>
      <c r="I24" s="277">
        <v>0</v>
      </c>
      <c r="J24" s="277"/>
      <c r="K24" s="277">
        <v>0</v>
      </c>
      <c r="L24" s="277"/>
      <c r="M24" s="277">
        <v>0</v>
      </c>
      <c r="N24" s="277"/>
      <c r="O24" s="277">
        <v>0</v>
      </c>
      <c r="P24" s="277"/>
      <c r="Q24" s="277">
        <v>0</v>
      </c>
      <c r="R24" s="277"/>
      <c r="S24" s="277">
        <v>0</v>
      </c>
      <c r="T24" s="277"/>
      <c r="U24" s="277">
        <v>0</v>
      </c>
      <c r="V24" s="277"/>
      <c r="W24" s="277">
        <v>0</v>
      </c>
      <c r="X24" s="277"/>
      <c r="Y24" s="277">
        <v>0</v>
      </c>
      <c r="Z24" s="251"/>
      <c r="AA24" s="251">
        <f>SUM(C24:Y24)</f>
        <v>0</v>
      </c>
      <c r="AB24" s="92"/>
    </row>
    <row r="25" spans="1:28" s="93" customFormat="1" ht="13.8">
      <c r="A25" s="250" t="s">
        <v>10</v>
      </c>
      <c r="B25" s="251"/>
      <c r="C25" s="277">
        <v>0</v>
      </c>
      <c r="D25" s="277"/>
      <c r="E25" s="277">
        <v>0</v>
      </c>
      <c r="F25" s="277"/>
      <c r="G25" s="277">
        <v>0</v>
      </c>
      <c r="H25" s="277"/>
      <c r="I25" s="277">
        <v>0</v>
      </c>
      <c r="J25" s="277"/>
      <c r="K25" s="277">
        <v>0</v>
      </c>
      <c r="L25" s="277"/>
      <c r="M25" s="277">
        <v>0</v>
      </c>
      <c r="N25" s="277"/>
      <c r="O25" s="277">
        <v>0</v>
      </c>
      <c r="P25" s="277"/>
      <c r="Q25" s="277">
        <v>0</v>
      </c>
      <c r="R25" s="277"/>
      <c r="S25" s="277">
        <v>0</v>
      </c>
      <c r="T25" s="277"/>
      <c r="U25" s="277">
        <v>0</v>
      </c>
      <c r="V25" s="277"/>
      <c r="W25" s="277">
        <v>0</v>
      </c>
      <c r="X25" s="277"/>
      <c r="Y25" s="277">
        <v>0</v>
      </c>
      <c r="Z25" s="251"/>
      <c r="AA25" s="251">
        <f>SUM(C25:Y25)</f>
        <v>0</v>
      </c>
      <c r="AB25" s="92"/>
    </row>
    <row r="26" spans="1:28" s="93" customFormat="1" ht="13.8">
      <c r="A26" s="250"/>
      <c r="B26" s="251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51"/>
      <c r="AA26" s="251"/>
      <c r="AB26" s="92"/>
    </row>
    <row r="27" spans="1:28" s="93" customFormat="1" ht="13.8">
      <c r="A27" s="94" t="s">
        <v>47</v>
      </c>
      <c r="B27" s="251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51"/>
      <c r="AA27" s="251"/>
      <c r="AB27" s="92"/>
    </row>
    <row r="28" spans="1:28" s="93" customFormat="1" ht="13.8">
      <c r="A28" s="250" t="s">
        <v>10</v>
      </c>
      <c r="B28" s="251"/>
      <c r="C28" s="277">
        <v>0</v>
      </c>
      <c r="D28" s="277"/>
      <c r="E28" s="277">
        <v>0</v>
      </c>
      <c r="F28" s="277"/>
      <c r="G28" s="277">
        <v>0</v>
      </c>
      <c r="H28" s="277"/>
      <c r="I28" s="277">
        <v>0</v>
      </c>
      <c r="J28" s="277"/>
      <c r="K28" s="277">
        <v>0</v>
      </c>
      <c r="L28" s="277"/>
      <c r="M28" s="277">
        <v>0</v>
      </c>
      <c r="N28" s="277"/>
      <c r="O28" s="277">
        <v>0</v>
      </c>
      <c r="P28" s="277"/>
      <c r="Q28" s="277">
        <v>0</v>
      </c>
      <c r="R28" s="277"/>
      <c r="S28" s="277">
        <v>0</v>
      </c>
      <c r="T28" s="277"/>
      <c r="U28" s="277">
        <v>0</v>
      </c>
      <c r="V28" s="277"/>
      <c r="W28" s="277">
        <v>0</v>
      </c>
      <c r="X28" s="277"/>
      <c r="Y28" s="277">
        <v>0</v>
      </c>
      <c r="Z28" s="251"/>
      <c r="AA28" s="251">
        <f>SUM(C28:Y28)</f>
        <v>0</v>
      </c>
      <c r="AB28" s="92"/>
    </row>
    <row r="29" spans="1:28" s="93" customFormat="1" ht="13.8">
      <c r="A29" s="250" t="s">
        <v>10</v>
      </c>
      <c r="B29" s="251"/>
      <c r="C29" s="277">
        <v>0</v>
      </c>
      <c r="D29" s="277"/>
      <c r="E29" s="277">
        <v>0</v>
      </c>
      <c r="F29" s="277"/>
      <c r="G29" s="277">
        <v>0</v>
      </c>
      <c r="H29" s="277"/>
      <c r="I29" s="277">
        <v>0</v>
      </c>
      <c r="J29" s="277"/>
      <c r="K29" s="277">
        <v>0</v>
      </c>
      <c r="L29" s="277"/>
      <c r="M29" s="277">
        <v>0</v>
      </c>
      <c r="N29" s="277"/>
      <c r="O29" s="277">
        <v>0</v>
      </c>
      <c r="P29" s="277"/>
      <c r="Q29" s="277">
        <v>0</v>
      </c>
      <c r="R29" s="277"/>
      <c r="S29" s="277">
        <v>0</v>
      </c>
      <c r="T29" s="277"/>
      <c r="U29" s="277">
        <v>0</v>
      </c>
      <c r="V29" s="277"/>
      <c r="W29" s="277">
        <v>0</v>
      </c>
      <c r="X29" s="277"/>
      <c r="Y29" s="277">
        <v>0</v>
      </c>
      <c r="Z29" s="251"/>
      <c r="AA29" s="251">
        <f>SUM(C29:Y29)</f>
        <v>0</v>
      </c>
      <c r="AB29" s="92"/>
    </row>
    <row r="30" spans="1:28" s="93" customFormat="1" ht="5.0999999999999996" customHeight="1">
      <c r="A30" s="250"/>
      <c r="B30" s="251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51"/>
      <c r="AA30" s="251"/>
      <c r="AB30" s="92"/>
    </row>
    <row r="31" spans="1:28" s="93" customFormat="1" ht="13.8">
      <c r="A31" s="274" t="s">
        <v>47</v>
      </c>
      <c r="B31" s="81"/>
      <c r="C31" s="278">
        <f>+C33-SUM(C9:C30)</f>
        <v>3.1</v>
      </c>
      <c r="D31" s="81"/>
      <c r="E31" s="278">
        <f>+E33-SUM(E9:E30)</f>
        <v>-2.6</v>
      </c>
      <c r="F31" s="81"/>
      <c r="G31" s="278">
        <f>+G33-SUM(G9:G30)</f>
        <v>6</v>
      </c>
      <c r="H31" s="81"/>
      <c r="I31" s="278">
        <f>+I33-SUM(I9:I30)</f>
        <v>2.3000000000000007</v>
      </c>
      <c r="J31" s="81"/>
      <c r="K31" s="278">
        <f>+K33-SUM(K9:K30)</f>
        <v>-8</v>
      </c>
      <c r="L31" s="81"/>
      <c r="M31" s="278">
        <f>+M33-SUM(M9:M30)</f>
        <v>-23.5</v>
      </c>
      <c r="N31" s="81"/>
      <c r="O31" s="278">
        <f>+O33-SUM(O9:O30)</f>
        <v>13.799999999999999</v>
      </c>
      <c r="P31" s="81"/>
      <c r="Q31" s="278">
        <f>+Q33-SUM(Q9:Q30)</f>
        <v>1.9</v>
      </c>
      <c r="R31" s="81"/>
      <c r="S31" s="278">
        <f>+S33-SUM(S9:S30)</f>
        <v>2.1</v>
      </c>
      <c r="T31" s="81"/>
      <c r="U31" s="278">
        <f>+U33-SUM(U9:U30)</f>
        <v>3.6</v>
      </c>
      <c r="V31" s="81"/>
      <c r="W31" s="278">
        <f>+W33-SUM(W9:W30)</f>
        <v>1.9</v>
      </c>
      <c r="X31" s="81"/>
      <c r="Y31" s="278">
        <f>+Y33-SUM(Y9:Y30)</f>
        <v>2.2999999999999998</v>
      </c>
      <c r="Z31" s="81"/>
      <c r="AA31" s="278">
        <f>+AA33-SUM(AA9:AA30)</f>
        <v>2.8999999999999995</v>
      </c>
      <c r="AB31" s="92"/>
    </row>
    <row r="32" spans="1:28" s="93" customFormat="1" ht="5.0999999999999996" customHeight="1">
      <c r="A32" s="81"/>
      <c r="B32" s="81"/>
      <c r="C32" s="261"/>
      <c r="D32" s="81"/>
      <c r="E32" s="261"/>
      <c r="F32" s="81"/>
      <c r="G32" s="261"/>
      <c r="H32" s="81"/>
      <c r="I32" s="261"/>
      <c r="J32" s="81"/>
      <c r="K32" s="261"/>
      <c r="L32" s="81"/>
      <c r="M32" s="261"/>
      <c r="N32" s="81"/>
      <c r="O32" s="261"/>
      <c r="P32" s="81"/>
      <c r="Q32" s="261"/>
      <c r="R32" s="81"/>
      <c r="S32" s="261"/>
      <c r="T32" s="81"/>
      <c r="U32" s="261"/>
      <c r="V32" s="81"/>
      <c r="W32" s="261"/>
      <c r="X32" s="81"/>
      <c r="Y32" s="261"/>
      <c r="Z32" s="81"/>
      <c r="AA32" s="261"/>
      <c r="AB32" s="92"/>
    </row>
    <row r="33" spans="1:28" s="93" customFormat="1" ht="14.4" thickBot="1">
      <c r="A33" s="84" t="s">
        <v>229</v>
      </c>
      <c r="B33" s="252"/>
      <c r="C33" s="279">
        <f>+Format!D82</f>
        <v>3.1</v>
      </c>
      <c r="D33" s="84"/>
      <c r="E33" s="279">
        <f>+Format!F82</f>
        <v>-2.6</v>
      </c>
      <c r="F33" s="84"/>
      <c r="G33" s="279">
        <f>+Format!H82</f>
        <v>6</v>
      </c>
      <c r="H33" s="84"/>
      <c r="I33" s="279">
        <f>+Format!J82</f>
        <v>2.3000000000000007</v>
      </c>
      <c r="J33" s="84"/>
      <c r="K33" s="279">
        <f>+Format!L82</f>
        <v>-8</v>
      </c>
      <c r="L33" s="84"/>
      <c r="M33" s="279">
        <f>+Format!N82</f>
        <v>-23.5</v>
      </c>
      <c r="N33" s="84"/>
      <c r="O33" s="279">
        <f>+Format!P82</f>
        <v>13.799999999999999</v>
      </c>
      <c r="P33" s="84"/>
      <c r="Q33" s="279">
        <f>+Format!R82</f>
        <v>1.9</v>
      </c>
      <c r="R33" s="84"/>
      <c r="S33" s="279">
        <f>+Format!T82</f>
        <v>2.1</v>
      </c>
      <c r="T33" s="84"/>
      <c r="U33" s="279">
        <f>+Format!V82</f>
        <v>3.6</v>
      </c>
      <c r="V33" s="84"/>
      <c r="W33" s="279">
        <f>+Format!X82</f>
        <v>1.9</v>
      </c>
      <c r="X33" s="84"/>
      <c r="Y33" s="279">
        <f>+Format!Z82</f>
        <v>2.2999999999999998</v>
      </c>
      <c r="Z33" s="84"/>
      <c r="AA33" s="279">
        <f>+Format!AB82</f>
        <v>2.8999999999999995</v>
      </c>
      <c r="AB33" s="92"/>
    </row>
    <row r="34" spans="1:28" s="92" customFormat="1" ht="14.4" thickTop="1">
      <c r="A34" s="69"/>
      <c r="B34" s="253"/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</row>
    <row r="35" spans="1:28">
      <c r="A35" s="6" t="str">
        <f ca="1">CELL("filename",A1)</f>
        <v>G:\MRO\MRO\Aug01\[3rd quarter curr est.xls]OtherFundsFlow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</row>
    <row r="36" spans="1:28">
      <c r="A36" s="7">
        <f ca="1">NOW()</f>
        <v>37151.667196296294</v>
      </c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</row>
    <row r="38" spans="1:28">
      <c r="A38" s="320"/>
    </row>
  </sheetData>
  <printOptions horizontalCentered="1"/>
  <pageMargins left="0.5" right="0.5" top="0.75" bottom="0.75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Format</vt:lpstr>
      <vt:lpstr>QtrComp_vs_Plan</vt:lpstr>
      <vt:lpstr>QtrComp_vs_PY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FundsFlow</vt:lpstr>
      <vt:lpstr>CashCorpCE</vt:lpstr>
      <vt:lpstr>CashCorpPlan</vt:lpstr>
      <vt:lpstr>AssetSales</vt:lpstr>
      <vt:lpstr>MajAssump</vt:lpstr>
      <vt:lpstr>AssetSales!Print_Area</vt:lpstr>
      <vt:lpstr>CapEx!Print_Area</vt:lpstr>
      <vt:lpstr>CashCorpCE!Print_Area</vt:lpstr>
      <vt:lpstr>CashCorpPlan!Print_Area</vt:lpstr>
      <vt:lpstr>EquityAffiliates!Print_Area</vt:lpstr>
      <vt:lpstr>FinancingExpense!Print_Area</vt:lpstr>
      <vt:lpstr>Format!Print_Area</vt:lpstr>
      <vt:lpstr>FundsFlow!Print_Area</vt:lpstr>
      <vt:lpstr>Investing!Print_Area</vt:lpstr>
      <vt:lpstr>MajAssump!Print_Area</vt:lpstr>
      <vt:lpstr>Merchant!Print_Area</vt:lpstr>
      <vt:lpstr>OtherFundsFlow!Print_Area</vt:lpstr>
      <vt:lpstr>Prepay_Exp!Print_Area</vt:lpstr>
      <vt:lpstr>PRMA!Print_Area</vt:lpstr>
      <vt:lpstr>QtrComp_vs_Plan!Print_Area</vt:lpstr>
      <vt:lpstr>QtrComp_vs_PY!Print_Area</vt:lpstr>
      <vt:lpstr>Investing!Print_Titles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Havlíček Jan</cp:lastModifiedBy>
  <cp:lastPrinted>2001-09-17T23:02:46Z</cp:lastPrinted>
  <dcterms:created xsi:type="dcterms:W3CDTF">1999-04-06T19:27:31Z</dcterms:created>
  <dcterms:modified xsi:type="dcterms:W3CDTF">2023-09-10T14:59:24Z</dcterms:modified>
</cp:coreProperties>
</file>