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1340" windowHeight="6540"/>
  </bookViews>
  <sheets>
    <sheet name="Sheet1" sheetId="1" r:id="rId1"/>
    <sheet name="Sheet2" sheetId="2" r:id="rId2"/>
    <sheet name="Sheet3" sheetId="3" r:id="rId3"/>
  </sheets>
  <externalReferences>
    <externalReference r:id="rId4"/>
    <externalReference r:id="rId5"/>
  </externalReferences>
  <calcPr calcId="92512"/>
</workbook>
</file>

<file path=xl/calcChain.xml><?xml version="1.0" encoding="utf-8"?>
<calcChain xmlns="http://schemas.openxmlformats.org/spreadsheetml/2006/main">
  <c r="E11" i="1" l="1"/>
  <c r="G11" i="1"/>
  <c r="I11" i="1"/>
  <c r="K11" i="1"/>
  <c r="M11" i="1"/>
  <c r="O11" i="1"/>
  <c r="P11" i="1"/>
  <c r="E12" i="1"/>
  <c r="G12" i="1"/>
  <c r="I12" i="1"/>
  <c r="K12" i="1"/>
  <c r="M12" i="1"/>
  <c r="O12" i="1"/>
  <c r="P12" i="1"/>
  <c r="E13" i="1"/>
  <c r="G13" i="1"/>
  <c r="I13" i="1"/>
  <c r="K13" i="1"/>
  <c r="M13" i="1"/>
  <c r="O13" i="1"/>
  <c r="P13" i="1"/>
  <c r="E14" i="1"/>
  <c r="G14" i="1"/>
  <c r="I14" i="1"/>
  <c r="K14" i="1"/>
  <c r="M14" i="1"/>
  <c r="O14" i="1"/>
  <c r="P14" i="1"/>
  <c r="E15" i="1"/>
  <c r="G15" i="1"/>
  <c r="I15" i="1"/>
  <c r="K15" i="1"/>
  <c r="M15" i="1"/>
  <c r="O15" i="1"/>
  <c r="P15" i="1"/>
  <c r="E16" i="1"/>
  <c r="G16" i="1"/>
  <c r="I16" i="1"/>
  <c r="K16" i="1"/>
  <c r="M16" i="1"/>
  <c r="O16" i="1"/>
  <c r="P16" i="1"/>
  <c r="E17" i="1"/>
  <c r="G17" i="1"/>
  <c r="I17" i="1"/>
  <c r="K17" i="1"/>
  <c r="M17" i="1"/>
  <c r="O17" i="1"/>
  <c r="P17" i="1"/>
  <c r="E18" i="1"/>
  <c r="G18" i="1"/>
  <c r="I18" i="1"/>
  <c r="K18" i="1"/>
  <c r="M18" i="1"/>
  <c r="O18" i="1"/>
  <c r="P18" i="1"/>
  <c r="E19" i="1"/>
  <c r="G19" i="1"/>
  <c r="I19" i="1"/>
  <c r="K19" i="1"/>
  <c r="M19" i="1"/>
  <c r="O19" i="1"/>
  <c r="P19" i="1"/>
  <c r="E20" i="1"/>
  <c r="G20" i="1"/>
  <c r="I20" i="1"/>
  <c r="K20" i="1"/>
  <c r="M20" i="1"/>
  <c r="O20" i="1"/>
  <c r="P20" i="1"/>
  <c r="E21" i="1"/>
  <c r="G21" i="1"/>
  <c r="I21" i="1"/>
  <c r="K21" i="1"/>
  <c r="M21" i="1"/>
  <c r="O21" i="1"/>
  <c r="P21" i="1"/>
  <c r="E22" i="1"/>
  <c r="G22" i="1"/>
  <c r="I22" i="1"/>
  <c r="K22" i="1"/>
  <c r="M22" i="1"/>
  <c r="O22" i="1"/>
  <c r="P22" i="1"/>
  <c r="E23" i="1"/>
  <c r="G23" i="1"/>
  <c r="I23" i="1"/>
  <c r="K23" i="1"/>
  <c r="M23" i="1"/>
  <c r="O23" i="1"/>
  <c r="P23" i="1"/>
  <c r="E24" i="1"/>
  <c r="G24" i="1"/>
  <c r="I24" i="1"/>
  <c r="K24" i="1"/>
  <c r="M24" i="1"/>
  <c r="O24" i="1"/>
  <c r="P24" i="1"/>
  <c r="E25" i="1"/>
  <c r="G25" i="1"/>
  <c r="I25" i="1"/>
  <c r="K25" i="1"/>
  <c r="M25" i="1"/>
  <c r="O25" i="1"/>
  <c r="P25" i="1"/>
  <c r="E26" i="1"/>
  <c r="G26" i="1"/>
  <c r="I26" i="1"/>
  <c r="K26" i="1"/>
  <c r="M26" i="1"/>
  <c r="O26" i="1"/>
  <c r="P26" i="1"/>
  <c r="E27" i="1"/>
  <c r="G27" i="1"/>
  <c r="I27" i="1"/>
  <c r="K27" i="1"/>
  <c r="M27" i="1"/>
  <c r="O27" i="1"/>
  <c r="P27" i="1"/>
  <c r="E28" i="1"/>
  <c r="G28" i="1"/>
  <c r="I28" i="1"/>
  <c r="K28" i="1"/>
  <c r="M28" i="1"/>
  <c r="O28" i="1"/>
  <c r="P28" i="1"/>
  <c r="E29" i="1"/>
  <c r="G29" i="1"/>
  <c r="I29" i="1"/>
  <c r="K29" i="1"/>
  <c r="M29" i="1"/>
  <c r="O29" i="1"/>
  <c r="P29" i="1"/>
  <c r="E30" i="1"/>
  <c r="G30" i="1"/>
  <c r="I30" i="1"/>
  <c r="K30" i="1"/>
  <c r="M30" i="1"/>
  <c r="O30" i="1"/>
  <c r="P30" i="1"/>
  <c r="E31" i="1"/>
  <c r="G31" i="1"/>
  <c r="I31" i="1"/>
  <c r="K31" i="1"/>
  <c r="M31" i="1"/>
  <c r="O31" i="1"/>
  <c r="P31" i="1"/>
  <c r="E32" i="1"/>
  <c r="G32" i="1"/>
  <c r="I32" i="1"/>
  <c r="K32" i="1"/>
  <c r="M32" i="1"/>
  <c r="O32" i="1"/>
  <c r="P32" i="1"/>
  <c r="E33" i="1"/>
  <c r="G33" i="1"/>
  <c r="I33" i="1"/>
  <c r="K33" i="1"/>
  <c r="M33" i="1"/>
  <c r="O33" i="1"/>
  <c r="P33" i="1"/>
  <c r="E34" i="1"/>
  <c r="G34" i="1"/>
  <c r="I34" i="1"/>
  <c r="K34" i="1"/>
  <c r="M34" i="1"/>
  <c r="O34" i="1"/>
  <c r="P34" i="1"/>
  <c r="E35" i="1"/>
  <c r="G35" i="1"/>
  <c r="I35" i="1"/>
  <c r="K35" i="1"/>
  <c r="M35" i="1"/>
  <c r="O35" i="1"/>
  <c r="P35" i="1"/>
  <c r="E36" i="1"/>
  <c r="G36" i="1"/>
  <c r="I36" i="1"/>
  <c r="K36" i="1"/>
  <c r="M36" i="1"/>
  <c r="O36" i="1"/>
  <c r="P36" i="1"/>
  <c r="E37" i="1"/>
  <c r="G37" i="1"/>
  <c r="I37" i="1"/>
  <c r="K37" i="1"/>
  <c r="M37" i="1"/>
  <c r="O37" i="1"/>
  <c r="P37" i="1"/>
  <c r="E38" i="1"/>
  <c r="G38" i="1"/>
  <c r="I38" i="1"/>
  <c r="K38" i="1"/>
  <c r="M38" i="1"/>
  <c r="O38" i="1"/>
  <c r="P38" i="1"/>
  <c r="E39" i="1"/>
  <c r="G39" i="1"/>
  <c r="I39" i="1"/>
  <c r="K39" i="1"/>
  <c r="M39" i="1"/>
  <c r="O39" i="1"/>
  <c r="P39" i="1"/>
  <c r="E40" i="1"/>
  <c r="G40" i="1"/>
  <c r="I40" i="1"/>
  <c r="K40" i="1"/>
  <c r="M40" i="1"/>
  <c r="O40" i="1"/>
  <c r="P40" i="1"/>
  <c r="E41" i="1"/>
  <c r="G41" i="1"/>
  <c r="I41" i="1"/>
  <c r="K41" i="1"/>
  <c r="M41" i="1"/>
  <c r="O41" i="1"/>
  <c r="P41" i="1"/>
  <c r="E42" i="1"/>
  <c r="G42" i="1"/>
  <c r="I42" i="1"/>
  <c r="K42" i="1"/>
  <c r="M42" i="1"/>
  <c r="O42" i="1"/>
  <c r="P42" i="1"/>
  <c r="E43" i="1"/>
  <c r="G43" i="1"/>
  <c r="I43" i="1"/>
  <c r="K43" i="1"/>
  <c r="M43" i="1"/>
  <c r="O43" i="1"/>
  <c r="P43" i="1"/>
  <c r="E44" i="1"/>
  <c r="G44" i="1"/>
  <c r="I44" i="1"/>
  <c r="K44" i="1"/>
  <c r="M44" i="1"/>
  <c r="O44" i="1"/>
  <c r="P44" i="1"/>
  <c r="E45" i="1"/>
  <c r="G45" i="1"/>
  <c r="I45" i="1"/>
  <c r="K45" i="1"/>
  <c r="M45" i="1"/>
  <c r="O45" i="1"/>
  <c r="P45" i="1"/>
  <c r="E46" i="1"/>
  <c r="G46" i="1"/>
  <c r="I46" i="1"/>
  <c r="K46" i="1"/>
  <c r="M46" i="1"/>
  <c r="O46" i="1"/>
  <c r="P46" i="1"/>
  <c r="E47" i="1"/>
  <c r="G47" i="1"/>
  <c r="I47" i="1"/>
  <c r="K47" i="1"/>
  <c r="M47" i="1"/>
  <c r="O47" i="1"/>
  <c r="P47" i="1"/>
  <c r="E48" i="1"/>
  <c r="G48" i="1"/>
  <c r="I48" i="1"/>
  <c r="K48" i="1"/>
  <c r="M48" i="1"/>
  <c r="O48" i="1"/>
  <c r="P48" i="1"/>
  <c r="E49" i="1"/>
  <c r="G49" i="1"/>
  <c r="I49" i="1"/>
  <c r="K49" i="1"/>
  <c r="M49" i="1"/>
  <c r="O49" i="1"/>
  <c r="P49" i="1"/>
  <c r="E50" i="1"/>
  <c r="G50" i="1"/>
  <c r="I50" i="1"/>
  <c r="K50" i="1"/>
  <c r="M50" i="1"/>
  <c r="O50" i="1"/>
  <c r="P50" i="1"/>
  <c r="E52" i="1"/>
  <c r="G52" i="1"/>
  <c r="I52" i="1"/>
  <c r="K52" i="1"/>
  <c r="M52" i="1"/>
  <c r="O52" i="1"/>
  <c r="P52" i="1"/>
  <c r="K54" i="1"/>
  <c r="O54" i="1"/>
  <c r="E56" i="1"/>
  <c r="G56" i="1"/>
  <c r="I56" i="1"/>
  <c r="K56" i="1"/>
  <c r="M56" i="1"/>
  <c r="O56" i="1"/>
  <c r="E58" i="1"/>
  <c r="G58" i="1"/>
  <c r="I58" i="1"/>
  <c r="K58" i="1"/>
  <c r="M58" i="1"/>
  <c r="O58" i="1"/>
  <c r="P58" i="1"/>
  <c r="E59" i="1"/>
  <c r="G59" i="1"/>
  <c r="I59" i="1"/>
  <c r="K59" i="1"/>
  <c r="M59" i="1"/>
  <c r="O59" i="1"/>
  <c r="P59" i="1"/>
  <c r="E61" i="1"/>
  <c r="G61" i="1"/>
  <c r="I61" i="1"/>
  <c r="K61" i="1"/>
  <c r="M61" i="1"/>
  <c r="O61" i="1"/>
  <c r="P61" i="1"/>
  <c r="E63" i="1"/>
  <c r="G63" i="1"/>
  <c r="I63" i="1"/>
  <c r="K63" i="1"/>
  <c r="M63" i="1"/>
  <c r="O63" i="1"/>
  <c r="P63" i="1"/>
  <c r="B7" i="2"/>
  <c r="C7" i="2"/>
  <c r="D7" i="2"/>
  <c r="I7" i="2"/>
  <c r="J7" i="2"/>
  <c r="B8" i="2"/>
  <c r="C8" i="2"/>
  <c r="D8" i="2"/>
  <c r="I8" i="2"/>
  <c r="J8" i="2"/>
  <c r="B9" i="2"/>
  <c r="C9" i="2"/>
  <c r="D9" i="2"/>
  <c r="I9" i="2"/>
  <c r="J9" i="2"/>
  <c r="B10" i="2"/>
  <c r="C10" i="2"/>
  <c r="D10" i="2"/>
  <c r="I10" i="2"/>
  <c r="J10" i="2"/>
  <c r="B11" i="2"/>
  <c r="C11" i="2"/>
  <c r="D11" i="2"/>
  <c r="H11" i="2"/>
  <c r="I11" i="2"/>
  <c r="J11" i="2"/>
  <c r="B12" i="2"/>
  <c r="C12" i="2"/>
  <c r="D12" i="2"/>
  <c r="I12" i="2"/>
  <c r="J12" i="2"/>
  <c r="B13" i="2"/>
  <c r="C13" i="2"/>
  <c r="D13" i="2"/>
  <c r="I13" i="2"/>
  <c r="J13" i="2"/>
  <c r="B14" i="2"/>
  <c r="C14" i="2"/>
  <c r="D14" i="2"/>
  <c r="I14" i="2"/>
  <c r="J14" i="2"/>
  <c r="C15" i="2"/>
  <c r="D15" i="2"/>
  <c r="I15" i="2"/>
  <c r="J15" i="2"/>
  <c r="B16" i="2"/>
  <c r="C16" i="2"/>
  <c r="D16" i="2"/>
  <c r="I16" i="2"/>
  <c r="J16" i="2"/>
  <c r="B17" i="2"/>
  <c r="C17" i="2"/>
  <c r="D17" i="2"/>
  <c r="I17" i="2"/>
  <c r="J17" i="2"/>
  <c r="B18" i="2"/>
  <c r="C18" i="2"/>
  <c r="D18" i="2"/>
  <c r="I18" i="2"/>
  <c r="J18" i="2"/>
  <c r="B19" i="2"/>
  <c r="C19" i="2"/>
  <c r="D19" i="2"/>
  <c r="I19" i="2"/>
  <c r="J19" i="2"/>
  <c r="B20" i="2"/>
  <c r="C20" i="2"/>
  <c r="D20" i="2"/>
  <c r="H20" i="2"/>
  <c r="I20" i="2"/>
  <c r="J20" i="2"/>
  <c r="B21" i="2"/>
  <c r="C21" i="2"/>
  <c r="D21" i="2"/>
  <c r="I21" i="2"/>
  <c r="J21" i="2"/>
  <c r="B22" i="2"/>
  <c r="C22" i="2"/>
  <c r="D22" i="2"/>
  <c r="I22" i="2"/>
  <c r="J22" i="2"/>
  <c r="B23" i="2"/>
  <c r="C23" i="2"/>
  <c r="D23" i="2"/>
  <c r="I23" i="2"/>
  <c r="J23" i="2"/>
  <c r="B24" i="2"/>
  <c r="C24" i="2"/>
  <c r="D24" i="2"/>
  <c r="I24" i="2"/>
  <c r="J24" i="2"/>
  <c r="B25" i="2"/>
  <c r="C25" i="2"/>
  <c r="D25" i="2"/>
  <c r="I25" i="2"/>
  <c r="J25" i="2"/>
  <c r="B26" i="2"/>
  <c r="C26" i="2"/>
  <c r="D26" i="2"/>
  <c r="H26" i="2"/>
  <c r="I26" i="2"/>
  <c r="J26" i="2"/>
  <c r="B27" i="2"/>
  <c r="C27" i="2"/>
  <c r="D27" i="2"/>
  <c r="H27" i="2"/>
  <c r="I27" i="2"/>
  <c r="J27" i="2"/>
  <c r="B28" i="2"/>
  <c r="C28" i="2"/>
  <c r="D28" i="2"/>
  <c r="H28" i="2"/>
  <c r="I28" i="2"/>
  <c r="J28" i="2"/>
  <c r="B29" i="2"/>
  <c r="C29" i="2"/>
  <c r="D29" i="2"/>
  <c r="I29" i="2"/>
  <c r="J29" i="2"/>
  <c r="B30" i="2"/>
  <c r="C30" i="2"/>
  <c r="D30" i="2"/>
  <c r="H30" i="2"/>
  <c r="I30" i="2"/>
  <c r="J30" i="2"/>
  <c r="B31" i="2"/>
  <c r="C31" i="2"/>
  <c r="D31" i="2"/>
  <c r="I31" i="2"/>
  <c r="J31" i="2"/>
  <c r="B32" i="2"/>
  <c r="C32" i="2"/>
  <c r="D32" i="2"/>
  <c r="I32" i="2"/>
  <c r="J32" i="2"/>
  <c r="B33" i="2"/>
  <c r="C33" i="2"/>
  <c r="D33" i="2"/>
  <c r="I33" i="2"/>
  <c r="J33" i="2"/>
  <c r="B34" i="2"/>
  <c r="C34" i="2"/>
  <c r="D34" i="2"/>
  <c r="I34" i="2"/>
  <c r="J34" i="2"/>
  <c r="B35" i="2"/>
  <c r="C35" i="2"/>
  <c r="D35" i="2"/>
  <c r="I35" i="2"/>
  <c r="J35" i="2"/>
  <c r="B36" i="2"/>
  <c r="C36" i="2"/>
  <c r="D36" i="2"/>
  <c r="I36" i="2"/>
  <c r="J36" i="2"/>
  <c r="B37" i="2"/>
  <c r="C37" i="2"/>
  <c r="D37" i="2"/>
  <c r="I37" i="2"/>
  <c r="J37" i="2"/>
  <c r="B38" i="2"/>
  <c r="C38" i="2"/>
  <c r="D38" i="2"/>
  <c r="I38" i="2"/>
  <c r="J38" i="2"/>
  <c r="C39" i="2"/>
  <c r="D39" i="2"/>
  <c r="I39" i="2"/>
  <c r="J39" i="2"/>
  <c r="B40" i="2"/>
  <c r="C40" i="2"/>
  <c r="D40" i="2"/>
  <c r="H40" i="2"/>
  <c r="I40" i="2"/>
  <c r="J40" i="2"/>
  <c r="D42" i="2"/>
  <c r="J42" i="2"/>
  <c r="D43" i="2"/>
  <c r="J43" i="2"/>
  <c r="C2" i="3"/>
  <c r="D2" i="3"/>
  <c r="E2" i="3"/>
  <c r="F2" i="3"/>
  <c r="G2" i="3"/>
  <c r="H2" i="3"/>
  <c r="I2" i="3"/>
  <c r="J2" i="3"/>
  <c r="K2" i="3"/>
  <c r="L2" i="3"/>
  <c r="O2" i="3"/>
  <c r="J3" i="3"/>
  <c r="L3" i="3"/>
  <c r="O3" i="3"/>
  <c r="J4" i="3"/>
  <c r="L4" i="3"/>
  <c r="O4" i="3"/>
  <c r="C5" i="3"/>
  <c r="E5" i="3"/>
  <c r="F5" i="3"/>
  <c r="G5" i="3"/>
  <c r="H5" i="3"/>
  <c r="I5" i="3"/>
  <c r="J5" i="3"/>
  <c r="K5" i="3"/>
  <c r="L5" i="3"/>
  <c r="O5" i="3"/>
  <c r="E6" i="3"/>
  <c r="F6" i="3"/>
  <c r="G6" i="3"/>
  <c r="H6" i="3"/>
  <c r="J6" i="3"/>
  <c r="K6" i="3"/>
  <c r="L6" i="3"/>
  <c r="O6" i="3"/>
  <c r="E7" i="3"/>
  <c r="F7" i="3"/>
  <c r="G7" i="3"/>
  <c r="H7" i="3"/>
  <c r="J7" i="3"/>
  <c r="K7" i="3"/>
  <c r="L7" i="3"/>
  <c r="O7" i="3"/>
  <c r="E8" i="3"/>
  <c r="F8" i="3"/>
  <c r="G8" i="3"/>
  <c r="H8" i="3"/>
  <c r="J8" i="3"/>
  <c r="K8" i="3"/>
  <c r="L8" i="3"/>
  <c r="O8" i="3"/>
  <c r="E9" i="3"/>
  <c r="F9" i="3"/>
  <c r="G9" i="3"/>
  <c r="H9" i="3"/>
  <c r="J9" i="3"/>
  <c r="K9" i="3"/>
  <c r="L9" i="3"/>
  <c r="O9" i="3"/>
  <c r="F10" i="3"/>
  <c r="G10" i="3"/>
  <c r="H10" i="3"/>
  <c r="J10" i="3"/>
  <c r="K10" i="3"/>
  <c r="L10" i="3"/>
  <c r="O10" i="3"/>
  <c r="D11" i="3"/>
  <c r="F11" i="3"/>
  <c r="G11" i="3"/>
  <c r="H11" i="3"/>
  <c r="J11" i="3"/>
  <c r="K11" i="3"/>
  <c r="L11" i="3"/>
  <c r="O11" i="3"/>
  <c r="J12" i="3"/>
  <c r="L12" i="3"/>
  <c r="O12" i="3"/>
  <c r="J13" i="3"/>
  <c r="L13" i="3"/>
  <c r="O13" i="3"/>
  <c r="F14" i="3"/>
  <c r="H14" i="3"/>
  <c r="J14" i="3"/>
  <c r="L14" i="3"/>
  <c r="O14" i="3"/>
  <c r="H15" i="3"/>
  <c r="J15" i="3"/>
  <c r="L15" i="3"/>
  <c r="O15" i="3"/>
  <c r="F16" i="3"/>
  <c r="H16" i="3"/>
  <c r="L16" i="3"/>
  <c r="O16" i="3"/>
  <c r="B17" i="3"/>
  <c r="C17" i="3"/>
  <c r="D17" i="3"/>
  <c r="E17" i="3"/>
  <c r="F17" i="3"/>
  <c r="G17" i="3"/>
  <c r="H17" i="3"/>
  <c r="I17" i="3"/>
  <c r="J17" i="3"/>
  <c r="K17" i="3"/>
  <c r="L17" i="3"/>
  <c r="M17" i="3"/>
  <c r="N17" i="3"/>
  <c r="O17" i="3"/>
  <c r="L18" i="3"/>
  <c r="B19" i="3"/>
  <c r="D19" i="3"/>
  <c r="J19" i="3"/>
  <c r="L19" i="3"/>
  <c r="B20" i="3"/>
  <c r="G21" i="3"/>
  <c r="J21" i="3"/>
  <c r="G22" i="3"/>
  <c r="F23" i="3"/>
  <c r="G23" i="3"/>
  <c r="J26" i="3"/>
  <c r="L26" i="3"/>
</calcChain>
</file>

<file path=xl/comments1.xml><?xml version="1.0" encoding="utf-8"?>
<comments xmlns="http://schemas.openxmlformats.org/spreadsheetml/2006/main">
  <authors>
    <author>lguillia</author>
  </authors>
  <commentList>
    <comment ref="F7" authorId="0" shapeId="0">
      <text>
        <r>
          <rPr>
            <b/>
            <sz val="8"/>
            <color indexed="81"/>
            <rFont val="Tahoma"/>
          </rPr>
          <t>Hide columns D through G for presentation purposes</t>
        </r>
      </text>
    </comment>
  </commentList>
</comments>
</file>

<file path=xl/comments2.xml><?xml version="1.0" encoding="utf-8"?>
<comments xmlns="http://schemas.openxmlformats.org/spreadsheetml/2006/main">
  <authors>
    <author>kbooth</author>
  </authors>
  <commentList>
    <comment ref="B15" authorId="0" shapeId="0">
      <text>
        <r>
          <rPr>
            <b/>
            <sz val="8"/>
            <color indexed="81"/>
            <rFont val="Tahoma"/>
          </rPr>
          <t>kbooth:</t>
        </r>
        <r>
          <rPr>
            <sz val="8"/>
            <color indexed="81"/>
            <rFont val="Tahoma"/>
          </rPr>
          <t xml:space="preserve">
Based on headcount used for PEP Purposes</t>
        </r>
      </text>
    </comment>
    <comment ref="B26" authorId="0" shapeId="0">
      <text>
        <r>
          <rPr>
            <b/>
            <sz val="8"/>
            <color indexed="81"/>
            <rFont val="Tahoma"/>
          </rPr>
          <t>kbooth:</t>
        </r>
        <r>
          <rPr>
            <sz val="8"/>
            <color indexed="81"/>
            <rFont val="Tahoma"/>
          </rPr>
          <t xml:space="preserve">
Based on headcount used for PEP Purposes</t>
        </r>
      </text>
    </comment>
  </commentList>
</comments>
</file>

<file path=xl/sharedStrings.xml><?xml version="1.0" encoding="utf-8"?>
<sst xmlns="http://schemas.openxmlformats.org/spreadsheetml/2006/main" count="196" uniqueCount="155">
  <si>
    <t>2002 Plan Summary - Human Resources Consolidated</t>
  </si>
  <si>
    <t>'01 Fcst vs '02 Plan</t>
  </si>
  <si>
    <t>Actuals</t>
  </si>
  <si>
    <t>Forecast</t>
  </si>
  <si>
    <t>Plan</t>
  </si>
  <si>
    <t>Fav/(Unfav)</t>
  </si>
  <si>
    <t>Jan-July</t>
  </si>
  <si>
    <t>Aug-Dec</t>
  </si>
  <si>
    <t xml:space="preserve">  Direct Expenses</t>
  </si>
  <si>
    <t>Compensation/Taxes and Benefits</t>
  </si>
  <si>
    <t>a)</t>
  </si>
  <si>
    <t>Employee Expenses</t>
  </si>
  <si>
    <t xml:space="preserve">     Recruiting and Relocations</t>
  </si>
  <si>
    <t xml:space="preserve">     Communications (Cell Phones, Pagers, etc.)</t>
  </si>
  <si>
    <t xml:space="preserve">     Conferences and Training</t>
  </si>
  <si>
    <t xml:space="preserve">     Club Dues</t>
  </si>
  <si>
    <t xml:space="preserve">     Employee Memberships &amp; Dues</t>
  </si>
  <si>
    <t xml:space="preserve">     Tuition Reimbursement</t>
  </si>
  <si>
    <t xml:space="preserve">     Employee Entertainment</t>
  </si>
  <si>
    <t xml:space="preserve">     Overtime/Working Meals</t>
  </si>
  <si>
    <t xml:space="preserve">     Other Employee Expenses</t>
  </si>
  <si>
    <t>Travel/Entertainment</t>
  </si>
  <si>
    <t xml:space="preserve">     Travel - Air</t>
  </si>
  <si>
    <t xml:space="preserve">     Travel - Lodging</t>
  </si>
  <si>
    <t xml:space="preserve">     Travel - Meals</t>
  </si>
  <si>
    <t xml:space="preserve">     Travel - Other</t>
  </si>
  <si>
    <t xml:space="preserve">     Client Entertainment</t>
  </si>
  <si>
    <t xml:space="preserve">     Customer Meetings</t>
  </si>
  <si>
    <t>Consulting</t>
  </si>
  <si>
    <t>b)</t>
  </si>
  <si>
    <t xml:space="preserve">     Advertising &amp; Promotions</t>
  </si>
  <si>
    <t xml:space="preserve">     Outside Services Excluding Legal and Tax</t>
  </si>
  <si>
    <t>Office</t>
  </si>
  <si>
    <t>c)</t>
  </si>
  <si>
    <t xml:space="preserve">     3rd Party Rent</t>
  </si>
  <si>
    <t xml:space="preserve">     Supplies</t>
  </si>
  <si>
    <t xml:space="preserve">     Subscriptions and Periodicals</t>
  </si>
  <si>
    <t xml:space="preserve">     Postage and Freight</t>
  </si>
  <si>
    <t xml:space="preserve">     Corporate Rent</t>
  </si>
  <si>
    <t xml:space="preserve">     Technology</t>
  </si>
  <si>
    <t>Controllable Infrastructure</t>
  </si>
  <si>
    <t>System Development</t>
  </si>
  <si>
    <t>Insurance</t>
  </si>
  <si>
    <r>
      <t>Analyst Associates</t>
    </r>
    <r>
      <rPr>
        <b/>
        <sz val="9"/>
        <rFont val="Arial"/>
        <family val="2"/>
      </rPr>
      <t xml:space="preserve"> </t>
    </r>
    <r>
      <rPr>
        <sz val="9"/>
        <rFont val="Arial"/>
        <family val="2"/>
      </rPr>
      <t>(Includes Comp, Taxes and Benefits and allocation)</t>
    </r>
  </si>
  <si>
    <t>d)</t>
  </si>
  <si>
    <t>Other Expense</t>
  </si>
  <si>
    <t xml:space="preserve">     Taxes Other than Income</t>
  </si>
  <si>
    <t xml:space="preserve">     Charitable Contributions</t>
  </si>
  <si>
    <t xml:space="preserve">     Company Membership &amp; Dues</t>
  </si>
  <si>
    <t xml:space="preserve">     Other Expenses (Transportation, Fees &amp; Permits, etc.)</t>
  </si>
  <si>
    <t>Outside Legal</t>
  </si>
  <si>
    <t>Outside Tax</t>
  </si>
  <si>
    <t>Depreciation and Amortization</t>
  </si>
  <si>
    <t>e)</t>
  </si>
  <si>
    <t>Total Direct Expenses</t>
  </si>
  <si>
    <t>Bonus Accrual</t>
  </si>
  <si>
    <t>Total Expenses Including Bonus Accrual</t>
  </si>
  <si>
    <t>Amounts Billed to Other Business Units</t>
  </si>
  <si>
    <t>f)</t>
  </si>
  <si>
    <t>Amounts Directed to ENA Commercial Teams</t>
  </si>
  <si>
    <t>Expenses Net of Intercompany Billings</t>
  </si>
  <si>
    <t xml:space="preserve">  Headcount</t>
  </si>
  <si>
    <r>
      <t xml:space="preserve">a) </t>
    </r>
    <r>
      <rPr>
        <b/>
        <sz val="10"/>
        <rFont val="Arial"/>
        <family val="2"/>
      </rPr>
      <t>2001 Plan vs. 2001 Forecast:</t>
    </r>
    <r>
      <rPr>
        <sz val="10"/>
        <rFont val="Arial"/>
        <family val="2"/>
      </rPr>
      <t xml:space="preserve"> Variance is due to an increase in headcount from plan and severance pay for EES employees ($700K).</t>
    </r>
  </si>
  <si>
    <r>
      <t xml:space="preserve">2001 Forecast vs. 2002 Plan: </t>
    </r>
    <r>
      <rPr>
        <sz val="10"/>
        <rFont val="Arial"/>
      </rPr>
      <t>Variance is due to a merit increase offset by EES severance pay in 2001 that will not occur in 2002.</t>
    </r>
  </si>
  <si>
    <t>b) Variance is because costs for contractors used during the PRC process to staff the PEP help desk are expected to be lower in 2002.</t>
  </si>
  <si>
    <t xml:space="preserve"> </t>
  </si>
  <si>
    <r>
      <t xml:space="preserve">c) </t>
    </r>
    <r>
      <rPr>
        <b/>
        <sz val="10"/>
        <rFont val="Arial"/>
        <family val="2"/>
      </rPr>
      <t xml:space="preserve">2001 Plan vs. 2001 Forecast:  </t>
    </r>
    <r>
      <rPr>
        <sz val="10"/>
        <rFont val="Arial"/>
        <family val="2"/>
      </rPr>
      <t>Variance is due to the transfer of the Recruitment Tech cost centers and one training cost center from Corporate and one training center from ENW without the associated plan.</t>
    </r>
  </si>
  <si>
    <r>
      <t xml:space="preserve">2001 Forecast vs. 2002 Plan: </t>
    </r>
    <r>
      <rPr>
        <sz val="10"/>
        <rFont val="Arial"/>
      </rPr>
      <t>Variance is due to increases in headcount and higher rates for space in the new building offset by lower costs planned in 2002 for PRC promotional items and technology expenses.</t>
    </r>
  </si>
  <si>
    <t>d) Variance is due to all costs of analysts and associates being included in compensation for the 2002 plan because they are HR analysts and associates and not part of the corporate A/A program.</t>
  </si>
  <si>
    <t>e) Depreciation is for the buildout of the 36th floor, which was completed in 2001.</t>
  </si>
  <si>
    <t xml:space="preserve">f) The variance is due to larger percentages being billed out to other business units (Generalists - $900K, Commercial Resources - $650K, Recruiting - $2.6M, Compensation - $1.6M, Executive - $800K, </t>
  </si>
  <si>
    <t xml:space="preserve">Support Services - $600K).  In addition, a new group, Mergers, Acquisitions &amp; Divestitures has been created and will increase allocations by $500K.  Allocations for the OD&amp;T group have increased </t>
  </si>
  <si>
    <t xml:space="preserve">by $2.5M because, during 2001, chargeouts for classes covered almost all expenses resulting in a 2001 forecast near zero.  However, in 2002, chargeouts are planned to cover only actual </t>
  </si>
  <si>
    <t>training costs, with overhead costs being allocated out.  Allocations for Recruiting have decreased because ENA will be allocated costs for recruiters that were borne by ENW in 2001.</t>
  </si>
  <si>
    <t>Human Resources Consolidated</t>
  </si>
  <si>
    <t>Analysis of I/C Billings</t>
  </si>
  <si>
    <t>2001 Forecast</t>
  </si>
  <si>
    <t>2002 Plan</t>
  </si>
  <si>
    <t>$</t>
  </si>
  <si>
    <t>%</t>
  </si>
  <si>
    <t>HC</t>
  </si>
  <si>
    <t xml:space="preserve">  APACHI</t>
  </si>
  <si>
    <t xml:space="preserve">  CALME</t>
  </si>
  <si>
    <t xml:space="preserve">  CF-MTBE</t>
  </si>
  <si>
    <t xml:space="preserve">  Citrus</t>
  </si>
  <si>
    <t xml:space="preserve">  CORP</t>
  </si>
  <si>
    <t xml:space="preserve">  EBS</t>
  </si>
  <si>
    <t xml:space="preserve">  ECB</t>
  </si>
  <si>
    <t xml:space="preserve">  EEDC</t>
  </si>
  <si>
    <t xml:space="preserve">  EEL</t>
  </si>
  <si>
    <t xml:space="preserve">  EEOS</t>
  </si>
  <si>
    <t xml:space="preserve">  EES Retail</t>
  </si>
  <si>
    <t xml:space="preserve">  EES Wholesale</t>
  </si>
  <si>
    <t xml:space="preserve">  EFS</t>
  </si>
  <si>
    <t xml:space="preserve">  EGAS</t>
  </si>
  <si>
    <t xml:space="preserve">  EGEP</t>
  </si>
  <si>
    <t xml:space="preserve">  EGF</t>
  </si>
  <si>
    <t xml:space="preserve">  EGM</t>
  </si>
  <si>
    <t xml:space="preserve">  EIM</t>
  </si>
  <si>
    <t xml:space="preserve">  EIP</t>
  </si>
  <si>
    <t xml:space="preserve">  ENA</t>
  </si>
  <si>
    <t xml:space="preserve">  ENW</t>
  </si>
  <si>
    <t xml:space="preserve">  EPI</t>
  </si>
  <si>
    <t xml:space="preserve">  EREC</t>
  </si>
  <si>
    <t xml:space="preserve">  ETS</t>
  </si>
  <si>
    <t xml:space="preserve">  FGT</t>
  </si>
  <si>
    <t xml:space="preserve">  HPLP</t>
  </si>
  <si>
    <t xml:space="preserve">  India</t>
  </si>
  <si>
    <t xml:space="preserve">  NEPCO</t>
  </si>
  <si>
    <t xml:space="preserve">  NNG</t>
  </si>
  <si>
    <t xml:space="preserve">  Northern Plains</t>
  </si>
  <si>
    <t xml:space="preserve">  South America</t>
  </si>
  <si>
    <t xml:space="preserve">  TW</t>
  </si>
  <si>
    <t xml:space="preserve">  Xcelerator</t>
  </si>
  <si>
    <t>Total 2001 Forecast Allocations</t>
  </si>
  <si>
    <t>Total 2002 Plan Allocations</t>
  </si>
  <si>
    <t>Other Business Units</t>
  </si>
  <si>
    <t>Net ENA</t>
  </si>
  <si>
    <t>Note</t>
  </si>
  <si>
    <t xml:space="preserve">      2002 Plan Direct Expense and allocations to business units include Bonus Accrual.</t>
  </si>
  <si>
    <t>Business Unit</t>
  </si>
  <si>
    <t>Headcount</t>
  </si>
  <si>
    <t>Executive</t>
  </si>
  <si>
    <t>Generalist</t>
  </si>
  <si>
    <t>Commercial Resources/Staff</t>
  </si>
  <si>
    <t>Recruiting</t>
  </si>
  <si>
    <t>Comp.</t>
  </si>
  <si>
    <t>OD&amp;T</t>
  </si>
  <si>
    <t>MAD</t>
  </si>
  <si>
    <t>PEP</t>
  </si>
  <si>
    <t>Service Connection</t>
  </si>
  <si>
    <t>Totals</t>
  </si>
  <si>
    <t>PEP Rent Adj.</t>
  </si>
  <si>
    <t>Bonus Adj.</t>
  </si>
  <si>
    <t>Adj. Total</t>
  </si>
  <si>
    <t>EA</t>
  </si>
  <si>
    <t>EES Wholesale</t>
  </si>
  <si>
    <t>Xcelerator</t>
  </si>
  <si>
    <t>EGM</t>
  </si>
  <si>
    <t>EIM</t>
  </si>
  <si>
    <t>EEOS</t>
  </si>
  <si>
    <t>ENW</t>
  </si>
  <si>
    <t>EBS</t>
  </si>
  <si>
    <t>EES</t>
  </si>
  <si>
    <t>CORP (S.W.)</t>
  </si>
  <si>
    <t>CORP (EPI)</t>
  </si>
  <si>
    <t>CORP (A/A)</t>
  </si>
  <si>
    <t>EGAS</t>
  </si>
  <si>
    <t>ETS-Allocated</t>
  </si>
  <si>
    <t>EEL</t>
  </si>
  <si>
    <t>Totals:</t>
  </si>
  <si>
    <t>plus ETS</t>
  </si>
  <si>
    <t>EWS/CORP/EES</t>
  </si>
  <si>
    <t>EWS</t>
  </si>
  <si>
    <t>ETS-Direct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</si>
</sst>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 numFmtId="167" formatCode="0.0%"/>
  </numFmts>
  <fonts count="20" x14ac:knownFonts="1">
    <font>
      <sz val="10"/>
      <name val="Arial"/>
    </font>
    <font>
      <sz val="10"/>
      <name val="Arial"/>
    </font>
    <font>
      <sz val="9"/>
      <name val="Arial"/>
      <family val="2"/>
    </font>
    <font>
      <sz val="10"/>
      <name val="Arial"/>
      <family val="2"/>
    </font>
    <font>
      <b/>
      <sz val="18"/>
      <name val="Arial"/>
      <family val="2"/>
    </font>
    <font>
      <b/>
      <sz val="10"/>
      <name val="Arial"/>
    </font>
    <font>
      <b/>
      <sz val="9"/>
      <name val="Arial"/>
      <family val="2"/>
    </font>
    <font>
      <sz val="9"/>
      <name val="Arial"/>
    </font>
    <font>
      <b/>
      <sz val="9"/>
      <name val="Arial"/>
    </font>
    <font>
      <sz val="11"/>
      <name val="Arial"/>
      <family val="2"/>
    </font>
    <font>
      <b/>
      <sz val="11"/>
      <name val="Arial"/>
      <family val="2"/>
    </font>
    <font>
      <b/>
      <sz val="11"/>
      <color indexed="12"/>
      <name val="Arial"/>
      <family val="2"/>
    </font>
    <font>
      <b/>
      <sz val="11"/>
      <color indexed="8"/>
      <name val="Arial"/>
      <family val="2"/>
    </font>
    <font>
      <sz val="9"/>
      <color indexed="12"/>
      <name val="Arial"/>
      <family val="2"/>
    </font>
    <font>
      <b/>
      <sz val="10"/>
      <name val="Arial"/>
      <family val="2"/>
    </font>
    <font>
      <b/>
      <sz val="8"/>
      <color indexed="81"/>
      <name val="Tahoma"/>
    </font>
    <font>
      <b/>
      <sz val="12"/>
      <name val="Arial"/>
      <family val="2"/>
    </font>
    <font>
      <sz val="12"/>
      <name val="Arial"/>
      <family val="2"/>
    </font>
    <font>
      <sz val="10"/>
      <color indexed="8"/>
      <name val="Arial"/>
      <family val="2"/>
    </font>
    <font>
      <sz val="8"/>
      <color indexed="81"/>
      <name val="Tahoma"/>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6">
    <xf numFmtId="0" fontId="0" fillId="0" borderId="0" xfId="0"/>
    <xf numFmtId="0" fontId="0" fillId="0" borderId="0" xfId="0" applyProtection="1"/>
    <xf numFmtId="0" fontId="2" fillId="0" borderId="0" xfId="0" applyFont="1" applyProtection="1"/>
    <xf numFmtId="0" fontId="0" fillId="0" borderId="0" xfId="0" applyBorder="1" applyProtection="1"/>
    <xf numFmtId="10" fontId="0" fillId="0" borderId="0" xfId="3" applyNumberFormat="1" applyFont="1" applyProtection="1"/>
    <xf numFmtId="10" fontId="3" fillId="0" borderId="0" xfId="3" applyNumberFormat="1" applyFont="1" applyProtection="1"/>
    <xf numFmtId="0" fontId="0" fillId="2" borderId="1" xfId="0" applyFill="1" applyBorder="1" applyProtection="1"/>
    <xf numFmtId="0" fontId="0" fillId="2" borderId="2" xfId="0" applyFill="1" applyBorder="1" applyProtection="1"/>
    <xf numFmtId="0" fontId="2" fillId="2" borderId="2" xfId="0" applyFont="1" applyFill="1" applyBorder="1" applyProtection="1"/>
    <xf numFmtId="0" fontId="0" fillId="2" borderId="3" xfId="0" applyFill="1" applyBorder="1" applyProtection="1"/>
    <xf numFmtId="0" fontId="0" fillId="2" borderId="7" xfId="0" applyFill="1" applyBorder="1"/>
    <xf numFmtId="0" fontId="0" fillId="2" borderId="8" xfId="0" applyFill="1" applyBorder="1"/>
    <xf numFmtId="0" fontId="2" fillId="2" borderId="8" xfId="0" applyFont="1" applyFill="1" applyBorder="1"/>
    <xf numFmtId="0" fontId="0" fillId="2" borderId="9" xfId="0" applyFill="1" applyBorder="1"/>
    <xf numFmtId="0" fontId="5" fillId="0" borderId="0" xfId="0" applyFont="1" applyBorder="1" applyAlignment="1">
      <alignment horizontal="center"/>
    </xf>
    <xf numFmtId="0" fontId="6" fillId="0" borderId="0" xfId="0" applyFont="1" applyBorder="1" applyAlignment="1">
      <alignment horizontal="center"/>
    </xf>
    <xf numFmtId="0" fontId="7" fillId="2" borderId="1" xfId="0" applyFont="1" applyFill="1" applyBorder="1" applyProtection="1"/>
    <xf numFmtId="0" fontId="7" fillId="2" borderId="3" xfId="0" applyFont="1" applyFill="1" applyBorder="1" applyProtection="1"/>
    <xf numFmtId="0" fontId="6" fillId="2" borderId="2" xfId="0" applyFont="1" applyFill="1" applyBorder="1" applyAlignment="1" applyProtection="1">
      <alignment horizontal="center"/>
    </xf>
    <xf numFmtId="0" fontId="6" fillId="2" borderId="1" xfId="0" applyFont="1" applyFill="1" applyBorder="1" applyAlignment="1" applyProtection="1">
      <alignment horizontal="center"/>
    </xf>
    <xf numFmtId="0" fontId="2" fillId="2" borderId="3" xfId="0" applyFont="1" applyFill="1" applyBorder="1" applyProtection="1"/>
    <xf numFmtId="0" fontId="6" fillId="2" borderId="3" xfId="0" quotePrefix="1" applyFont="1" applyFill="1" applyBorder="1" applyAlignment="1" applyProtection="1">
      <alignment horizontal="center"/>
    </xf>
    <xf numFmtId="0" fontId="7" fillId="2" borderId="7" xfId="0" applyFont="1" applyFill="1" applyBorder="1" applyProtection="1"/>
    <xf numFmtId="0" fontId="7" fillId="2" borderId="9" xfId="0" applyFont="1" applyFill="1" applyBorder="1" applyProtection="1"/>
    <xf numFmtId="0" fontId="6" fillId="2" borderId="8" xfId="0" applyFont="1" applyFill="1" applyBorder="1" applyAlignment="1" applyProtection="1">
      <alignment horizontal="center"/>
    </xf>
    <xf numFmtId="0" fontId="2" fillId="2" borderId="8" xfId="0" applyFont="1" applyFill="1" applyBorder="1" applyProtection="1"/>
    <xf numFmtId="0" fontId="6" fillId="2" borderId="7" xfId="0" applyFont="1" applyFill="1" applyBorder="1" applyAlignment="1" applyProtection="1">
      <alignment horizontal="center"/>
    </xf>
    <xf numFmtId="0" fontId="2" fillId="2" borderId="9" xfId="0" applyFont="1" applyFill="1" applyBorder="1" applyProtection="1"/>
    <xf numFmtId="0" fontId="6" fillId="2" borderId="9" xfId="0" applyFont="1" applyFill="1" applyBorder="1" applyAlignment="1" applyProtection="1">
      <alignment horizontal="center"/>
    </xf>
    <xf numFmtId="0" fontId="7" fillId="0" borderId="10" xfId="0" applyFont="1" applyBorder="1" applyProtection="1"/>
    <xf numFmtId="0" fontId="8" fillId="0" borderId="11" xfId="0" applyFont="1" applyBorder="1" applyAlignment="1" applyProtection="1">
      <alignment horizontal="center"/>
    </xf>
    <xf numFmtId="0" fontId="7" fillId="0" borderId="1" xfId="0" applyFont="1" applyBorder="1" applyProtection="1"/>
    <xf numFmtId="164" fontId="6" fillId="0" borderId="2" xfId="2" applyNumberFormat="1" applyFont="1" applyBorder="1" applyAlignment="1" applyProtection="1">
      <alignment horizontal="center"/>
    </xf>
    <xf numFmtId="0" fontId="2" fillId="0" borderId="2" xfId="0" applyFont="1" applyBorder="1" applyProtection="1"/>
    <xf numFmtId="164" fontId="6" fillId="0" borderId="1" xfId="2" applyNumberFormat="1" applyFont="1" applyBorder="1" applyAlignment="1" applyProtection="1">
      <alignment horizontal="center"/>
    </xf>
    <xf numFmtId="164" fontId="6" fillId="0" borderId="0" xfId="2" applyNumberFormat="1" applyFont="1" applyBorder="1" applyAlignment="1" applyProtection="1">
      <alignment horizontal="center"/>
    </xf>
    <xf numFmtId="0" fontId="2" fillId="0" borderId="3" xfId="0" applyFont="1" applyBorder="1" applyProtection="1"/>
    <xf numFmtId="0" fontId="6" fillId="0" borderId="2" xfId="0" applyFont="1" applyBorder="1" applyAlignment="1" applyProtection="1">
      <alignment horizontal="center"/>
    </xf>
    <xf numFmtId="164" fontId="6" fillId="0" borderId="2" xfId="2" applyNumberFormat="1" applyFont="1" applyBorder="1" applyProtection="1"/>
    <xf numFmtId="164" fontId="6" fillId="0" borderId="12" xfId="2" applyNumberFormat="1" applyFont="1" applyBorder="1" applyProtection="1"/>
    <xf numFmtId="0" fontId="9" fillId="0" borderId="0" xfId="0" applyFont="1" applyProtection="1"/>
    <xf numFmtId="0" fontId="10" fillId="2" borderId="4" xfId="0" applyFont="1" applyFill="1" applyBorder="1" applyProtection="1"/>
    <xf numFmtId="0" fontId="10" fillId="2" borderId="6" xfId="0" applyFont="1" applyFill="1" applyBorder="1" applyAlignment="1" applyProtection="1">
      <alignment horizontal="center"/>
    </xf>
    <xf numFmtId="0" fontId="9" fillId="0" borderId="10" xfId="0" applyFont="1" applyBorder="1" applyProtection="1"/>
    <xf numFmtId="38" fontId="2" fillId="0" borderId="0" xfId="1" applyNumberFormat="1" applyFont="1" applyBorder="1" applyAlignment="1" applyProtection="1"/>
    <xf numFmtId="0" fontId="2" fillId="0" borderId="0" xfId="0" applyFont="1" applyBorder="1" applyProtection="1"/>
    <xf numFmtId="164" fontId="6" fillId="0" borderId="10" xfId="2" applyNumberFormat="1" applyFont="1" applyBorder="1" applyAlignment="1" applyProtection="1">
      <alignment horizontal="center"/>
    </xf>
    <xf numFmtId="0" fontId="2" fillId="0" borderId="11" xfId="0" applyFont="1" applyBorder="1" applyProtection="1"/>
    <xf numFmtId="0" fontId="6" fillId="0" borderId="0" xfId="0" applyFont="1" applyBorder="1" applyAlignment="1" applyProtection="1">
      <alignment horizontal="center"/>
    </xf>
    <xf numFmtId="164" fontId="6" fillId="0" borderId="13" xfId="2" applyNumberFormat="1" applyFont="1" applyBorder="1" applyProtection="1"/>
    <xf numFmtId="37" fontId="9" fillId="0" borderId="10" xfId="0" applyNumberFormat="1" applyFont="1" applyBorder="1" applyProtection="1"/>
    <xf numFmtId="37" fontId="9" fillId="0" borderId="11" xfId="0" applyNumberFormat="1" applyFont="1" applyBorder="1" applyProtection="1"/>
    <xf numFmtId="37" fontId="2" fillId="0" borderId="0" xfId="1" applyNumberFormat="1" applyFont="1" applyBorder="1" applyAlignment="1" applyProtection="1"/>
    <xf numFmtId="37" fontId="2" fillId="0" borderId="0" xfId="0" applyNumberFormat="1" applyFont="1" applyBorder="1" applyProtection="1"/>
    <xf numFmtId="38" fontId="2" fillId="0" borderId="0" xfId="1" applyNumberFormat="1" applyFont="1" applyBorder="1" applyProtection="1"/>
    <xf numFmtId="38" fontId="2" fillId="0" borderId="10" xfId="1" applyNumberFormat="1" applyFont="1" applyBorder="1" applyProtection="1"/>
    <xf numFmtId="37" fontId="2" fillId="0" borderId="0" xfId="1" applyNumberFormat="1" applyFont="1" applyBorder="1" applyProtection="1"/>
    <xf numFmtId="37" fontId="2" fillId="0" borderId="11" xfId="0" applyNumberFormat="1" applyFont="1" applyBorder="1" applyProtection="1"/>
    <xf numFmtId="37" fontId="2" fillId="0" borderId="13" xfId="0" applyNumberFormat="1" applyFont="1" applyBorder="1" applyProtection="1"/>
    <xf numFmtId="0" fontId="10" fillId="0" borderId="0" xfId="0" applyFont="1" applyProtection="1"/>
    <xf numFmtId="37" fontId="10" fillId="0" borderId="10" xfId="0" applyNumberFormat="1" applyFont="1" applyBorder="1" applyProtection="1"/>
    <xf numFmtId="37" fontId="10" fillId="0" borderId="11" xfId="0" applyNumberFormat="1" applyFont="1" applyBorder="1" applyProtection="1"/>
    <xf numFmtId="37" fontId="11" fillId="0" borderId="0" xfId="1" applyNumberFormat="1" applyFont="1" applyBorder="1" applyAlignment="1" applyProtection="1"/>
    <xf numFmtId="37" fontId="10" fillId="0" borderId="0" xfId="1" applyNumberFormat="1" applyFont="1" applyBorder="1" applyAlignment="1" applyProtection="1"/>
    <xf numFmtId="37" fontId="11" fillId="0" borderId="10" xfId="1" applyNumberFormat="1" applyFont="1" applyBorder="1" applyAlignment="1" applyProtection="1"/>
    <xf numFmtId="37" fontId="10" fillId="0" borderId="11" xfId="1" applyNumberFormat="1" applyFont="1" applyBorder="1" applyAlignment="1" applyProtection="1"/>
    <xf numFmtId="37" fontId="10" fillId="0" borderId="13" xfId="1" applyNumberFormat="1" applyFont="1" applyBorder="1" applyAlignment="1" applyProtection="1"/>
    <xf numFmtId="37" fontId="10" fillId="0" borderId="10" xfId="1" applyNumberFormat="1" applyFont="1" applyBorder="1" applyAlignment="1" applyProtection="1"/>
    <xf numFmtId="37" fontId="12" fillId="0" borderId="0" xfId="1" applyNumberFormat="1" applyFont="1" applyBorder="1" applyAlignment="1" applyProtection="1"/>
    <xf numFmtId="37" fontId="2" fillId="0" borderId="10" xfId="0" applyNumberFormat="1" applyFont="1" applyBorder="1" applyProtection="1"/>
    <xf numFmtId="37" fontId="13" fillId="0" borderId="0" xfId="1" applyNumberFormat="1" applyFont="1" applyBorder="1" applyAlignment="1" applyProtection="1"/>
    <xf numFmtId="37" fontId="13" fillId="0" borderId="10" xfId="1" applyNumberFormat="1" applyFont="1" applyBorder="1" applyAlignment="1" applyProtection="1"/>
    <xf numFmtId="37" fontId="2" fillId="0" borderId="11" xfId="1" applyNumberFormat="1" applyFont="1" applyBorder="1" applyAlignment="1" applyProtection="1"/>
    <xf numFmtId="37" fontId="2" fillId="0" borderId="13" xfId="1" applyNumberFormat="1" applyFont="1" applyBorder="1" applyAlignment="1" applyProtection="1"/>
    <xf numFmtId="37" fontId="10" fillId="0" borderId="0" xfId="0" applyNumberFormat="1" applyFont="1" applyBorder="1" applyProtection="1"/>
    <xf numFmtId="37" fontId="10" fillId="0" borderId="0" xfId="1" applyNumberFormat="1" applyFont="1" applyFill="1" applyBorder="1" applyAlignment="1" applyProtection="1"/>
    <xf numFmtId="0" fontId="3" fillId="0" borderId="0" xfId="0" applyFont="1" applyProtection="1"/>
    <xf numFmtId="37" fontId="9" fillId="0" borderId="7" xfId="0" applyNumberFormat="1" applyFont="1" applyBorder="1" applyProtection="1"/>
    <xf numFmtId="37" fontId="2" fillId="0" borderId="8" xfId="1" applyNumberFormat="1" applyFont="1" applyBorder="1" applyAlignment="1" applyProtection="1"/>
    <xf numFmtId="37" fontId="2" fillId="0" borderId="8" xfId="0" applyNumberFormat="1" applyFont="1" applyBorder="1" applyProtection="1"/>
    <xf numFmtId="37" fontId="2" fillId="0" borderId="10" xfId="1" applyNumberFormat="1" applyFont="1" applyBorder="1" applyAlignment="1" applyProtection="1"/>
    <xf numFmtId="37" fontId="2" fillId="0" borderId="14" xfId="0" applyNumberFormat="1" applyFont="1" applyBorder="1" applyProtection="1"/>
    <xf numFmtId="37" fontId="9" fillId="0" borderId="4" xfId="0" applyNumberFormat="1" applyFont="1" applyFill="1" applyBorder="1" applyProtection="1"/>
    <xf numFmtId="37" fontId="10" fillId="0" borderId="5" xfId="0" applyNumberFormat="1" applyFont="1" applyFill="1" applyBorder="1" applyAlignment="1" applyProtection="1">
      <alignment horizontal="left"/>
    </xf>
    <xf numFmtId="37" fontId="10" fillId="0" borderId="4" xfId="0" applyNumberFormat="1" applyFont="1" applyFill="1" applyBorder="1" applyProtection="1"/>
    <xf numFmtId="37" fontId="10" fillId="0" borderId="5" xfId="2" applyNumberFormat="1" applyFont="1" applyFill="1" applyBorder="1" applyAlignment="1" applyProtection="1"/>
    <xf numFmtId="37" fontId="10" fillId="0" borderId="5" xfId="0" applyNumberFormat="1" applyFont="1" applyFill="1" applyBorder="1" applyProtection="1"/>
    <xf numFmtId="37" fontId="10" fillId="0" borderId="4" xfId="2" applyNumberFormat="1" applyFont="1" applyFill="1" applyBorder="1" applyAlignment="1" applyProtection="1"/>
    <xf numFmtId="37" fontId="10" fillId="0" borderId="6" xfId="0" applyNumberFormat="1" applyFont="1" applyFill="1" applyBorder="1" applyProtection="1"/>
    <xf numFmtId="37" fontId="10" fillId="0" borderId="2" xfId="2" applyNumberFormat="1" applyFont="1" applyBorder="1" applyAlignment="1" applyProtection="1"/>
    <xf numFmtId="37" fontId="10" fillId="0" borderId="15" xfId="2" applyNumberFormat="1" applyFont="1" applyFill="1" applyBorder="1" applyAlignment="1" applyProtection="1"/>
    <xf numFmtId="37" fontId="9" fillId="0" borderId="10" xfId="0" applyNumberFormat="1" applyFont="1" applyFill="1" applyBorder="1" applyProtection="1"/>
    <xf numFmtId="37" fontId="10" fillId="0" borderId="0" xfId="0" applyNumberFormat="1" applyFont="1" applyFill="1" applyBorder="1" applyAlignment="1" applyProtection="1">
      <alignment horizontal="left"/>
    </xf>
    <xf numFmtId="37" fontId="6" fillId="0" borderId="0" xfId="2" applyNumberFormat="1" applyFont="1" applyFill="1" applyBorder="1" applyAlignment="1" applyProtection="1"/>
    <xf numFmtId="37" fontId="6" fillId="0" borderId="0" xfId="0" applyNumberFormat="1" applyFont="1" applyFill="1" applyBorder="1" applyProtection="1"/>
    <xf numFmtId="37" fontId="6" fillId="0" borderId="2" xfId="2" applyNumberFormat="1" applyFont="1" applyFill="1" applyBorder="1" applyAlignment="1" applyProtection="1"/>
    <xf numFmtId="37" fontId="10" fillId="0" borderId="0" xfId="2" applyNumberFormat="1" applyFont="1" applyFill="1" applyBorder="1" applyAlignment="1" applyProtection="1"/>
    <xf numFmtId="37" fontId="10" fillId="0" borderId="0" xfId="0" applyNumberFormat="1" applyFont="1" applyFill="1" applyBorder="1" applyProtection="1"/>
    <xf numFmtId="10" fontId="9" fillId="0" borderId="0" xfId="3" applyNumberFormat="1" applyFont="1" applyProtection="1"/>
    <xf numFmtId="37" fontId="10" fillId="0" borderId="10" xfId="0" applyNumberFormat="1" applyFont="1" applyFill="1" applyBorder="1" applyProtection="1"/>
    <xf numFmtId="37" fontId="10" fillId="0" borderId="0" xfId="1" applyNumberFormat="1" applyFont="1" applyFill="1" applyBorder="1" applyProtection="1"/>
    <xf numFmtId="10" fontId="14" fillId="0" borderId="0" xfId="3" applyNumberFormat="1" applyFont="1" applyProtection="1"/>
    <xf numFmtId="0" fontId="14" fillId="0" borderId="0" xfId="0" applyFont="1" applyProtection="1"/>
    <xf numFmtId="37" fontId="10" fillId="0" borderId="7" xfId="0" applyNumberFormat="1" applyFont="1" applyFill="1" applyBorder="1" applyProtection="1"/>
    <xf numFmtId="37" fontId="10" fillId="0" borderId="8" xfId="0" applyNumberFormat="1" applyFont="1" applyFill="1" applyBorder="1" applyAlignment="1" applyProtection="1">
      <alignment horizontal="center"/>
    </xf>
    <xf numFmtId="37" fontId="6" fillId="0" borderId="8" xfId="2" applyNumberFormat="1" applyFont="1" applyFill="1" applyBorder="1" applyAlignment="1" applyProtection="1"/>
    <xf numFmtId="37" fontId="6" fillId="0" borderId="8" xfId="0" applyNumberFormat="1" applyFont="1" applyFill="1" applyBorder="1" applyProtection="1"/>
    <xf numFmtId="37" fontId="10" fillId="0" borderId="8" xfId="0" applyNumberFormat="1" applyFont="1" applyFill="1" applyBorder="1" applyAlignment="1" applyProtection="1">
      <alignment horizontal="left"/>
    </xf>
    <xf numFmtId="37" fontId="10" fillId="0" borderId="5" xfId="2" applyNumberFormat="1" applyFont="1" applyBorder="1" applyAlignment="1" applyProtection="1"/>
    <xf numFmtId="0" fontId="9" fillId="0" borderId="0" xfId="0" applyFont="1" applyBorder="1" applyProtection="1"/>
    <xf numFmtId="37" fontId="10" fillId="2" borderId="4" xfId="0" applyNumberFormat="1" applyFont="1" applyFill="1" applyBorder="1" applyProtection="1"/>
    <xf numFmtId="37" fontId="10" fillId="2" borderId="15" xfId="0" applyNumberFormat="1" applyFont="1" applyFill="1" applyBorder="1" applyAlignment="1" applyProtection="1">
      <alignment horizontal="center"/>
    </xf>
    <xf numFmtId="37" fontId="10" fillId="0" borderId="4" xfId="0" applyNumberFormat="1" applyFont="1" applyBorder="1" applyProtection="1"/>
    <xf numFmtId="37" fontId="11" fillId="0" borderId="5" xfId="0" applyNumberFormat="1" applyFont="1" applyBorder="1" applyProtection="1"/>
    <xf numFmtId="37" fontId="10" fillId="0" borderId="5" xfId="0" applyNumberFormat="1" applyFont="1" applyBorder="1" applyProtection="1"/>
    <xf numFmtId="0" fontId="11" fillId="0" borderId="5" xfId="0" applyFont="1" applyBorder="1" applyProtection="1"/>
    <xf numFmtId="0" fontId="11" fillId="0" borderId="4" xfId="0" applyFont="1" applyBorder="1" applyProtection="1"/>
    <xf numFmtId="0" fontId="10" fillId="0" borderId="6" xfId="0" applyFont="1" applyBorder="1" applyProtection="1"/>
    <xf numFmtId="1" fontId="10" fillId="0" borderId="5" xfId="1" applyNumberFormat="1" applyFont="1" applyBorder="1" applyAlignment="1" applyProtection="1"/>
    <xf numFmtId="37" fontId="10" fillId="0" borderId="6" xfId="0" applyNumberFormat="1" applyFont="1" applyBorder="1" applyProtection="1"/>
    <xf numFmtId="37" fontId="10" fillId="0" borderId="6" xfId="1" applyNumberFormat="1" applyFont="1" applyBorder="1" applyAlignment="1" applyProtection="1"/>
    <xf numFmtId="0" fontId="14" fillId="0" borderId="0" xfId="0" applyFont="1" applyBorder="1" applyProtection="1"/>
    <xf numFmtId="0" fontId="0" fillId="0" borderId="0" xfId="0" applyFill="1" applyBorder="1" applyProtection="1"/>
    <xf numFmtId="0" fontId="2" fillId="0" borderId="0" xfId="0" applyFont="1" applyFill="1" applyProtection="1"/>
    <xf numFmtId="0" fontId="14" fillId="0" borderId="0" xfId="0" applyFont="1" applyFill="1" applyBorder="1" applyProtection="1"/>
    <xf numFmtId="0" fontId="0" fillId="0" borderId="0" xfId="0" applyAlignment="1"/>
    <xf numFmtId="0" fontId="0" fillId="0" borderId="16" xfId="0" applyBorder="1" applyAlignment="1">
      <alignment horizontal="center"/>
    </xf>
    <xf numFmtId="0" fontId="0" fillId="0" borderId="0" xfId="0" applyBorder="1" applyAlignment="1"/>
    <xf numFmtId="0" fontId="0" fillId="0" borderId="0" xfId="0" applyBorder="1" applyAlignment="1">
      <alignment horizontal="center"/>
    </xf>
    <xf numFmtId="165" fontId="1" fillId="0" borderId="0" xfId="1" applyNumberFormat="1"/>
    <xf numFmtId="9" fontId="1" fillId="0" borderId="0" xfId="3" applyNumberFormat="1"/>
    <xf numFmtId="1" fontId="0" fillId="0" borderId="0" xfId="0" applyNumberFormat="1" applyBorder="1"/>
    <xf numFmtId="165" fontId="0" fillId="0" borderId="0" xfId="1" applyNumberFormat="1" applyFont="1"/>
    <xf numFmtId="43" fontId="1" fillId="0" borderId="0" xfId="1" applyNumberFormat="1"/>
    <xf numFmtId="165" fontId="3" fillId="0" borderId="0" xfId="1" applyNumberFormat="1" applyFont="1"/>
    <xf numFmtId="165" fontId="1" fillId="0" borderId="0" xfId="1" applyNumberFormat="1" applyFont="1"/>
    <xf numFmtId="1" fontId="18" fillId="0" borderId="0" xfId="0" applyNumberFormat="1" applyFont="1" applyBorder="1"/>
    <xf numFmtId="0" fontId="0" fillId="2" borderId="0" xfId="0" applyFill="1"/>
    <xf numFmtId="165" fontId="1" fillId="2" borderId="0" xfId="1" applyNumberFormat="1" applyFill="1"/>
    <xf numFmtId="9" fontId="18" fillId="2" borderId="0" xfId="3" applyNumberFormat="1" applyFont="1" applyFill="1"/>
    <xf numFmtId="1" fontId="3" fillId="2" borderId="0" xfId="0" applyNumberFormat="1" applyFont="1" applyFill="1" applyBorder="1"/>
    <xf numFmtId="9" fontId="1" fillId="2" borderId="0" xfId="3" applyNumberFormat="1" applyFill="1"/>
    <xf numFmtId="1" fontId="0" fillId="2" borderId="0" xfId="0" applyNumberFormat="1" applyFill="1" applyBorder="1"/>
    <xf numFmtId="165" fontId="1" fillId="0" borderId="0" xfId="1" applyNumberFormat="1" applyBorder="1"/>
    <xf numFmtId="165" fontId="1" fillId="0" borderId="16" xfId="1" applyNumberFormat="1" applyBorder="1"/>
    <xf numFmtId="9" fontId="1" fillId="0" borderId="16" xfId="3" applyNumberFormat="1" applyBorder="1"/>
    <xf numFmtId="1" fontId="0" fillId="0" borderId="16" xfId="0" applyNumberFormat="1" applyBorder="1"/>
    <xf numFmtId="1" fontId="0" fillId="0" borderId="0" xfId="0" applyNumberFormat="1"/>
    <xf numFmtId="0" fontId="0" fillId="0" borderId="0" xfId="0" applyAlignment="1">
      <alignment horizontal="right"/>
    </xf>
    <xf numFmtId="165" fontId="0" fillId="0" borderId="0" xfId="0" applyNumberFormat="1"/>
    <xf numFmtId="0" fontId="0" fillId="0" borderId="0" xfId="0" applyBorder="1"/>
    <xf numFmtId="165" fontId="1" fillId="0" borderId="0" xfId="1" applyNumberFormat="1" applyFont="1" applyBorder="1"/>
    <xf numFmtId="0" fontId="0" fillId="0" borderId="0" xfId="0" applyFill="1" applyBorder="1"/>
    <xf numFmtId="166" fontId="10" fillId="2" borderId="17" xfId="0" applyNumberFormat="1" applyFont="1" applyFill="1" applyBorder="1" applyAlignment="1">
      <alignment horizontal="center" vertical="center" wrapText="1"/>
    </xf>
    <xf numFmtId="166" fontId="10" fillId="2" borderId="18" xfId="0" applyNumberFormat="1" applyFont="1" applyFill="1" applyBorder="1" applyAlignment="1">
      <alignment horizontal="center" vertical="center" wrapText="1"/>
    </xf>
    <xf numFmtId="166" fontId="10" fillId="2" borderId="19" xfId="0" applyNumberFormat="1" applyFont="1" applyFill="1" applyBorder="1" applyAlignment="1">
      <alignment horizontal="center" vertical="center" wrapText="1"/>
    </xf>
    <xf numFmtId="166" fontId="10" fillId="0" borderId="0" xfId="0" applyNumberFormat="1" applyFont="1" applyAlignment="1">
      <alignment horizontal="center" vertical="center" wrapText="1"/>
    </xf>
    <xf numFmtId="167" fontId="10" fillId="0" borderId="0" xfId="3" applyNumberFormat="1" applyFont="1" applyAlignment="1">
      <alignment horizontal="center" vertical="center" wrapText="1"/>
    </xf>
    <xf numFmtId="166" fontId="10" fillId="0" borderId="17" xfId="0" applyNumberFormat="1" applyFont="1" applyBorder="1"/>
    <xf numFmtId="3" fontId="9" fillId="3" borderId="17" xfId="0" applyNumberFormat="1" applyFont="1" applyFill="1" applyBorder="1"/>
    <xf numFmtId="166" fontId="0" fillId="0" borderId="17" xfId="0" applyNumberFormat="1" applyBorder="1"/>
    <xf numFmtId="166" fontId="0" fillId="0" borderId="18" xfId="0" applyNumberFormat="1" applyBorder="1"/>
    <xf numFmtId="166" fontId="0" fillId="2" borderId="20" xfId="0" applyNumberFormat="1" applyFill="1" applyBorder="1"/>
    <xf numFmtId="166" fontId="0" fillId="0" borderId="0" xfId="0" applyNumberFormat="1"/>
    <xf numFmtId="167" fontId="0" fillId="0" borderId="0" xfId="3" applyNumberFormat="1" applyFont="1"/>
    <xf numFmtId="166" fontId="11" fillId="0" borderId="17" xfId="0" applyNumberFormat="1" applyFont="1" applyBorder="1"/>
    <xf numFmtId="166" fontId="0" fillId="0" borderId="17" xfId="0" applyNumberFormat="1" applyBorder="1" applyAlignment="1">
      <alignment horizontal="right"/>
    </xf>
    <xf numFmtId="166" fontId="10" fillId="0" borderId="21" xfId="0" applyNumberFormat="1" applyFont="1" applyBorder="1"/>
    <xf numFmtId="3" fontId="9" fillId="3" borderId="21" xfId="0" applyNumberFormat="1" applyFont="1" applyFill="1" applyBorder="1"/>
    <xf numFmtId="166" fontId="0" fillId="0" borderId="21" xfId="0" applyNumberFormat="1" applyBorder="1"/>
    <xf numFmtId="166" fontId="10" fillId="2" borderId="22" xfId="0" applyNumberFormat="1" applyFont="1" applyFill="1" applyBorder="1" applyAlignment="1">
      <alignment vertical="center"/>
    </xf>
    <xf numFmtId="3" fontId="10" fillId="2" borderId="23" xfId="0" applyNumberFormat="1" applyFont="1" applyFill="1" applyBorder="1" applyAlignment="1">
      <alignment horizontal="center" vertical="center"/>
    </xf>
    <xf numFmtId="166" fontId="14" fillId="2" borderId="24" xfId="0" applyNumberFormat="1" applyFont="1" applyFill="1" applyBorder="1" applyAlignment="1">
      <alignment horizontal="center" vertical="center"/>
    </xf>
    <xf numFmtId="166" fontId="14" fillId="2" borderId="25" xfId="0" applyNumberFormat="1" applyFont="1" applyFill="1" applyBorder="1" applyAlignment="1">
      <alignment horizontal="center" vertical="center"/>
    </xf>
    <xf numFmtId="166" fontId="14" fillId="2" borderId="15" xfId="0" applyNumberFormat="1" applyFont="1" applyFill="1" applyBorder="1" applyAlignment="1">
      <alignment horizontal="center" vertical="center"/>
    </xf>
    <xf numFmtId="166" fontId="14" fillId="0" borderId="0" xfId="0" applyNumberFormat="1" applyFont="1" applyAlignment="1">
      <alignment vertical="center"/>
    </xf>
    <xf numFmtId="166" fontId="10" fillId="0" borderId="0" xfId="0" applyNumberFormat="1" applyFont="1"/>
    <xf numFmtId="166" fontId="14" fillId="0" borderId="0" xfId="0" applyNumberFormat="1" applyFont="1"/>
    <xf numFmtId="166" fontId="0" fillId="0" borderId="26" xfId="0" applyNumberFormat="1" applyBorder="1"/>
    <xf numFmtId="3" fontId="10" fillId="0" borderId="0" xfId="0" applyNumberFormat="1" applyFont="1"/>
    <xf numFmtId="166" fontId="0" fillId="0" borderId="16" xfId="0" applyNumberFormat="1" applyBorder="1"/>
    <xf numFmtId="166" fontId="3" fillId="0" borderId="16" xfId="0" applyNumberFormat="1" applyFont="1" applyBorder="1"/>
    <xf numFmtId="166" fontId="10" fillId="0" borderId="22" xfId="0" applyNumberFormat="1" applyFont="1" applyBorder="1"/>
    <xf numFmtId="3" fontId="9" fillId="3" borderId="24" xfId="0" applyNumberFormat="1" applyFont="1" applyFill="1" applyBorder="1"/>
    <xf numFmtId="166" fontId="3" fillId="0" borderId="24" xfId="0" applyNumberFormat="1" applyFont="1" applyBorder="1"/>
    <xf numFmtId="166" fontId="0" fillId="0" borderId="24" xfId="0" applyNumberFormat="1" applyBorder="1"/>
    <xf numFmtId="166" fontId="0" fillId="0" borderId="25" xfId="0" applyNumberFormat="1" applyBorder="1"/>
    <xf numFmtId="166" fontId="14" fillId="0" borderId="15" xfId="0" applyNumberFormat="1" applyFont="1" applyBorder="1"/>
    <xf numFmtId="0" fontId="4" fillId="0"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6" fillId="0" borderId="0" xfId="0" applyFont="1" applyBorder="1" applyAlignment="1">
      <alignment horizontal="center"/>
    </xf>
    <xf numFmtId="0" fontId="0" fillId="0" borderId="0" xfId="0" applyAlignment="1"/>
    <xf numFmtId="0" fontId="17" fillId="0" borderId="0" xfId="0" applyFont="1" applyBorder="1" applyAlignment="1">
      <alignment horizontal="center"/>
    </xf>
    <xf numFmtId="0" fontId="0" fillId="0" borderId="16" xfId="0" applyBorder="1" applyAlignment="1">
      <alignment horizontal="center"/>
    </xf>
    <xf numFmtId="0" fontId="0" fillId="0" borderId="16" xfId="0" applyBorder="1" applyAlignme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Support%20Detail%20Presentation-HR%200920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avlicek/source/repos/enron_xls/edrm/Allocations%20to%20BUs%20091901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Consolidated"/>
      <sheetName val="HR Allocations"/>
      <sheetName val="CORP"/>
      <sheetName val="CORP Alloc"/>
      <sheetName val="EES"/>
      <sheetName val="ENA"/>
      <sheetName val="ENA Alloc"/>
      <sheetName val="ENW"/>
      <sheetName val="ENW Alloc"/>
      <sheetName val="Template"/>
    </sheetNames>
    <sheetDataSet>
      <sheetData sheetId="0"/>
      <sheetData sheetId="1"/>
      <sheetData sheetId="2">
        <row r="11">
          <cell r="E11">
            <v>406119</v>
          </cell>
          <cell r="G11">
            <v>290085</v>
          </cell>
          <cell r="I11">
            <v>193046</v>
          </cell>
          <cell r="M11">
            <v>650077</v>
          </cell>
        </row>
        <row r="13">
          <cell r="E13">
            <v>0</v>
          </cell>
          <cell r="G13">
            <v>0</v>
          </cell>
          <cell r="I13">
            <v>0</v>
          </cell>
          <cell r="M13">
            <v>0</v>
          </cell>
        </row>
        <row r="14">
          <cell r="E14">
            <v>0</v>
          </cell>
          <cell r="G14">
            <v>0</v>
          </cell>
          <cell r="I14">
            <v>0</v>
          </cell>
          <cell r="M14">
            <v>8400</v>
          </cell>
        </row>
        <row r="15">
          <cell r="E15">
            <v>0</v>
          </cell>
          <cell r="G15">
            <v>0</v>
          </cell>
          <cell r="I15">
            <v>0</v>
          </cell>
          <cell r="M15">
            <v>3000</v>
          </cell>
        </row>
        <row r="16">
          <cell r="E16">
            <v>0</v>
          </cell>
          <cell r="G16">
            <v>0</v>
          </cell>
          <cell r="I16">
            <v>0</v>
          </cell>
          <cell r="M16">
            <v>0</v>
          </cell>
        </row>
        <row r="17">
          <cell r="E17">
            <v>0</v>
          </cell>
          <cell r="G17">
            <v>0</v>
          </cell>
          <cell r="I17">
            <v>0</v>
          </cell>
          <cell r="M17">
            <v>600</v>
          </cell>
        </row>
        <row r="18">
          <cell r="E18">
            <v>0</v>
          </cell>
          <cell r="G18">
            <v>0</v>
          </cell>
          <cell r="I18">
            <v>0</v>
          </cell>
          <cell r="M18">
            <v>3000</v>
          </cell>
        </row>
        <row r="19">
          <cell r="E19">
            <v>0</v>
          </cell>
          <cell r="G19">
            <v>0</v>
          </cell>
          <cell r="I19">
            <v>0</v>
          </cell>
          <cell r="M19">
            <v>0</v>
          </cell>
        </row>
        <row r="20">
          <cell r="E20">
            <v>0</v>
          </cell>
          <cell r="G20">
            <v>0</v>
          </cell>
          <cell r="I20">
            <v>0</v>
          </cell>
          <cell r="M20">
            <v>7000</v>
          </cell>
        </row>
        <row r="21">
          <cell r="E21">
            <v>39550</v>
          </cell>
          <cell r="G21">
            <v>28250</v>
          </cell>
          <cell r="I21">
            <v>11808</v>
          </cell>
          <cell r="M21">
            <v>1200</v>
          </cell>
        </row>
        <row r="23">
          <cell r="E23">
            <v>0</v>
          </cell>
          <cell r="G23">
            <v>0</v>
          </cell>
          <cell r="I23">
            <v>0</v>
          </cell>
          <cell r="M23">
            <v>7000</v>
          </cell>
        </row>
        <row r="24">
          <cell r="E24">
            <v>0</v>
          </cell>
          <cell r="G24">
            <v>0</v>
          </cell>
          <cell r="I24">
            <v>0</v>
          </cell>
          <cell r="M24">
            <v>1000</v>
          </cell>
        </row>
        <row r="25">
          <cell r="E25">
            <v>0</v>
          </cell>
          <cell r="G25">
            <v>0</v>
          </cell>
          <cell r="I25">
            <v>0</v>
          </cell>
          <cell r="M25">
            <v>1000</v>
          </cell>
        </row>
        <row r="26">
          <cell r="E26">
            <v>0</v>
          </cell>
          <cell r="G26">
            <v>0</v>
          </cell>
          <cell r="I26">
            <v>0</v>
          </cell>
          <cell r="M26">
            <v>0</v>
          </cell>
        </row>
        <row r="27">
          <cell r="E27">
            <v>0</v>
          </cell>
          <cell r="G27">
            <v>0</v>
          </cell>
          <cell r="I27">
            <v>0</v>
          </cell>
          <cell r="M27">
            <v>0</v>
          </cell>
        </row>
        <row r="28">
          <cell r="E28">
            <v>0</v>
          </cell>
          <cell r="G28">
            <v>0</v>
          </cell>
          <cell r="I28">
            <v>0</v>
          </cell>
          <cell r="M28">
            <v>0</v>
          </cell>
        </row>
        <row r="30">
          <cell r="E30">
            <v>0</v>
          </cell>
          <cell r="G30">
            <v>0</v>
          </cell>
          <cell r="I30">
            <v>0</v>
          </cell>
          <cell r="M30">
            <v>20000</v>
          </cell>
        </row>
        <row r="31">
          <cell r="E31">
            <v>268132</v>
          </cell>
          <cell r="G31">
            <v>191522.85714285713</v>
          </cell>
          <cell r="I31">
            <v>0</v>
          </cell>
          <cell r="M31">
            <v>149100</v>
          </cell>
        </row>
        <row r="33">
          <cell r="E33">
            <v>126</v>
          </cell>
          <cell r="G33">
            <v>90</v>
          </cell>
          <cell r="I33">
            <v>0</v>
          </cell>
          <cell r="M33">
            <v>0</v>
          </cell>
        </row>
        <row r="34">
          <cell r="E34">
            <v>28896</v>
          </cell>
          <cell r="G34">
            <v>20640</v>
          </cell>
          <cell r="I34">
            <v>2004</v>
          </cell>
          <cell r="M34">
            <v>6900</v>
          </cell>
        </row>
        <row r="35">
          <cell r="E35">
            <v>0</v>
          </cell>
          <cell r="G35">
            <v>0</v>
          </cell>
          <cell r="I35">
            <v>0</v>
          </cell>
          <cell r="M35">
            <v>0</v>
          </cell>
        </row>
        <row r="36">
          <cell r="E36">
            <v>0</v>
          </cell>
          <cell r="G36">
            <v>0</v>
          </cell>
          <cell r="I36">
            <v>0</v>
          </cell>
          <cell r="M36">
            <v>3000</v>
          </cell>
        </row>
        <row r="37">
          <cell r="E37">
            <v>112998</v>
          </cell>
          <cell r="G37">
            <v>10712.857142857145</v>
          </cell>
          <cell r="I37">
            <v>26400</v>
          </cell>
          <cell r="M37">
            <v>70000</v>
          </cell>
        </row>
        <row r="38">
          <cell r="E38">
            <v>11760</v>
          </cell>
          <cell r="G38">
            <v>8400</v>
          </cell>
          <cell r="I38">
            <v>1200</v>
          </cell>
          <cell r="M38">
            <v>0</v>
          </cell>
        </row>
        <row r="39">
          <cell r="E39">
            <v>5340</v>
          </cell>
          <cell r="G39">
            <v>3814.2857142857147</v>
          </cell>
          <cell r="I39">
            <v>6000</v>
          </cell>
          <cell r="M39">
            <v>3600</v>
          </cell>
        </row>
        <row r="40">
          <cell r="E40">
            <v>0</v>
          </cell>
          <cell r="G40">
            <v>0</v>
          </cell>
          <cell r="I40">
            <v>0</v>
          </cell>
          <cell r="M40">
            <v>0</v>
          </cell>
        </row>
        <row r="41">
          <cell r="E41">
            <v>0</v>
          </cell>
          <cell r="G41">
            <v>0</v>
          </cell>
          <cell r="I41">
            <v>0</v>
          </cell>
          <cell r="M41">
            <v>0</v>
          </cell>
        </row>
        <row r="42">
          <cell r="E42">
            <v>0</v>
          </cell>
          <cell r="G42">
            <v>0</v>
          </cell>
          <cell r="I42">
            <v>0</v>
          </cell>
          <cell r="M42">
            <v>0</v>
          </cell>
        </row>
        <row r="44">
          <cell r="E44">
            <v>0</v>
          </cell>
          <cell r="G44">
            <v>0</v>
          </cell>
          <cell r="I44">
            <v>0</v>
          </cell>
          <cell r="M44">
            <v>0</v>
          </cell>
        </row>
        <row r="45">
          <cell r="E45">
            <v>0</v>
          </cell>
          <cell r="G45">
            <v>0</v>
          </cell>
          <cell r="I45">
            <v>0</v>
          </cell>
          <cell r="M45">
            <v>0</v>
          </cell>
        </row>
        <row r="46">
          <cell r="E46">
            <v>0</v>
          </cell>
          <cell r="G46">
            <v>0</v>
          </cell>
          <cell r="I46">
            <v>0</v>
          </cell>
          <cell r="M46">
            <v>0</v>
          </cell>
        </row>
        <row r="47">
          <cell r="E47">
            <v>29853</v>
          </cell>
          <cell r="G47">
            <v>21323.571428571428</v>
          </cell>
          <cell r="I47">
            <v>292008</v>
          </cell>
          <cell r="M47">
            <v>0</v>
          </cell>
        </row>
        <row r="48">
          <cell r="E48">
            <v>0</v>
          </cell>
          <cell r="G48">
            <v>0</v>
          </cell>
          <cell r="I48">
            <v>0</v>
          </cell>
          <cell r="M48">
            <v>0</v>
          </cell>
        </row>
        <row r="49">
          <cell r="E49">
            <v>0</v>
          </cell>
          <cell r="G49">
            <v>0</v>
          </cell>
          <cell r="I49">
            <v>0</v>
          </cell>
          <cell r="M49">
            <v>0</v>
          </cell>
        </row>
        <row r="50">
          <cell r="E50">
            <v>0</v>
          </cell>
          <cell r="G50">
            <v>0</v>
          </cell>
          <cell r="I50">
            <v>0</v>
          </cell>
          <cell r="M50">
            <v>0</v>
          </cell>
        </row>
        <row r="58">
          <cell r="E58">
            <v>-285831</v>
          </cell>
          <cell r="G58">
            <v>-1124786</v>
          </cell>
          <cell r="I58">
            <v>-489996</v>
          </cell>
          <cell r="M58">
            <v>-834525</v>
          </cell>
        </row>
        <row r="59">
          <cell r="E59">
            <v>0</v>
          </cell>
          <cell r="G59">
            <v>0</v>
          </cell>
          <cell r="I59">
            <v>0</v>
          </cell>
          <cell r="M59">
            <v>0</v>
          </cell>
        </row>
        <row r="63">
          <cell r="E63">
            <v>0</v>
          </cell>
          <cell r="G63">
            <v>9</v>
          </cell>
          <cell r="I63">
            <v>0</v>
          </cell>
          <cell r="M63">
            <v>7</v>
          </cell>
        </row>
      </sheetData>
      <sheetData sheetId="3"/>
      <sheetData sheetId="4">
        <row r="11">
          <cell r="E11">
            <v>2006526</v>
          </cell>
          <cell r="G11">
            <v>703680</v>
          </cell>
          <cell r="I11">
            <v>1792627</v>
          </cell>
          <cell r="M11">
            <v>1651825</v>
          </cell>
        </row>
        <row r="13">
          <cell r="E13">
            <v>0</v>
          </cell>
          <cell r="G13">
            <v>0</v>
          </cell>
          <cell r="I13">
            <v>40000</v>
          </cell>
          <cell r="M13">
            <v>0</v>
          </cell>
        </row>
        <row r="14">
          <cell r="E14">
            <v>0</v>
          </cell>
          <cell r="G14">
            <v>0</v>
          </cell>
          <cell r="I14">
            <v>0</v>
          </cell>
          <cell r="M14">
            <v>0</v>
          </cell>
        </row>
        <row r="15">
          <cell r="E15">
            <v>0</v>
          </cell>
          <cell r="G15">
            <v>0</v>
          </cell>
          <cell r="I15">
            <v>0</v>
          </cell>
          <cell r="M15">
            <v>0</v>
          </cell>
        </row>
        <row r="16">
          <cell r="E16">
            <v>0</v>
          </cell>
          <cell r="G16">
            <v>0</v>
          </cell>
          <cell r="I16">
            <v>0</v>
          </cell>
          <cell r="M16">
            <v>0</v>
          </cell>
        </row>
        <row r="17">
          <cell r="E17">
            <v>0</v>
          </cell>
          <cell r="G17">
            <v>0</v>
          </cell>
          <cell r="I17">
            <v>0</v>
          </cell>
          <cell r="M17">
            <v>0</v>
          </cell>
        </row>
        <row r="18">
          <cell r="E18">
            <v>0</v>
          </cell>
          <cell r="G18">
            <v>0</v>
          </cell>
          <cell r="I18">
            <v>0</v>
          </cell>
          <cell r="M18">
            <v>0</v>
          </cell>
        </row>
        <row r="19">
          <cell r="E19">
            <v>16660</v>
          </cell>
          <cell r="G19">
            <v>12100</v>
          </cell>
          <cell r="I19">
            <v>36960</v>
          </cell>
          <cell r="M19">
            <v>45000</v>
          </cell>
        </row>
        <row r="20">
          <cell r="E20">
            <v>0</v>
          </cell>
          <cell r="G20">
            <v>0</v>
          </cell>
          <cell r="I20">
            <v>0</v>
          </cell>
          <cell r="M20">
            <v>0</v>
          </cell>
        </row>
        <row r="21">
          <cell r="E21">
            <v>121141</v>
          </cell>
          <cell r="G21">
            <v>5000</v>
          </cell>
          <cell r="I21">
            <v>12000</v>
          </cell>
          <cell r="M21">
            <v>0</v>
          </cell>
        </row>
        <row r="23">
          <cell r="E23">
            <v>0</v>
          </cell>
          <cell r="G23">
            <v>0</v>
          </cell>
          <cell r="I23">
            <v>0</v>
          </cell>
          <cell r="M23">
            <v>0</v>
          </cell>
        </row>
        <row r="24">
          <cell r="E24">
            <v>0</v>
          </cell>
          <cell r="G24">
            <v>0</v>
          </cell>
          <cell r="I24">
            <v>0</v>
          </cell>
          <cell r="M24">
            <v>0</v>
          </cell>
        </row>
        <row r="25">
          <cell r="E25">
            <v>0</v>
          </cell>
          <cell r="G25">
            <v>0</v>
          </cell>
          <cell r="I25">
            <v>0</v>
          </cell>
          <cell r="M25">
            <v>0</v>
          </cell>
        </row>
        <row r="26">
          <cell r="E26">
            <v>17872</v>
          </cell>
          <cell r="G26">
            <v>11958</v>
          </cell>
          <cell r="I26">
            <v>50750</v>
          </cell>
          <cell r="M26">
            <v>75000</v>
          </cell>
        </row>
        <row r="27">
          <cell r="E27">
            <v>0</v>
          </cell>
          <cell r="G27">
            <v>0</v>
          </cell>
          <cell r="I27">
            <v>0</v>
          </cell>
          <cell r="M27">
            <v>0</v>
          </cell>
        </row>
        <row r="28">
          <cell r="E28">
            <v>0</v>
          </cell>
          <cell r="G28">
            <v>0</v>
          </cell>
          <cell r="I28">
            <v>0</v>
          </cell>
          <cell r="M28">
            <v>0</v>
          </cell>
        </row>
        <row r="30">
          <cell r="E30">
            <v>2780</v>
          </cell>
          <cell r="G30">
            <v>0</v>
          </cell>
          <cell r="I30">
            <v>0</v>
          </cell>
          <cell r="M30">
            <v>0</v>
          </cell>
        </row>
        <row r="31">
          <cell r="E31">
            <v>370297</v>
          </cell>
          <cell r="G31">
            <v>131665</v>
          </cell>
          <cell r="I31">
            <v>403657</v>
          </cell>
          <cell r="M31">
            <v>296000</v>
          </cell>
        </row>
        <row r="33">
          <cell r="E33">
            <v>0</v>
          </cell>
          <cell r="G33">
            <v>0</v>
          </cell>
          <cell r="I33">
            <v>0</v>
          </cell>
          <cell r="M33">
            <v>0</v>
          </cell>
        </row>
        <row r="34">
          <cell r="E34">
            <v>69054</v>
          </cell>
          <cell r="G34">
            <v>14000</v>
          </cell>
          <cell r="I34">
            <v>34100</v>
          </cell>
          <cell r="M34">
            <v>33600</v>
          </cell>
        </row>
        <row r="35">
          <cell r="E35">
            <v>0</v>
          </cell>
          <cell r="G35">
            <v>0</v>
          </cell>
          <cell r="I35">
            <v>0</v>
          </cell>
          <cell r="M35">
            <v>0</v>
          </cell>
        </row>
        <row r="36">
          <cell r="E36">
            <v>0</v>
          </cell>
          <cell r="G36">
            <v>0</v>
          </cell>
          <cell r="I36">
            <v>0</v>
          </cell>
          <cell r="M36">
            <v>0</v>
          </cell>
        </row>
        <row r="37">
          <cell r="E37">
            <v>56875</v>
          </cell>
          <cell r="G37">
            <v>40488</v>
          </cell>
          <cell r="I37">
            <v>99220</v>
          </cell>
          <cell r="M37">
            <v>222336</v>
          </cell>
        </row>
        <row r="38">
          <cell r="E38">
            <v>24836</v>
          </cell>
          <cell r="G38">
            <v>17120</v>
          </cell>
          <cell r="I38">
            <v>42080</v>
          </cell>
          <cell r="M38">
            <v>19200</v>
          </cell>
        </row>
        <row r="39">
          <cell r="E39">
            <v>0</v>
          </cell>
          <cell r="G39">
            <v>0</v>
          </cell>
          <cell r="I39">
            <v>0</v>
          </cell>
          <cell r="M39">
            <v>0</v>
          </cell>
        </row>
        <row r="40">
          <cell r="E40">
            <v>0</v>
          </cell>
          <cell r="G40">
            <v>0</v>
          </cell>
          <cell r="I40">
            <v>0</v>
          </cell>
          <cell r="M40">
            <v>0</v>
          </cell>
        </row>
        <row r="41">
          <cell r="E41">
            <v>0</v>
          </cell>
          <cell r="G41">
            <v>0</v>
          </cell>
          <cell r="I41">
            <v>0</v>
          </cell>
          <cell r="M41">
            <v>0</v>
          </cell>
        </row>
        <row r="42">
          <cell r="E42">
            <v>125650</v>
          </cell>
          <cell r="G42">
            <v>89750</v>
          </cell>
          <cell r="I42">
            <v>215400</v>
          </cell>
          <cell r="M42">
            <v>0</v>
          </cell>
        </row>
        <row r="44">
          <cell r="E44">
            <v>0</v>
          </cell>
          <cell r="G44">
            <v>0</v>
          </cell>
          <cell r="I44">
            <v>0</v>
          </cell>
          <cell r="M44">
            <v>0</v>
          </cell>
        </row>
        <row r="45">
          <cell r="E45">
            <v>0</v>
          </cell>
          <cell r="G45">
            <v>0</v>
          </cell>
          <cell r="I45">
            <v>0</v>
          </cell>
          <cell r="M45">
            <v>0</v>
          </cell>
        </row>
        <row r="46">
          <cell r="E46">
            <v>0</v>
          </cell>
          <cell r="G46">
            <v>0</v>
          </cell>
          <cell r="I46">
            <v>0</v>
          </cell>
          <cell r="M46">
            <v>0</v>
          </cell>
        </row>
        <row r="47">
          <cell r="E47">
            <v>48067</v>
          </cell>
          <cell r="G47">
            <v>68000</v>
          </cell>
          <cell r="I47">
            <v>155500</v>
          </cell>
          <cell r="M47">
            <v>0</v>
          </cell>
        </row>
        <row r="48">
          <cell r="E48">
            <v>0</v>
          </cell>
          <cell r="G48">
            <v>0</v>
          </cell>
          <cell r="I48">
            <v>0</v>
          </cell>
          <cell r="M48">
            <v>0</v>
          </cell>
        </row>
        <row r="49">
          <cell r="E49">
            <v>0</v>
          </cell>
          <cell r="G49">
            <v>0</v>
          </cell>
          <cell r="I49">
            <v>0</v>
          </cell>
          <cell r="M49">
            <v>0</v>
          </cell>
        </row>
        <row r="50">
          <cell r="E50">
            <v>0</v>
          </cell>
          <cell r="G50">
            <v>0</v>
          </cell>
          <cell r="I50">
            <v>0</v>
          </cell>
          <cell r="M50">
            <v>0</v>
          </cell>
        </row>
        <row r="58">
          <cell r="E58">
            <v>0</v>
          </cell>
          <cell r="G58">
            <v>-3953519</v>
          </cell>
          <cell r="I58">
            <v>0</v>
          </cell>
          <cell r="M58">
            <v>-2342961</v>
          </cell>
        </row>
        <row r="59">
          <cell r="E59">
            <v>0</v>
          </cell>
          <cell r="G59">
            <v>0</v>
          </cell>
          <cell r="I59">
            <v>0</v>
          </cell>
          <cell r="M59">
            <v>0</v>
          </cell>
        </row>
        <row r="63">
          <cell r="E63">
            <v>0</v>
          </cell>
          <cell r="G63">
            <v>19</v>
          </cell>
          <cell r="I63">
            <v>20</v>
          </cell>
          <cell r="M63">
            <v>16</v>
          </cell>
        </row>
      </sheetData>
      <sheetData sheetId="5">
        <row r="11">
          <cell r="E11">
            <v>3431574</v>
          </cell>
          <cell r="G11">
            <v>2448513</v>
          </cell>
          <cell r="I11">
            <v>5785787</v>
          </cell>
          <cell r="M11">
            <v>7002014</v>
          </cell>
        </row>
        <row r="13">
          <cell r="E13">
            <v>0</v>
          </cell>
          <cell r="G13">
            <v>0</v>
          </cell>
          <cell r="I13">
            <v>0</v>
          </cell>
          <cell r="M13">
            <v>8000</v>
          </cell>
        </row>
        <row r="14">
          <cell r="E14">
            <v>35688</v>
          </cell>
          <cell r="G14">
            <v>25492</v>
          </cell>
          <cell r="I14">
            <v>50100</v>
          </cell>
          <cell r="M14">
            <v>29776</v>
          </cell>
        </row>
        <row r="15">
          <cell r="E15">
            <v>0</v>
          </cell>
          <cell r="G15">
            <v>0</v>
          </cell>
          <cell r="I15">
            <v>0</v>
          </cell>
          <cell r="M15">
            <v>32796</v>
          </cell>
        </row>
        <row r="16">
          <cell r="E16">
            <v>1725</v>
          </cell>
          <cell r="G16">
            <v>1232</v>
          </cell>
          <cell r="I16">
            <v>0</v>
          </cell>
          <cell r="M16">
            <v>0</v>
          </cell>
        </row>
        <row r="17">
          <cell r="E17">
            <v>7487</v>
          </cell>
          <cell r="G17">
            <v>5348</v>
          </cell>
          <cell r="I17">
            <v>37000</v>
          </cell>
          <cell r="M17">
            <v>8460</v>
          </cell>
        </row>
        <row r="18">
          <cell r="E18">
            <v>0</v>
          </cell>
          <cell r="G18">
            <v>0</v>
          </cell>
          <cell r="I18">
            <v>0</v>
          </cell>
          <cell r="M18">
            <v>19908</v>
          </cell>
        </row>
        <row r="19">
          <cell r="E19">
            <v>2000</v>
          </cell>
          <cell r="G19">
            <v>0</v>
          </cell>
          <cell r="I19">
            <v>155704</v>
          </cell>
          <cell r="M19">
            <v>0</v>
          </cell>
        </row>
        <row r="20">
          <cell r="E20">
            <v>58544</v>
          </cell>
          <cell r="G20">
            <v>43245</v>
          </cell>
          <cell r="I20">
            <v>0</v>
          </cell>
          <cell r="M20">
            <v>53540</v>
          </cell>
        </row>
        <row r="21">
          <cell r="E21">
            <v>-29909</v>
          </cell>
          <cell r="G21">
            <v>0</v>
          </cell>
          <cell r="I21">
            <v>21160</v>
          </cell>
          <cell r="M21">
            <v>6400</v>
          </cell>
        </row>
        <row r="23">
          <cell r="E23">
            <v>0</v>
          </cell>
          <cell r="G23">
            <v>0</v>
          </cell>
          <cell r="I23">
            <v>204268</v>
          </cell>
          <cell r="M23">
            <v>58660</v>
          </cell>
        </row>
        <row r="24">
          <cell r="E24">
            <v>0</v>
          </cell>
          <cell r="G24">
            <v>0</v>
          </cell>
          <cell r="I24">
            <v>0</v>
          </cell>
          <cell r="M24">
            <v>23356</v>
          </cell>
        </row>
        <row r="25">
          <cell r="E25">
            <v>0</v>
          </cell>
          <cell r="G25">
            <v>0</v>
          </cell>
          <cell r="I25">
            <v>0</v>
          </cell>
          <cell r="M25">
            <v>4176</v>
          </cell>
        </row>
        <row r="26">
          <cell r="E26">
            <v>138341</v>
          </cell>
          <cell r="G26">
            <v>98815</v>
          </cell>
          <cell r="I26">
            <v>0</v>
          </cell>
          <cell r="M26">
            <v>56884</v>
          </cell>
        </row>
        <row r="27">
          <cell r="E27">
            <v>42559</v>
          </cell>
          <cell r="G27">
            <v>30400</v>
          </cell>
          <cell r="I27">
            <v>0</v>
          </cell>
          <cell r="M27">
            <v>8648</v>
          </cell>
        </row>
        <row r="28">
          <cell r="E28">
            <v>0</v>
          </cell>
          <cell r="G28">
            <v>0</v>
          </cell>
          <cell r="I28">
            <v>0</v>
          </cell>
          <cell r="M28">
            <v>5700</v>
          </cell>
        </row>
        <row r="30">
          <cell r="E30">
            <v>967</v>
          </cell>
          <cell r="G30">
            <v>691</v>
          </cell>
          <cell r="I30">
            <v>0</v>
          </cell>
          <cell r="M30">
            <v>1984</v>
          </cell>
        </row>
        <row r="31">
          <cell r="E31">
            <v>-30241</v>
          </cell>
          <cell r="G31">
            <v>223178</v>
          </cell>
          <cell r="I31">
            <v>692293</v>
          </cell>
          <cell r="M31">
            <v>172452</v>
          </cell>
        </row>
        <row r="33">
          <cell r="E33">
            <v>3031</v>
          </cell>
          <cell r="G33">
            <v>2165</v>
          </cell>
          <cell r="I33">
            <v>0</v>
          </cell>
          <cell r="M33">
            <v>11200</v>
          </cell>
        </row>
        <row r="34">
          <cell r="E34">
            <v>78970</v>
          </cell>
          <cell r="G34">
            <v>56407</v>
          </cell>
          <cell r="I34">
            <v>220330</v>
          </cell>
          <cell r="M34">
            <v>117972</v>
          </cell>
        </row>
        <row r="35">
          <cell r="E35">
            <v>15175</v>
          </cell>
          <cell r="G35">
            <v>10839</v>
          </cell>
          <cell r="I35">
            <v>4500</v>
          </cell>
          <cell r="M35">
            <v>23254</v>
          </cell>
        </row>
        <row r="36">
          <cell r="E36">
            <v>2050</v>
          </cell>
          <cell r="G36">
            <v>1465</v>
          </cell>
          <cell r="I36">
            <v>2996</v>
          </cell>
          <cell r="M36">
            <v>4640</v>
          </cell>
        </row>
        <row r="37">
          <cell r="E37">
            <v>513350</v>
          </cell>
          <cell r="G37">
            <v>366678</v>
          </cell>
          <cell r="I37">
            <v>469252</v>
          </cell>
          <cell r="M37">
            <v>951914</v>
          </cell>
        </row>
        <row r="38">
          <cell r="E38">
            <v>100413</v>
          </cell>
          <cell r="G38">
            <v>71723</v>
          </cell>
          <cell r="I38">
            <v>5000</v>
          </cell>
          <cell r="M38">
            <v>32964</v>
          </cell>
        </row>
        <row r="39">
          <cell r="E39">
            <v>72166</v>
          </cell>
          <cell r="G39">
            <v>51547</v>
          </cell>
          <cell r="I39">
            <v>97992</v>
          </cell>
          <cell r="M39">
            <v>75432</v>
          </cell>
        </row>
        <row r="40">
          <cell r="E40">
            <v>0</v>
          </cell>
          <cell r="G40">
            <v>0</v>
          </cell>
          <cell r="I40">
            <v>0</v>
          </cell>
          <cell r="M40">
            <v>0</v>
          </cell>
        </row>
        <row r="41">
          <cell r="E41">
            <v>0</v>
          </cell>
          <cell r="G41">
            <v>0</v>
          </cell>
          <cell r="I41">
            <v>0</v>
          </cell>
          <cell r="M41">
            <v>0</v>
          </cell>
        </row>
        <row r="42">
          <cell r="E42">
            <v>28160</v>
          </cell>
          <cell r="G42">
            <v>22725</v>
          </cell>
          <cell r="I42">
            <v>0</v>
          </cell>
          <cell r="M42">
            <v>0</v>
          </cell>
        </row>
        <row r="44">
          <cell r="E44">
            <v>1488</v>
          </cell>
          <cell r="G44">
            <v>1063</v>
          </cell>
          <cell r="I44">
            <v>0</v>
          </cell>
          <cell r="M44">
            <v>0</v>
          </cell>
        </row>
        <row r="45">
          <cell r="E45">
            <v>0</v>
          </cell>
          <cell r="G45">
            <v>0</v>
          </cell>
          <cell r="I45">
            <v>0</v>
          </cell>
          <cell r="M45">
            <v>3000</v>
          </cell>
        </row>
        <row r="46">
          <cell r="E46">
            <v>107</v>
          </cell>
          <cell r="G46">
            <v>77</v>
          </cell>
          <cell r="I46">
            <v>6200</v>
          </cell>
          <cell r="M46">
            <v>0</v>
          </cell>
        </row>
        <row r="47">
          <cell r="E47">
            <v>61226</v>
          </cell>
          <cell r="G47">
            <v>43733</v>
          </cell>
          <cell r="I47">
            <v>0</v>
          </cell>
          <cell r="M47">
            <v>34396</v>
          </cell>
        </row>
        <row r="48">
          <cell r="E48">
            <v>0</v>
          </cell>
          <cell r="G48">
            <v>0</v>
          </cell>
          <cell r="I48">
            <v>0</v>
          </cell>
          <cell r="M48">
            <v>0</v>
          </cell>
        </row>
        <row r="49">
          <cell r="E49">
            <v>0</v>
          </cell>
          <cell r="G49">
            <v>0</v>
          </cell>
          <cell r="I49">
            <v>0</v>
          </cell>
          <cell r="M49">
            <v>0</v>
          </cell>
        </row>
        <row r="50">
          <cell r="E50">
            <v>15745</v>
          </cell>
          <cell r="G50">
            <v>11246</v>
          </cell>
          <cell r="I50">
            <v>106925</v>
          </cell>
          <cell r="M50">
            <v>0</v>
          </cell>
        </row>
        <row r="58">
          <cell r="E58">
            <v>-1292084</v>
          </cell>
          <cell r="G58">
            <v>-2222917</v>
          </cell>
          <cell r="I58">
            <v>0</v>
          </cell>
          <cell r="M58">
            <v>-8824500</v>
          </cell>
        </row>
        <row r="59">
          <cell r="E59">
            <v>0</v>
          </cell>
          <cell r="G59">
            <v>0</v>
          </cell>
          <cell r="I59">
            <v>0</v>
          </cell>
          <cell r="M59">
            <v>0</v>
          </cell>
        </row>
        <row r="63">
          <cell r="E63">
            <v>0</v>
          </cell>
          <cell r="G63">
            <v>68</v>
          </cell>
          <cell r="I63">
            <v>69</v>
          </cell>
          <cell r="M63">
            <v>81</v>
          </cell>
        </row>
      </sheetData>
      <sheetData sheetId="6"/>
      <sheetData sheetId="7">
        <row r="11">
          <cell r="E11">
            <v>1514335</v>
          </cell>
          <cell r="G11">
            <v>1385171</v>
          </cell>
          <cell r="I11">
            <v>2327597</v>
          </cell>
          <cell r="M11">
            <v>5160858</v>
          </cell>
        </row>
        <row r="13">
          <cell r="E13">
            <v>0</v>
          </cell>
          <cell r="G13">
            <v>0</v>
          </cell>
          <cell r="I13">
            <v>0</v>
          </cell>
          <cell r="M13">
            <v>0</v>
          </cell>
        </row>
        <row r="14">
          <cell r="E14">
            <v>25439</v>
          </cell>
          <cell r="G14">
            <v>25625</v>
          </cell>
          <cell r="I14">
            <v>28000</v>
          </cell>
          <cell r="M14">
            <v>23640</v>
          </cell>
        </row>
        <row r="15">
          <cell r="E15">
            <v>0</v>
          </cell>
          <cell r="G15">
            <v>0</v>
          </cell>
          <cell r="I15">
            <v>0</v>
          </cell>
          <cell r="M15">
            <v>21750</v>
          </cell>
        </row>
        <row r="16">
          <cell r="E16">
            <v>0</v>
          </cell>
          <cell r="G16">
            <v>0</v>
          </cell>
          <cell r="I16">
            <v>0</v>
          </cell>
          <cell r="M16">
            <v>0</v>
          </cell>
        </row>
        <row r="17">
          <cell r="E17">
            <v>0</v>
          </cell>
          <cell r="G17">
            <v>0</v>
          </cell>
          <cell r="I17">
            <v>0</v>
          </cell>
          <cell r="M17">
            <v>3500</v>
          </cell>
        </row>
        <row r="18">
          <cell r="E18">
            <v>0</v>
          </cell>
          <cell r="G18">
            <v>0</v>
          </cell>
          <cell r="I18">
            <v>0</v>
          </cell>
          <cell r="M18">
            <v>3000</v>
          </cell>
        </row>
        <row r="19">
          <cell r="E19">
            <v>0</v>
          </cell>
          <cell r="G19">
            <v>0</v>
          </cell>
          <cell r="I19">
            <v>0</v>
          </cell>
          <cell r="M19">
            <v>30200</v>
          </cell>
        </row>
        <row r="20">
          <cell r="E20">
            <v>0</v>
          </cell>
          <cell r="G20">
            <v>0</v>
          </cell>
          <cell r="I20">
            <v>0</v>
          </cell>
          <cell r="M20">
            <v>17400</v>
          </cell>
        </row>
        <row r="21">
          <cell r="E21">
            <v>77008</v>
          </cell>
          <cell r="G21">
            <v>113225</v>
          </cell>
          <cell r="I21">
            <v>210117</v>
          </cell>
          <cell r="M21">
            <v>12600</v>
          </cell>
        </row>
        <row r="23">
          <cell r="E23">
            <v>0</v>
          </cell>
          <cell r="G23">
            <v>0</v>
          </cell>
          <cell r="I23">
            <v>0</v>
          </cell>
          <cell r="M23">
            <v>50300</v>
          </cell>
        </row>
        <row r="24">
          <cell r="E24">
            <v>0</v>
          </cell>
          <cell r="G24">
            <v>0</v>
          </cell>
          <cell r="I24">
            <v>0</v>
          </cell>
          <cell r="M24">
            <v>14600</v>
          </cell>
        </row>
        <row r="25">
          <cell r="E25">
            <v>0</v>
          </cell>
          <cell r="G25">
            <v>0</v>
          </cell>
          <cell r="I25">
            <v>0</v>
          </cell>
          <cell r="M25">
            <v>2921</v>
          </cell>
        </row>
        <row r="26">
          <cell r="E26">
            <v>0</v>
          </cell>
          <cell r="G26">
            <v>0</v>
          </cell>
          <cell r="I26">
            <v>0</v>
          </cell>
          <cell r="M26">
            <v>8119</v>
          </cell>
        </row>
        <row r="27">
          <cell r="E27">
            <v>0</v>
          </cell>
          <cell r="G27">
            <v>0</v>
          </cell>
          <cell r="I27">
            <v>0</v>
          </cell>
          <cell r="M27">
            <v>1200</v>
          </cell>
        </row>
        <row r="28">
          <cell r="E28">
            <v>0</v>
          </cell>
          <cell r="G28">
            <v>0</v>
          </cell>
          <cell r="I28">
            <v>0</v>
          </cell>
          <cell r="M28">
            <v>1000</v>
          </cell>
        </row>
        <row r="30">
          <cell r="E30">
            <v>652</v>
          </cell>
          <cell r="G30">
            <v>0</v>
          </cell>
          <cell r="I30">
            <v>45333</v>
          </cell>
          <cell r="M30">
            <v>0</v>
          </cell>
        </row>
        <row r="31">
          <cell r="E31">
            <v>148816</v>
          </cell>
          <cell r="G31">
            <v>125605</v>
          </cell>
          <cell r="I31">
            <v>302435</v>
          </cell>
          <cell r="M31">
            <v>58600</v>
          </cell>
        </row>
        <row r="33">
          <cell r="E33">
            <v>0</v>
          </cell>
          <cell r="G33">
            <v>0</v>
          </cell>
          <cell r="I33">
            <v>0</v>
          </cell>
          <cell r="M33">
            <v>1200</v>
          </cell>
        </row>
        <row r="34">
          <cell r="E34">
            <v>47569</v>
          </cell>
          <cell r="G34">
            <v>10000</v>
          </cell>
          <cell r="I34">
            <v>5200</v>
          </cell>
          <cell r="M34">
            <v>13200</v>
          </cell>
        </row>
        <row r="35">
          <cell r="E35">
            <v>0</v>
          </cell>
          <cell r="G35">
            <v>0</v>
          </cell>
          <cell r="I35">
            <v>0</v>
          </cell>
          <cell r="M35">
            <v>1500</v>
          </cell>
        </row>
        <row r="36">
          <cell r="E36">
            <v>0</v>
          </cell>
          <cell r="G36">
            <v>0</v>
          </cell>
          <cell r="I36">
            <v>0</v>
          </cell>
          <cell r="M36">
            <v>9600</v>
          </cell>
        </row>
        <row r="37">
          <cell r="E37">
            <v>147070</v>
          </cell>
          <cell r="G37">
            <v>123000</v>
          </cell>
          <cell r="I37">
            <v>208626</v>
          </cell>
          <cell r="M37">
            <v>164400</v>
          </cell>
        </row>
        <row r="38">
          <cell r="E38">
            <v>15556</v>
          </cell>
          <cell r="G38">
            <v>15134</v>
          </cell>
          <cell r="I38">
            <v>9667</v>
          </cell>
          <cell r="M38">
            <v>46000</v>
          </cell>
        </row>
        <row r="39">
          <cell r="E39">
            <v>21646</v>
          </cell>
          <cell r="G39">
            <v>32750</v>
          </cell>
          <cell r="I39">
            <v>52400</v>
          </cell>
          <cell r="M39">
            <v>10560</v>
          </cell>
        </row>
        <row r="40">
          <cell r="E40">
            <v>0</v>
          </cell>
          <cell r="G40">
            <v>0</v>
          </cell>
          <cell r="I40">
            <v>0</v>
          </cell>
          <cell r="M40">
            <v>0</v>
          </cell>
        </row>
        <row r="41">
          <cell r="E41">
            <v>0</v>
          </cell>
          <cell r="G41">
            <v>0</v>
          </cell>
          <cell r="I41">
            <v>0</v>
          </cell>
          <cell r="M41">
            <v>0</v>
          </cell>
        </row>
        <row r="42">
          <cell r="E42">
            <v>0</v>
          </cell>
          <cell r="G42">
            <v>0</v>
          </cell>
          <cell r="I42">
            <v>0</v>
          </cell>
          <cell r="M42">
            <v>0</v>
          </cell>
        </row>
        <row r="44">
          <cell r="E44">
            <v>0</v>
          </cell>
          <cell r="G44">
            <v>0</v>
          </cell>
          <cell r="I44">
            <v>0</v>
          </cell>
          <cell r="M44">
            <v>0</v>
          </cell>
        </row>
        <row r="45">
          <cell r="E45">
            <v>0</v>
          </cell>
          <cell r="G45">
            <v>0</v>
          </cell>
          <cell r="I45">
            <v>0</v>
          </cell>
          <cell r="M45">
            <v>0</v>
          </cell>
        </row>
        <row r="46">
          <cell r="E46">
            <v>0</v>
          </cell>
          <cell r="G46">
            <v>0</v>
          </cell>
          <cell r="I46">
            <v>0</v>
          </cell>
          <cell r="M46">
            <v>1200</v>
          </cell>
        </row>
        <row r="47">
          <cell r="E47">
            <v>12403</v>
          </cell>
          <cell r="G47">
            <v>471083</v>
          </cell>
          <cell r="I47">
            <v>10000</v>
          </cell>
          <cell r="M47">
            <v>86300</v>
          </cell>
        </row>
        <row r="48">
          <cell r="E48">
            <v>0</v>
          </cell>
          <cell r="G48">
            <v>0</v>
          </cell>
          <cell r="I48">
            <v>0</v>
          </cell>
          <cell r="M48">
            <v>0</v>
          </cell>
        </row>
        <row r="49">
          <cell r="E49">
            <v>0</v>
          </cell>
          <cell r="G49">
            <v>0</v>
          </cell>
          <cell r="I49">
            <v>0</v>
          </cell>
          <cell r="M49">
            <v>0</v>
          </cell>
        </row>
        <row r="50">
          <cell r="E50">
            <v>0</v>
          </cell>
          <cell r="G50">
            <v>0</v>
          </cell>
          <cell r="I50">
            <v>0</v>
          </cell>
          <cell r="M50">
            <v>423711</v>
          </cell>
        </row>
        <row r="58">
          <cell r="E58">
            <v>0</v>
          </cell>
          <cell r="G58">
            <v>-4103838</v>
          </cell>
          <cell r="I58">
            <v>0</v>
          </cell>
          <cell r="M58">
            <v>-5640762</v>
          </cell>
        </row>
        <row r="59">
          <cell r="E59">
            <v>0</v>
          </cell>
          <cell r="G59">
            <v>0</v>
          </cell>
          <cell r="I59">
            <v>0</v>
          </cell>
          <cell r="M59">
            <v>0</v>
          </cell>
        </row>
        <row r="63">
          <cell r="E63">
            <v>0</v>
          </cell>
          <cell r="G63">
            <v>42</v>
          </cell>
          <cell r="I63">
            <v>39</v>
          </cell>
          <cell r="M63">
            <v>60</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B2">
            <v>0.21235741444866921</v>
          </cell>
          <cell r="E2">
            <v>0.22660098522167488</v>
          </cell>
          <cell r="H2">
            <v>7.1667424247743361E-2</v>
          </cell>
        </row>
        <row r="3">
          <cell r="B3">
            <v>7.927756653992396E-2</v>
          </cell>
          <cell r="E3">
            <v>7.8817733990147784E-2</v>
          </cell>
          <cell r="H3">
            <v>7.4328472298327994E-2</v>
          </cell>
        </row>
        <row r="4">
          <cell r="B4">
            <v>3.4727503168567805E-2</v>
          </cell>
          <cell r="E4">
            <v>3.9408866995073892E-2</v>
          </cell>
          <cell r="H4">
            <v>3.6171112990902615E-2</v>
          </cell>
        </row>
        <row r="5">
          <cell r="B5">
            <v>3.4220532319391636E-2</v>
          </cell>
          <cell r="E5">
            <v>2.9556650246305417E-2</v>
          </cell>
          <cell r="H5">
            <v>6.5998845464755387E-2</v>
          </cell>
        </row>
        <row r="6">
          <cell r="B6">
            <v>0.24809885931558937</v>
          </cell>
          <cell r="E6">
            <v>0.30541871921182268</v>
          </cell>
          <cell r="H6">
            <v>0.35872176280619833</v>
          </cell>
        </row>
        <row r="7">
          <cell r="B7">
            <v>1.9011406844106463E-2</v>
          </cell>
          <cell r="E7">
            <v>7.3891625615763554E-2</v>
          </cell>
          <cell r="H7">
            <v>3.5172876541962411E-2</v>
          </cell>
        </row>
        <row r="8">
          <cell r="B8">
            <v>0.26140684410646386</v>
          </cell>
          <cell r="E8">
            <v>0.24630541871921183</v>
          </cell>
          <cell r="H8">
            <v>0.24234433540500466</v>
          </cell>
        </row>
        <row r="10">
          <cell r="B10">
            <v>0.1108998732572877</v>
          </cell>
          <cell r="H10">
            <v>0.11559517024510521</v>
          </cell>
        </row>
        <row r="11">
          <cell r="B11">
            <v>0</v>
          </cell>
          <cell r="H11">
            <v>0</v>
          </cell>
        </row>
        <row r="12">
          <cell r="B12">
            <v>0</v>
          </cell>
        </row>
        <row r="13">
          <cell r="B13">
            <v>0</v>
          </cell>
          <cell r="H1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5"/>
  <sheetViews>
    <sheetView tabSelected="1" zoomScale="75" workbookViewId="0">
      <selection activeCell="A2" sqref="A2"/>
    </sheetView>
  </sheetViews>
  <sheetFormatPr defaultColWidth="9.109375" defaultRowHeight="13.2" outlineLevelRow="1" x14ac:dyDescent="0.25"/>
  <cols>
    <col min="1" max="1" width="3.6640625" style="1" customWidth="1"/>
    <col min="2" max="2" width="2.5546875" style="1" customWidth="1"/>
    <col min="3" max="3" width="65" style="1" customWidth="1"/>
    <col min="4" max="4" width="2.5546875" style="1" hidden="1" customWidth="1"/>
    <col min="5" max="5" width="16.109375" style="1" hidden="1" customWidth="1"/>
    <col min="6" max="6" width="2.5546875" style="1" hidden="1" customWidth="1"/>
    <col min="7" max="7" width="16.109375" style="2" hidden="1" customWidth="1"/>
    <col min="8" max="8" width="2.5546875" style="1" customWidth="1"/>
    <col min="9" max="9" width="16.109375" style="2" customWidth="1"/>
    <col min="10" max="10" width="2.5546875" style="1" customWidth="1"/>
    <col min="11" max="11" width="18.5546875" style="2" customWidth="1"/>
    <col min="12" max="12" width="2.5546875" style="1" customWidth="1"/>
    <col min="13" max="13" width="18.5546875" style="2" customWidth="1"/>
    <col min="14" max="14" width="2.5546875" style="1" customWidth="1"/>
    <col min="15" max="15" width="20.88671875" style="1" bestFit="1" customWidth="1"/>
    <col min="16" max="16" width="10.88671875" style="4" hidden="1" customWidth="1"/>
    <col min="17" max="17" width="25" style="5" customWidth="1"/>
    <col min="18" max="18" width="9.6640625" style="1" bestFit="1" customWidth="1"/>
    <col min="19" max="16384" width="9.109375" style="1"/>
  </cols>
  <sheetData>
    <row r="1" spans="2:17" ht="9.75" customHeight="1" thickBot="1" x14ac:dyDescent="0.3">
      <c r="O1" s="3"/>
    </row>
    <row r="2" spans="2:17" ht="9" customHeight="1" thickBot="1" x14ac:dyDescent="0.3">
      <c r="B2" s="6"/>
      <c r="C2" s="7"/>
      <c r="D2" s="7"/>
      <c r="E2" s="7"/>
      <c r="F2" s="7"/>
      <c r="G2" s="8"/>
      <c r="H2" s="7"/>
      <c r="I2" s="8"/>
      <c r="J2" s="7"/>
      <c r="K2" s="8"/>
      <c r="L2" s="7"/>
      <c r="M2" s="8"/>
      <c r="N2" s="7"/>
      <c r="O2" s="9"/>
    </row>
    <row r="3" spans="2:17" customFormat="1" ht="28.5" customHeight="1" thickBot="1" x14ac:dyDescent="0.3">
      <c r="B3" s="188" t="s">
        <v>0</v>
      </c>
      <c r="C3" s="189"/>
      <c r="D3" s="189"/>
      <c r="E3" s="189"/>
      <c r="F3" s="189"/>
      <c r="G3" s="189"/>
      <c r="H3" s="189"/>
      <c r="I3" s="189"/>
      <c r="J3" s="189"/>
      <c r="K3" s="189"/>
      <c r="L3" s="189"/>
      <c r="M3" s="189"/>
      <c r="N3" s="189"/>
      <c r="O3" s="190"/>
      <c r="P3" s="4"/>
      <c r="Q3" s="5"/>
    </row>
    <row r="4" spans="2:17" customFormat="1" ht="9" customHeight="1" thickBot="1" x14ac:dyDescent="0.3">
      <c r="B4" s="10"/>
      <c r="C4" s="11"/>
      <c r="D4" s="11"/>
      <c r="E4" s="11"/>
      <c r="F4" s="11"/>
      <c r="G4" s="12"/>
      <c r="H4" s="11"/>
      <c r="I4" s="12"/>
      <c r="J4" s="11"/>
      <c r="K4" s="12"/>
      <c r="L4" s="11"/>
      <c r="M4" s="12"/>
      <c r="N4" s="11"/>
      <c r="O4" s="13"/>
      <c r="P4" s="4"/>
      <c r="Q4" s="5"/>
    </row>
    <row r="5" spans="2:17" customFormat="1" ht="15" customHeight="1" thickBot="1" x14ac:dyDescent="0.3">
      <c r="B5" s="14"/>
      <c r="C5" s="14"/>
      <c r="D5" s="14"/>
      <c r="E5" s="14"/>
      <c r="F5" s="14"/>
      <c r="G5" s="15"/>
      <c r="H5" s="14"/>
      <c r="I5" s="15"/>
      <c r="J5" s="14"/>
      <c r="K5" s="15"/>
      <c r="L5" s="14"/>
      <c r="M5" s="15"/>
      <c r="N5" s="14"/>
      <c r="O5" s="14"/>
      <c r="P5" s="4"/>
      <c r="Q5" s="5"/>
    </row>
    <row r="6" spans="2:17" x14ac:dyDescent="0.25">
      <c r="B6" s="16"/>
      <c r="C6" s="17"/>
      <c r="D6" s="16"/>
      <c r="E6" s="18">
        <v>2001</v>
      </c>
      <c r="F6" s="8"/>
      <c r="G6" s="18">
        <v>2001</v>
      </c>
      <c r="H6" s="19"/>
      <c r="I6" s="18">
        <v>2001</v>
      </c>
      <c r="J6" s="20"/>
      <c r="K6" s="18">
        <v>2001</v>
      </c>
      <c r="L6" s="8"/>
      <c r="M6" s="18">
        <v>2002</v>
      </c>
      <c r="N6" s="20"/>
      <c r="O6" s="21" t="s">
        <v>1</v>
      </c>
    </row>
    <row r="7" spans="2:17" ht="13.8" thickBot="1" x14ac:dyDescent="0.3">
      <c r="B7" s="22"/>
      <c r="C7" s="23"/>
      <c r="D7" s="22"/>
      <c r="E7" s="24" t="s">
        <v>2</v>
      </c>
      <c r="F7" s="25"/>
      <c r="G7" s="24" t="s">
        <v>3</v>
      </c>
      <c r="H7" s="26"/>
      <c r="I7" s="24" t="s">
        <v>4</v>
      </c>
      <c r="J7" s="27"/>
      <c r="K7" s="24" t="s">
        <v>3</v>
      </c>
      <c r="L7" s="25"/>
      <c r="M7" s="24" t="s">
        <v>4</v>
      </c>
      <c r="N7" s="27"/>
      <c r="O7" s="28" t="s">
        <v>5</v>
      </c>
    </row>
    <row r="8" spans="2:17" ht="16.5" customHeight="1" thickBot="1" x14ac:dyDescent="0.3">
      <c r="B8" s="29"/>
      <c r="C8" s="30"/>
      <c r="D8" s="31"/>
      <c r="E8" s="32" t="s">
        <v>6</v>
      </c>
      <c r="F8" s="33"/>
      <c r="G8" s="32" t="s">
        <v>7</v>
      </c>
      <c r="H8" s="34"/>
      <c r="I8" s="35"/>
      <c r="J8" s="36"/>
      <c r="K8" s="37"/>
      <c r="L8" s="33"/>
      <c r="M8" s="38"/>
      <c r="N8" s="36"/>
      <c r="O8" s="39"/>
    </row>
    <row r="9" spans="2:17" s="40" customFormat="1" ht="15.75" customHeight="1" thickBot="1" x14ac:dyDescent="0.3">
      <c r="B9" s="41" t="s">
        <v>8</v>
      </c>
      <c r="C9" s="42"/>
      <c r="D9" s="43"/>
      <c r="E9" s="44"/>
      <c r="F9" s="45"/>
      <c r="G9" s="35"/>
      <c r="H9" s="46"/>
      <c r="I9" s="35"/>
      <c r="J9" s="47"/>
      <c r="K9" s="48"/>
      <c r="L9" s="45"/>
      <c r="M9" s="44"/>
      <c r="N9" s="47"/>
      <c r="O9" s="49"/>
      <c r="P9" s="4"/>
      <c r="Q9" s="5"/>
    </row>
    <row r="10" spans="2:17" ht="13.8" x14ac:dyDescent="0.25">
      <c r="B10" s="50"/>
      <c r="C10" s="51"/>
      <c r="D10" s="50"/>
      <c r="E10" s="52"/>
      <c r="F10" s="53"/>
      <c r="G10" s="54"/>
      <c r="H10" s="55"/>
      <c r="I10" s="54"/>
      <c r="J10" s="47"/>
      <c r="K10" s="54"/>
      <c r="L10" s="53"/>
      <c r="M10" s="56"/>
      <c r="N10" s="57"/>
      <c r="O10" s="58"/>
    </row>
    <row r="11" spans="2:17" s="59" customFormat="1" ht="13.8" x14ac:dyDescent="0.25">
      <c r="B11" s="60"/>
      <c r="C11" s="61" t="s">
        <v>9</v>
      </c>
      <c r="D11" s="60"/>
      <c r="E11" s="62">
        <f>[1]CORP!E11+[1]EES!E11+[1]ENA!E11+[1]ENW!E11</f>
        <v>7358554</v>
      </c>
      <c r="F11" s="63"/>
      <c r="G11" s="62">
        <f>[1]CORP!G11+[1]EES!G11+[1]ENA!G11+[1]ENW!G11</f>
        <v>4827449</v>
      </c>
      <c r="H11" s="64"/>
      <c r="I11" s="62">
        <f>[1]CORP!I11+[1]EES!I11+[1]ENA!I11+[1]ENW!I11</f>
        <v>10099057</v>
      </c>
      <c r="J11" s="65"/>
      <c r="K11" s="63">
        <f>+E11+G11</f>
        <v>12186003</v>
      </c>
      <c r="L11" s="63"/>
      <c r="M11" s="62">
        <f>[1]CORP!M11+[1]EES!M11+[1]ENA!M11+[1]ENW!M11</f>
        <v>14464774</v>
      </c>
      <c r="N11" s="61"/>
      <c r="O11" s="66">
        <f>(-M11+K11)</f>
        <v>-2278771</v>
      </c>
      <c r="P11" s="4">
        <f>IF(O11=0,0,O11/K11)</f>
        <v>-0.18699905128859726</v>
      </c>
      <c r="Q11" s="5" t="s">
        <v>10</v>
      </c>
    </row>
    <row r="12" spans="2:17" s="59" customFormat="1" ht="13.8" collapsed="1" x14ac:dyDescent="0.25">
      <c r="B12" s="60"/>
      <c r="C12" s="61" t="s">
        <v>11</v>
      </c>
      <c r="D12" s="60"/>
      <c r="E12" s="63">
        <f>SUM(E13:E21)</f>
        <v>355333</v>
      </c>
      <c r="F12" s="63"/>
      <c r="G12" s="63">
        <f>SUM(G13:G21)</f>
        <v>259517</v>
      </c>
      <c r="H12" s="67"/>
      <c r="I12" s="68">
        <f>SUM(I13:I21)</f>
        <v>602849</v>
      </c>
      <c r="J12" s="65"/>
      <c r="K12" s="63">
        <f>+E12+G12</f>
        <v>614850</v>
      </c>
      <c r="L12" s="63"/>
      <c r="M12" s="63">
        <f>SUM(M13:M21)</f>
        <v>339170</v>
      </c>
      <c r="N12" s="61"/>
      <c r="O12" s="66">
        <f t="shared" ref="O12:O50" si="0">(-M12+K12)</f>
        <v>275680</v>
      </c>
      <c r="P12" s="4">
        <f t="shared" ref="P12:P63" si="1">IF(O12=0,0,O12/K12)</f>
        <v>0.44836952102138733</v>
      </c>
      <c r="Q12" s="5"/>
    </row>
    <row r="13" spans="2:17" s="2" customFormat="1" ht="13.8" hidden="1" outlineLevel="1" x14ac:dyDescent="0.25">
      <c r="B13" s="50"/>
      <c r="C13" s="57" t="s">
        <v>12</v>
      </c>
      <c r="D13" s="69"/>
      <c r="E13" s="70">
        <f>[1]CORP!E13+[1]EES!E13+[1]ENA!E13+[1]ENW!E13</f>
        <v>0</v>
      </c>
      <c r="F13" s="52"/>
      <c r="G13" s="70">
        <f>[1]CORP!G13+[1]EES!G13+[1]ENA!G13+[1]ENW!G13</f>
        <v>0</v>
      </c>
      <c r="H13" s="71"/>
      <c r="I13" s="70">
        <f>[1]CORP!I13+[1]EES!I13+[1]ENA!I13+[1]ENW!I13</f>
        <v>40000</v>
      </c>
      <c r="J13" s="72"/>
      <c r="K13" s="52">
        <f>+E13+G13</f>
        <v>0</v>
      </c>
      <c r="L13" s="52"/>
      <c r="M13" s="70">
        <f>[1]CORP!M13+[1]EES!M13+[1]ENA!M13+[1]ENW!M13</f>
        <v>8000</v>
      </c>
      <c r="N13" s="57"/>
      <c r="O13" s="73">
        <f t="shared" si="0"/>
        <v>-8000</v>
      </c>
      <c r="P13" s="4" t="e">
        <f t="shared" si="1"/>
        <v>#DIV/0!</v>
      </c>
      <c r="Q13" s="5"/>
    </row>
    <row r="14" spans="2:17" s="2" customFormat="1" ht="13.8" hidden="1" outlineLevel="1" x14ac:dyDescent="0.25">
      <c r="B14" s="50"/>
      <c r="C14" s="57" t="s">
        <v>13</v>
      </c>
      <c r="D14" s="69"/>
      <c r="E14" s="70">
        <f>[1]CORP!E14+[1]EES!E14+[1]ENA!E14+[1]ENW!E14</f>
        <v>61127</v>
      </c>
      <c r="F14" s="53"/>
      <c r="G14" s="70">
        <f>[1]CORP!G14+[1]EES!G14+[1]ENA!G14+[1]ENW!G14</f>
        <v>51117</v>
      </c>
      <c r="H14" s="71"/>
      <c r="I14" s="70">
        <f>[1]CORP!I14+[1]EES!I14+[1]ENA!I14+[1]ENW!I14</f>
        <v>78100</v>
      </c>
      <c r="J14" s="57"/>
      <c r="K14" s="52">
        <f t="shared" ref="K14:K21" si="2">+E14+G14</f>
        <v>112244</v>
      </c>
      <c r="L14" s="53"/>
      <c r="M14" s="70">
        <f>[1]CORP!M14+[1]EES!M14+[1]ENA!M14+[1]ENW!M14</f>
        <v>61816</v>
      </c>
      <c r="N14" s="57"/>
      <c r="O14" s="73">
        <f t="shared" si="0"/>
        <v>50428</v>
      </c>
      <c r="P14" s="4">
        <f t="shared" si="1"/>
        <v>0.44927123053348061</v>
      </c>
      <c r="Q14" s="5"/>
    </row>
    <row r="15" spans="2:17" s="2" customFormat="1" ht="13.8" hidden="1" outlineLevel="1" x14ac:dyDescent="0.25">
      <c r="B15" s="50"/>
      <c r="C15" s="57" t="s">
        <v>14</v>
      </c>
      <c r="D15" s="69"/>
      <c r="E15" s="70">
        <f>[1]CORP!E15+[1]EES!E15+[1]ENA!E15+[1]ENW!E15</f>
        <v>0</v>
      </c>
      <c r="F15" s="53"/>
      <c r="G15" s="70">
        <f>[1]CORP!G15+[1]EES!G15+[1]ENA!G15+[1]ENW!G15</f>
        <v>0</v>
      </c>
      <c r="H15" s="71"/>
      <c r="I15" s="70">
        <f>[1]CORP!I15+[1]EES!I15+[1]ENA!I15+[1]ENW!I15</f>
        <v>0</v>
      </c>
      <c r="J15" s="57"/>
      <c r="K15" s="52">
        <f t="shared" si="2"/>
        <v>0</v>
      </c>
      <c r="L15" s="53"/>
      <c r="M15" s="70">
        <f>[1]CORP!M15+[1]EES!M15+[1]ENA!M15+[1]ENW!M15</f>
        <v>57546</v>
      </c>
      <c r="N15" s="57"/>
      <c r="O15" s="73">
        <f t="shared" si="0"/>
        <v>-57546</v>
      </c>
      <c r="P15" s="4" t="e">
        <f t="shared" si="1"/>
        <v>#DIV/0!</v>
      </c>
      <c r="Q15" s="5"/>
    </row>
    <row r="16" spans="2:17" s="2" customFormat="1" ht="13.8" hidden="1" outlineLevel="1" x14ac:dyDescent="0.25">
      <c r="B16" s="50"/>
      <c r="C16" s="57" t="s">
        <v>15</v>
      </c>
      <c r="D16" s="69"/>
      <c r="E16" s="70">
        <f>[1]CORP!E16+[1]EES!E16+[1]ENA!E16+[1]ENW!E16</f>
        <v>1725</v>
      </c>
      <c r="F16" s="53"/>
      <c r="G16" s="70">
        <f>[1]CORP!G16+[1]EES!G16+[1]ENA!G16+[1]ENW!G16</f>
        <v>1232</v>
      </c>
      <c r="H16" s="71"/>
      <c r="I16" s="70">
        <f>[1]CORP!I16+[1]EES!I16+[1]ENA!I16+[1]ENW!I16</f>
        <v>0</v>
      </c>
      <c r="J16" s="57"/>
      <c r="K16" s="52">
        <f t="shared" si="2"/>
        <v>2957</v>
      </c>
      <c r="L16" s="53"/>
      <c r="M16" s="70">
        <f>[1]CORP!M16+[1]EES!M16+[1]ENA!M16+[1]ENW!M16</f>
        <v>0</v>
      </c>
      <c r="N16" s="57"/>
      <c r="O16" s="73">
        <f t="shared" si="0"/>
        <v>2957</v>
      </c>
      <c r="P16" s="4">
        <f t="shared" si="1"/>
        <v>1</v>
      </c>
      <c r="Q16" s="5"/>
    </row>
    <row r="17" spans="2:17" s="2" customFormat="1" ht="13.8" hidden="1" outlineLevel="1" x14ac:dyDescent="0.25">
      <c r="B17" s="50"/>
      <c r="C17" s="57" t="s">
        <v>16</v>
      </c>
      <c r="D17" s="69"/>
      <c r="E17" s="70">
        <f>[1]CORP!E17+[1]EES!E17+[1]ENA!E17+[1]ENW!E17</f>
        <v>7487</v>
      </c>
      <c r="F17" s="52"/>
      <c r="G17" s="70">
        <f>[1]CORP!G17+[1]EES!G17+[1]ENA!G17+[1]ENW!G17</f>
        <v>5348</v>
      </c>
      <c r="H17" s="71"/>
      <c r="I17" s="70">
        <f>[1]CORP!I17+[1]EES!I17+[1]ENA!I17+[1]ENW!I17</f>
        <v>37000</v>
      </c>
      <c r="J17" s="72"/>
      <c r="K17" s="52">
        <f t="shared" si="2"/>
        <v>12835</v>
      </c>
      <c r="L17" s="52"/>
      <c r="M17" s="70">
        <f>[1]CORP!M17+[1]EES!M17+[1]ENA!M17+[1]ENW!M17</f>
        <v>12560</v>
      </c>
      <c r="N17" s="57"/>
      <c r="O17" s="73">
        <f t="shared" si="0"/>
        <v>275</v>
      </c>
      <c r="P17" s="4">
        <f t="shared" si="1"/>
        <v>2.1425788858589794E-2</v>
      </c>
      <c r="Q17" s="5"/>
    </row>
    <row r="18" spans="2:17" s="2" customFormat="1" ht="13.8" hidden="1" outlineLevel="1" x14ac:dyDescent="0.25">
      <c r="B18" s="50"/>
      <c r="C18" s="57" t="s">
        <v>17</v>
      </c>
      <c r="D18" s="69"/>
      <c r="E18" s="70">
        <f>[1]CORP!E18+[1]EES!E18+[1]ENA!E18+[1]ENW!E18</f>
        <v>0</v>
      </c>
      <c r="F18" s="52"/>
      <c r="G18" s="70">
        <f>[1]CORP!G18+[1]EES!G18+[1]ENA!G18+[1]ENW!G18</f>
        <v>0</v>
      </c>
      <c r="H18" s="71"/>
      <c r="I18" s="70">
        <f>[1]CORP!I18+[1]EES!I18+[1]ENA!I18+[1]ENW!I18</f>
        <v>0</v>
      </c>
      <c r="J18" s="72"/>
      <c r="K18" s="52">
        <f t="shared" si="2"/>
        <v>0</v>
      </c>
      <c r="L18" s="52"/>
      <c r="M18" s="70">
        <f>[1]CORP!M18+[1]EES!M18+[1]ENA!M18+[1]ENW!M18</f>
        <v>25908</v>
      </c>
      <c r="N18" s="57"/>
      <c r="O18" s="73">
        <f t="shared" si="0"/>
        <v>-25908</v>
      </c>
      <c r="P18" s="4" t="e">
        <f t="shared" si="1"/>
        <v>#DIV/0!</v>
      </c>
      <c r="Q18" s="5"/>
    </row>
    <row r="19" spans="2:17" s="2" customFormat="1" ht="13.8" hidden="1" outlineLevel="1" x14ac:dyDescent="0.25">
      <c r="B19" s="50"/>
      <c r="C19" s="57" t="s">
        <v>18</v>
      </c>
      <c r="D19" s="69"/>
      <c r="E19" s="70">
        <f>[1]CORP!E19+[1]EES!E19+[1]ENA!E19+[1]ENW!E19</f>
        <v>18660</v>
      </c>
      <c r="F19" s="52"/>
      <c r="G19" s="70">
        <f>[1]CORP!G19+[1]EES!G19+[1]ENA!G19+[1]ENW!G19</f>
        <v>12100</v>
      </c>
      <c r="H19" s="71"/>
      <c r="I19" s="70">
        <f>[1]CORP!I19+[1]EES!I19+[1]ENA!I19+[1]ENW!I19</f>
        <v>192664</v>
      </c>
      <c r="J19" s="72"/>
      <c r="K19" s="52">
        <f t="shared" si="2"/>
        <v>30760</v>
      </c>
      <c r="L19" s="52"/>
      <c r="M19" s="70">
        <f>[1]CORP!M19+[1]EES!M19+[1]ENA!M19+[1]ENW!M19</f>
        <v>75200</v>
      </c>
      <c r="N19" s="57"/>
      <c r="O19" s="73">
        <f t="shared" si="0"/>
        <v>-44440</v>
      </c>
      <c r="P19" s="4">
        <f t="shared" si="1"/>
        <v>-1.4447334200260078</v>
      </c>
      <c r="Q19" s="5"/>
    </row>
    <row r="20" spans="2:17" s="2" customFormat="1" ht="13.8" hidden="1" outlineLevel="1" x14ac:dyDescent="0.25">
      <c r="B20" s="50"/>
      <c r="C20" s="57" t="s">
        <v>19</v>
      </c>
      <c r="D20" s="69"/>
      <c r="E20" s="70">
        <f>[1]CORP!E20+[1]EES!E20+[1]ENA!E20+[1]ENW!E20</f>
        <v>58544</v>
      </c>
      <c r="F20" s="52"/>
      <c r="G20" s="70">
        <f>[1]CORP!G20+[1]EES!G20+[1]ENA!G20+[1]ENW!G20</f>
        <v>43245</v>
      </c>
      <c r="H20" s="71"/>
      <c r="I20" s="70">
        <f>[1]CORP!I20+[1]EES!I20+[1]ENA!I20+[1]ENW!I20</f>
        <v>0</v>
      </c>
      <c r="J20" s="72"/>
      <c r="K20" s="52">
        <f t="shared" si="2"/>
        <v>101789</v>
      </c>
      <c r="L20" s="52"/>
      <c r="M20" s="70">
        <f>[1]CORP!M20+[1]EES!M20+[1]ENA!M20+[1]ENW!M20</f>
        <v>77940</v>
      </c>
      <c r="N20" s="57"/>
      <c r="O20" s="73">
        <f t="shared" si="0"/>
        <v>23849</v>
      </c>
      <c r="P20" s="4">
        <f t="shared" si="1"/>
        <v>0.23429840159545726</v>
      </c>
      <c r="Q20" s="5"/>
    </row>
    <row r="21" spans="2:17" s="2" customFormat="1" ht="13.8" hidden="1" outlineLevel="1" x14ac:dyDescent="0.25">
      <c r="B21" s="50"/>
      <c r="C21" s="57" t="s">
        <v>20</v>
      </c>
      <c r="D21" s="69"/>
      <c r="E21" s="70">
        <f>[1]CORP!E21+[1]EES!E21+[1]ENA!E21+[1]ENW!E21</f>
        <v>207790</v>
      </c>
      <c r="F21" s="52"/>
      <c r="G21" s="70">
        <f>[1]CORP!G21+[1]EES!G21+[1]ENA!G21+[1]ENW!G21</f>
        <v>146475</v>
      </c>
      <c r="H21" s="71"/>
      <c r="I21" s="70">
        <f>[1]CORP!I21+[1]EES!I21+[1]ENA!I21+[1]ENW!I21</f>
        <v>255085</v>
      </c>
      <c r="J21" s="72"/>
      <c r="K21" s="52">
        <f t="shared" si="2"/>
        <v>354265</v>
      </c>
      <c r="L21" s="52"/>
      <c r="M21" s="70">
        <f>[1]CORP!M21+[1]EES!M21+[1]ENA!M21+[1]ENW!M21</f>
        <v>20200</v>
      </c>
      <c r="N21" s="57"/>
      <c r="O21" s="73">
        <f t="shared" si="0"/>
        <v>334065</v>
      </c>
      <c r="P21" s="4">
        <f t="shared" si="1"/>
        <v>0.94298053716850383</v>
      </c>
      <c r="Q21" s="5"/>
    </row>
    <row r="22" spans="2:17" s="59" customFormat="1" ht="13.8" collapsed="1" x14ac:dyDescent="0.25">
      <c r="B22" s="60"/>
      <c r="C22" s="61" t="s">
        <v>21</v>
      </c>
      <c r="D22" s="60"/>
      <c r="E22" s="63">
        <f>SUM(E23:E28)</f>
        <v>198772</v>
      </c>
      <c r="F22" s="63"/>
      <c r="G22" s="63">
        <f>SUM(G23:G28)</f>
        <v>141173</v>
      </c>
      <c r="H22" s="67"/>
      <c r="I22" s="68">
        <f>SUM(I23:I28)</f>
        <v>255018</v>
      </c>
      <c r="J22" s="61"/>
      <c r="K22" s="63">
        <f>+E22+G22</f>
        <v>339945</v>
      </c>
      <c r="L22" s="74"/>
      <c r="M22" s="63">
        <f>SUM(M23:M28)</f>
        <v>319564</v>
      </c>
      <c r="N22" s="61"/>
      <c r="O22" s="66">
        <f t="shared" si="0"/>
        <v>20381</v>
      </c>
      <c r="P22" s="4">
        <f t="shared" si="1"/>
        <v>5.9953816058480047E-2</v>
      </c>
      <c r="Q22" s="5"/>
    </row>
    <row r="23" spans="2:17" s="2" customFormat="1" ht="13.8" hidden="1" outlineLevel="1" x14ac:dyDescent="0.25">
      <c r="B23" s="50"/>
      <c r="C23" s="57" t="s">
        <v>22</v>
      </c>
      <c r="D23" s="69"/>
      <c r="E23" s="70">
        <f>[1]CORP!E23+[1]EES!E23+[1]ENA!E23+[1]ENW!E23</f>
        <v>0</v>
      </c>
      <c r="F23" s="52"/>
      <c r="G23" s="70">
        <f>[1]CORP!G23+[1]EES!G23+[1]ENA!G23+[1]ENW!G23</f>
        <v>0</v>
      </c>
      <c r="H23" s="71"/>
      <c r="I23" s="70">
        <f>[1]CORP!I23+[1]EES!I23+[1]ENA!I23+[1]ENW!I23</f>
        <v>204268</v>
      </c>
      <c r="J23" s="72"/>
      <c r="K23" s="52">
        <f t="shared" ref="K23:K28" si="3">+E23+G23</f>
        <v>0</v>
      </c>
      <c r="L23" s="52"/>
      <c r="M23" s="70">
        <f>[1]CORP!M23+[1]EES!M23+[1]ENA!M23+[1]ENW!M23</f>
        <v>115960</v>
      </c>
      <c r="N23" s="57"/>
      <c r="O23" s="73">
        <f t="shared" si="0"/>
        <v>-115960</v>
      </c>
      <c r="P23" s="4" t="e">
        <f t="shared" si="1"/>
        <v>#DIV/0!</v>
      </c>
      <c r="Q23" s="5"/>
    </row>
    <row r="24" spans="2:17" s="2" customFormat="1" ht="13.8" hidden="1" outlineLevel="1" x14ac:dyDescent="0.25">
      <c r="B24" s="50"/>
      <c r="C24" s="57" t="s">
        <v>23</v>
      </c>
      <c r="D24" s="69"/>
      <c r="E24" s="70">
        <f>[1]CORP!E24+[1]EES!E24+[1]ENA!E24+[1]ENW!E24</f>
        <v>0</v>
      </c>
      <c r="F24" s="52"/>
      <c r="G24" s="70">
        <f>[1]CORP!G24+[1]EES!G24+[1]ENA!G24+[1]ENW!G24</f>
        <v>0</v>
      </c>
      <c r="H24" s="71"/>
      <c r="I24" s="70">
        <f>[1]CORP!I24+[1]EES!I24+[1]ENA!I24+[1]ENW!I24</f>
        <v>0</v>
      </c>
      <c r="J24" s="72"/>
      <c r="K24" s="52">
        <f t="shared" si="3"/>
        <v>0</v>
      </c>
      <c r="L24" s="52"/>
      <c r="M24" s="70">
        <f>[1]CORP!M24+[1]EES!M24+[1]ENA!M24+[1]ENW!M24</f>
        <v>38956</v>
      </c>
      <c r="N24" s="57"/>
      <c r="O24" s="73">
        <f t="shared" si="0"/>
        <v>-38956</v>
      </c>
      <c r="P24" s="4" t="e">
        <f t="shared" si="1"/>
        <v>#DIV/0!</v>
      </c>
      <c r="Q24" s="5"/>
    </row>
    <row r="25" spans="2:17" s="2" customFormat="1" ht="13.8" hidden="1" outlineLevel="1" x14ac:dyDescent="0.25">
      <c r="B25" s="50"/>
      <c r="C25" s="57" t="s">
        <v>24</v>
      </c>
      <c r="D25" s="69"/>
      <c r="E25" s="70">
        <f>[1]CORP!E25+[1]EES!E25+[1]ENA!E25+[1]ENW!E25</f>
        <v>0</v>
      </c>
      <c r="F25" s="52"/>
      <c r="G25" s="70">
        <f>[1]CORP!G25+[1]EES!G25+[1]ENA!G25+[1]ENW!G25</f>
        <v>0</v>
      </c>
      <c r="H25" s="71"/>
      <c r="I25" s="70">
        <f>[1]CORP!I25+[1]EES!I25+[1]ENA!I25+[1]ENW!I25</f>
        <v>0</v>
      </c>
      <c r="J25" s="72"/>
      <c r="K25" s="52">
        <f t="shared" si="3"/>
        <v>0</v>
      </c>
      <c r="L25" s="52"/>
      <c r="M25" s="70">
        <f>[1]CORP!M25+[1]EES!M25+[1]ENA!M25+[1]ENW!M25</f>
        <v>8097</v>
      </c>
      <c r="N25" s="57"/>
      <c r="O25" s="73">
        <f t="shared" si="0"/>
        <v>-8097</v>
      </c>
      <c r="P25" s="4" t="e">
        <f t="shared" si="1"/>
        <v>#DIV/0!</v>
      </c>
      <c r="Q25" s="5"/>
    </row>
    <row r="26" spans="2:17" s="2" customFormat="1" ht="13.8" hidden="1" outlineLevel="1" x14ac:dyDescent="0.25">
      <c r="B26" s="50"/>
      <c r="C26" s="57" t="s">
        <v>25</v>
      </c>
      <c r="D26" s="69"/>
      <c r="E26" s="70">
        <f>[1]CORP!E26+[1]EES!E26+[1]ENA!E26+[1]ENW!E26</f>
        <v>156213</v>
      </c>
      <c r="F26" s="53"/>
      <c r="G26" s="70">
        <f>[1]CORP!G26+[1]EES!G26+[1]ENA!G26+[1]ENW!G26</f>
        <v>110773</v>
      </c>
      <c r="H26" s="71"/>
      <c r="I26" s="70">
        <f>[1]CORP!I26+[1]EES!I26+[1]ENA!I26+[1]ENW!I26</f>
        <v>50750</v>
      </c>
      <c r="J26" s="57"/>
      <c r="K26" s="52">
        <f t="shared" si="3"/>
        <v>266986</v>
      </c>
      <c r="L26" s="53"/>
      <c r="M26" s="70">
        <f>[1]CORP!M26+[1]EES!M26+[1]ENA!M26+[1]ENW!M26</f>
        <v>140003</v>
      </c>
      <c r="N26" s="57"/>
      <c r="O26" s="73">
        <f t="shared" si="0"/>
        <v>126983</v>
      </c>
      <c r="P26" s="4">
        <f t="shared" si="1"/>
        <v>0.47561669900294395</v>
      </c>
      <c r="Q26" s="5"/>
    </row>
    <row r="27" spans="2:17" s="2" customFormat="1" ht="13.8" hidden="1" outlineLevel="1" x14ac:dyDescent="0.25">
      <c r="B27" s="50"/>
      <c r="C27" s="57" t="s">
        <v>26</v>
      </c>
      <c r="D27" s="69"/>
      <c r="E27" s="70">
        <f>[1]CORP!E27+[1]EES!E27+[1]ENA!E27+[1]ENW!E27</f>
        <v>42559</v>
      </c>
      <c r="F27" s="53"/>
      <c r="G27" s="70">
        <f>[1]CORP!G27+[1]EES!G27+[1]ENA!G27+[1]ENW!G27</f>
        <v>30400</v>
      </c>
      <c r="H27" s="71"/>
      <c r="I27" s="70">
        <f>[1]CORP!I27+[1]EES!I27+[1]ENA!I27+[1]ENW!I27</f>
        <v>0</v>
      </c>
      <c r="J27" s="57"/>
      <c r="K27" s="52">
        <f t="shared" si="3"/>
        <v>72959</v>
      </c>
      <c r="L27" s="53"/>
      <c r="M27" s="70">
        <f>[1]CORP!M27+[1]EES!M27+[1]ENA!M27+[1]ENW!M27</f>
        <v>9848</v>
      </c>
      <c r="N27" s="57"/>
      <c r="O27" s="73">
        <f t="shared" si="0"/>
        <v>63111</v>
      </c>
      <c r="P27" s="4">
        <f t="shared" si="1"/>
        <v>0.86502007977083017</v>
      </c>
      <c r="Q27" s="5"/>
    </row>
    <row r="28" spans="2:17" s="2" customFormat="1" ht="13.8" hidden="1" outlineLevel="1" x14ac:dyDescent="0.25">
      <c r="B28" s="50"/>
      <c r="C28" s="57" t="s">
        <v>27</v>
      </c>
      <c r="D28" s="69"/>
      <c r="E28" s="70">
        <f>[1]CORP!E28+[1]EES!E28+[1]ENA!E28+[1]ENW!E28</f>
        <v>0</v>
      </c>
      <c r="F28" s="52"/>
      <c r="G28" s="70">
        <f>[1]CORP!G28+[1]EES!G28+[1]ENA!G28+[1]ENW!G28</f>
        <v>0</v>
      </c>
      <c r="H28" s="71"/>
      <c r="I28" s="70">
        <f>[1]CORP!I28+[1]EES!I28+[1]ENA!I28+[1]ENW!I28</f>
        <v>0</v>
      </c>
      <c r="J28" s="72"/>
      <c r="K28" s="52">
        <f t="shared" si="3"/>
        <v>0</v>
      </c>
      <c r="L28" s="52"/>
      <c r="M28" s="70">
        <f>[1]CORP!M28+[1]EES!M28+[1]ENA!M28+[1]ENW!M28</f>
        <v>6700</v>
      </c>
      <c r="N28" s="57"/>
      <c r="O28" s="73">
        <f t="shared" si="0"/>
        <v>-6700</v>
      </c>
      <c r="P28" s="4" t="e">
        <f t="shared" si="1"/>
        <v>#DIV/0!</v>
      </c>
      <c r="Q28" s="5"/>
    </row>
    <row r="29" spans="2:17" s="59" customFormat="1" ht="13.8" collapsed="1" x14ac:dyDescent="0.25">
      <c r="B29" s="60"/>
      <c r="C29" s="61" t="s">
        <v>28</v>
      </c>
      <c r="D29" s="60"/>
      <c r="E29" s="63">
        <f>SUM(E30:E31)</f>
        <v>761403</v>
      </c>
      <c r="F29" s="74"/>
      <c r="G29" s="63">
        <f>SUM(G30:G31)</f>
        <v>672661.85714285716</v>
      </c>
      <c r="H29" s="67"/>
      <c r="I29" s="75">
        <f>SUM(I30:I31)</f>
        <v>1443718</v>
      </c>
      <c r="J29" s="61"/>
      <c r="K29" s="63">
        <f>+E29+G29</f>
        <v>1434064.8571428573</v>
      </c>
      <c r="L29" s="74"/>
      <c r="M29" s="63">
        <f>SUM(M30:M31)</f>
        <v>698136</v>
      </c>
      <c r="N29" s="61"/>
      <c r="O29" s="66">
        <f t="shared" si="0"/>
        <v>735928.85714285728</v>
      </c>
      <c r="P29" s="4">
        <f t="shared" si="1"/>
        <v>0.51317682981861557</v>
      </c>
      <c r="Q29" s="5" t="s">
        <v>29</v>
      </c>
    </row>
    <row r="30" spans="2:17" s="2" customFormat="1" ht="13.8" hidden="1" outlineLevel="1" x14ac:dyDescent="0.25">
      <c r="B30" s="50"/>
      <c r="C30" s="57" t="s">
        <v>30</v>
      </c>
      <c r="D30" s="69"/>
      <c r="E30" s="70">
        <f>[1]CORP!E30+[1]EES!E30+[1]ENA!E30+[1]ENW!E30</f>
        <v>4399</v>
      </c>
      <c r="F30" s="53"/>
      <c r="G30" s="70">
        <f>[1]CORP!G30+[1]EES!G30+[1]ENA!G30+[1]ENW!G30</f>
        <v>691</v>
      </c>
      <c r="H30" s="71"/>
      <c r="I30" s="70">
        <f>[1]CORP!I30+[1]EES!I30+[1]ENA!I30+[1]ENW!I30</f>
        <v>45333</v>
      </c>
      <c r="J30" s="57"/>
      <c r="K30" s="52">
        <f>+E30+G30</f>
        <v>5090</v>
      </c>
      <c r="L30" s="53"/>
      <c r="M30" s="70">
        <f>[1]CORP!M30+[1]EES!M30+[1]ENA!M30+[1]ENW!M30</f>
        <v>21984</v>
      </c>
      <c r="N30" s="57"/>
      <c r="O30" s="73">
        <f t="shared" si="0"/>
        <v>-16894</v>
      </c>
      <c r="P30" s="4">
        <f t="shared" si="1"/>
        <v>-3.3190569744597251</v>
      </c>
      <c r="Q30" s="5"/>
    </row>
    <row r="31" spans="2:17" s="2" customFormat="1" ht="13.8" hidden="1" outlineLevel="1" x14ac:dyDescent="0.25">
      <c r="B31" s="50"/>
      <c r="C31" s="57" t="s">
        <v>31</v>
      </c>
      <c r="D31" s="69"/>
      <c r="E31" s="70">
        <f>[1]CORP!E31+[1]EES!E31+[1]ENA!E31+[1]ENW!E31</f>
        <v>757004</v>
      </c>
      <c r="F31" s="52"/>
      <c r="G31" s="70">
        <f>[1]CORP!G31+[1]EES!G31+[1]ENA!G31+[1]ENW!G31</f>
        <v>671970.85714285716</v>
      </c>
      <c r="H31" s="71"/>
      <c r="I31" s="70">
        <f>[1]CORP!I31+[1]EES!I31+[1]ENA!I31+[1]ENW!I31</f>
        <v>1398385</v>
      </c>
      <c r="J31" s="72"/>
      <c r="K31" s="52">
        <f>+E31+G31</f>
        <v>1428974.8571428573</v>
      </c>
      <c r="L31" s="52"/>
      <c r="M31" s="70">
        <f>[1]CORP!M31+[1]EES!M31+[1]ENA!M31+[1]ENW!M31</f>
        <v>676152</v>
      </c>
      <c r="N31" s="57"/>
      <c r="O31" s="73">
        <f t="shared" si="0"/>
        <v>752822.85714285728</v>
      </c>
      <c r="P31" s="4">
        <f t="shared" si="1"/>
        <v>0.5268272239919447</v>
      </c>
      <c r="Q31" s="5"/>
    </row>
    <row r="32" spans="2:17" s="59" customFormat="1" ht="13.8" collapsed="1" x14ac:dyDescent="0.25">
      <c r="B32" s="60"/>
      <c r="C32" s="61" t="s">
        <v>32</v>
      </c>
      <c r="D32" s="60"/>
      <c r="E32" s="63">
        <f>SUM(E33:E38)</f>
        <v>1227729</v>
      </c>
      <c r="F32" s="74"/>
      <c r="G32" s="63">
        <f>SUM(G33:G38)</f>
        <v>768861.85714285716</v>
      </c>
      <c r="H32" s="67"/>
      <c r="I32" s="75">
        <f>SUM(I33:I38)</f>
        <v>1130575</v>
      </c>
      <c r="J32" s="61"/>
      <c r="K32" s="63">
        <f>+E32+G32</f>
        <v>1996590.8571428573</v>
      </c>
      <c r="L32" s="74"/>
      <c r="M32" s="63">
        <f>SUM(M33:M38)</f>
        <v>1732880</v>
      </c>
      <c r="N32" s="61"/>
      <c r="O32" s="66">
        <f t="shared" si="0"/>
        <v>263710.85714285728</v>
      </c>
      <c r="P32" s="4">
        <f t="shared" si="1"/>
        <v>0.13208056933618853</v>
      </c>
      <c r="Q32" s="5" t="s">
        <v>33</v>
      </c>
    </row>
    <row r="33" spans="2:17" s="2" customFormat="1" ht="13.8" hidden="1" outlineLevel="1" x14ac:dyDescent="0.25">
      <c r="B33" s="50"/>
      <c r="C33" s="57" t="s">
        <v>34</v>
      </c>
      <c r="D33" s="69"/>
      <c r="E33" s="70">
        <f>[1]CORP!E33+[1]EES!E33+[1]ENA!E33+[1]ENW!E33</f>
        <v>3157</v>
      </c>
      <c r="F33" s="53"/>
      <c r="G33" s="70">
        <f>[1]CORP!G33+[1]EES!G33+[1]ENA!G33+[1]ENW!G33</f>
        <v>2255</v>
      </c>
      <c r="H33" s="71"/>
      <c r="I33" s="70">
        <f>[1]CORP!I33+[1]EES!I33+[1]ENA!I33+[1]ENW!I33</f>
        <v>0</v>
      </c>
      <c r="J33" s="57"/>
      <c r="K33" s="52">
        <f t="shared" ref="K33:K50" si="4">+E33+G33</f>
        <v>5412</v>
      </c>
      <c r="L33" s="53"/>
      <c r="M33" s="70">
        <f>[1]CORP!M33+[1]EES!M33+[1]ENA!M33+[1]ENW!M33</f>
        <v>12400</v>
      </c>
      <c r="N33" s="57"/>
      <c r="O33" s="73">
        <f t="shared" si="0"/>
        <v>-6988</v>
      </c>
      <c r="P33" s="4">
        <f t="shared" si="1"/>
        <v>-1.2912047302291205</v>
      </c>
      <c r="Q33" s="5"/>
    </row>
    <row r="34" spans="2:17" s="2" customFormat="1" ht="13.8" hidden="1" outlineLevel="1" x14ac:dyDescent="0.25">
      <c r="B34" s="50"/>
      <c r="C34" s="57" t="s">
        <v>35</v>
      </c>
      <c r="D34" s="69"/>
      <c r="E34" s="70">
        <f>[1]CORP!E34+[1]EES!E34+[1]ENA!E34+[1]ENW!E34</f>
        <v>224489</v>
      </c>
      <c r="F34" s="53"/>
      <c r="G34" s="70">
        <f>[1]CORP!G34+[1]EES!G34+[1]ENA!G34+[1]ENW!G34</f>
        <v>101047</v>
      </c>
      <c r="H34" s="71"/>
      <c r="I34" s="70">
        <f>[1]CORP!I34+[1]EES!I34+[1]ENA!I34+[1]ENW!I34</f>
        <v>261634</v>
      </c>
      <c r="J34" s="57"/>
      <c r="K34" s="52">
        <f t="shared" si="4"/>
        <v>325536</v>
      </c>
      <c r="L34" s="53"/>
      <c r="M34" s="70">
        <f>[1]CORP!M34+[1]EES!M34+[1]ENA!M34+[1]ENW!M34</f>
        <v>171672</v>
      </c>
      <c r="N34" s="57"/>
      <c r="O34" s="73">
        <f t="shared" si="0"/>
        <v>153864</v>
      </c>
      <c r="P34" s="4">
        <f t="shared" si="1"/>
        <v>0.47264818637570039</v>
      </c>
      <c r="Q34" s="5"/>
    </row>
    <row r="35" spans="2:17" s="2" customFormat="1" ht="13.8" hidden="1" outlineLevel="1" x14ac:dyDescent="0.25">
      <c r="B35" s="50"/>
      <c r="C35" s="57" t="s">
        <v>36</v>
      </c>
      <c r="D35" s="69"/>
      <c r="E35" s="70">
        <f>[1]CORP!E35+[1]EES!E35+[1]ENA!E35+[1]ENW!E35</f>
        <v>15175</v>
      </c>
      <c r="F35" s="53"/>
      <c r="G35" s="70">
        <f>[1]CORP!G35+[1]EES!G35+[1]ENA!G35+[1]ENW!G35</f>
        <v>10839</v>
      </c>
      <c r="H35" s="71"/>
      <c r="I35" s="70">
        <f>[1]CORP!I35+[1]EES!I35+[1]ENA!I35+[1]ENW!I35</f>
        <v>4500</v>
      </c>
      <c r="J35" s="57"/>
      <c r="K35" s="52">
        <f>+E35+G35</f>
        <v>26014</v>
      </c>
      <c r="L35" s="53"/>
      <c r="M35" s="70">
        <f>[1]CORP!M35+[1]EES!M35+[1]ENA!M35+[1]ENW!M35</f>
        <v>24754</v>
      </c>
      <c r="N35" s="57"/>
      <c r="O35" s="73">
        <f>(-M35+K35)</f>
        <v>1260</v>
      </c>
      <c r="P35" s="4">
        <f t="shared" si="1"/>
        <v>4.8435457830399015E-2</v>
      </c>
      <c r="Q35" s="5"/>
    </row>
    <row r="36" spans="2:17" s="2" customFormat="1" ht="13.8" hidden="1" outlineLevel="1" x14ac:dyDescent="0.25">
      <c r="B36" s="50"/>
      <c r="C36" s="57" t="s">
        <v>37</v>
      </c>
      <c r="D36" s="69"/>
      <c r="E36" s="70">
        <f>[1]CORP!E36+[1]EES!E36+[1]ENA!E36+[1]ENW!E36</f>
        <v>2050</v>
      </c>
      <c r="F36" s="53"/>
      <c r="G36" s="70">
        <f>[1]CORP!G36+[1]EES!G36+[1]ENA!G36+[1]ENW!G36</f>
        <v>1465</v>
      </c>
      <c r="H36" s="71"/>
      <c r="I36" s="70">
        <f>[1]CORP!I36+[1]EES!I36+[1]ENA!I36+[1]ENW!I36</f>
        <v>2996</v>
      </c>
      <c r="J36" s="57"/>
      <c r="K36" s="52">
        <f>+E36+G36</f>
        <v>3515</v>
      </c>
      <c r="L36" s="53"/>
      <c r="M36" s="70">
        <f>[1]CORP!M36+[1]EES!M36+[1]ENA!M36+[1]ENW!M36</f>
        <v>17240</v>
      </c>
      <c r="N36" s="57"/>
      <c r="O36" s="73">
        <f>(-M36+K36)</f>
        <v>-13725</v>
      </c>
      <c r="P36" s="4">
        <f t="shared" si="1"/>
        <v>-3.9046941678520626</v>
      </c>
      <c r="Q36" s="5"/>
    </row>
    <row r="37" spans="2:17" s="2" customFormat="1" ht="13.8" hidden="1" outlineLevel="1" x14ac:dyDescent="0.25">
      <c r="B37" s="50"/>
      <c r="C37" s="57" t="s">
        <v>38</v>
      </c>
      <c r="D37" s="69"/>
      <c r="E37" s="70">
        <f>[1]CORP!E37+[1]EES!E37+[1]ENA!E37+[1]ENW!E37</f>
        <v>830293</v>
      </c>
      <c r="F37" s="53"/>
      <c r="G37" s="70">
        <f>[1]CORP!G37+[1]EES!G37+[1]ENA!G37+[1]ENW!G37</f>
        <v>540878.85714285716</v>
      </c>
      <c r="H37" s="71"/>
      <c r="I37" s="70">
        <f>[1]CORP!I37+[1]EES!I37+[1]ENA!I37+[1]ENW!I37</f>
        <v>803498</v>
      </c>
      <c r="J37" s="57"/>
      <c r="K37" s="52">
        <f t="shared" si="4"/>
        <v>1371171.8571428573</v>
      </c>
      <c r="L37" s="53"/>
      <c r="M37" s="70">
        <f>[1]CORP!M37+[1]EES!M37+[1]ENA!M37+[1]ENW!M37</f>
        <v>1408650</v>
      </c>
      <c r="N37" s="57"/>
      <c r="O37" s="73">
        <f t="shared" si="0"/>
        <v>-37478.142857142724</v>
      </c>
      <c r="P37" s="4">
        <f t="shared" si="1"/>
        <v>-2.7332928882625118E-2</v>
      </c>
      <c r="Q37" s="5"/>
    </row>
    <row r="38" spans="2:17" s="2" customFormat="1" ht="13.8" hidden="1" outlineLevel="1" x14ac:dyDescent="0.25">
      <c r="B38" s="50"/>
      <c r="C38" s="57" t="s">
        <v>39</v>
      </c>
      <c r="D38" s="69"/>
      <c r="E38" s="70">
        <f>[1]CORP!E38+[1]EES!E38+[1]ENA!E38+[1]ENW!E38</f>
        <v>152565</v>
      </c>
      <c r="F38" s="53"/>
      <c r="G38" s="70">
        <f>[1]CORP!G38+[1]EES!G38+[1]ENA!G38+[1]ENW!G38</f>
        <v>112377</v>
      </c>
      <c r="H38" s="71"/>
      <c r="I38" s="70">
        <f>[1]CORP!I38+[1]EES!I38+[1]ENA!I38+[1]ENW!I38</f>
        <v>57947</v>
      </c>
      <c r="J38" s="57"/>
      <c r="K38" s="52">
        <f t="shared" si="4"/>
        <v>264942</v>
      </c>
      <c r="L38" s="53"/>
      <c r="M38" s="70">
        <f>[1]CORP!M38+[1]EES!M38+[1]ENA!M38+[1]ENW!M38</f>
        <v>98164</v>
      </c>
      <c r="N38" s="57"/>
      <c r="O38" s="73">
        <f t="shared" si="0"/>
        <v>166778</v>
      </c>
      <c r="P38" s="4">
        <f t="shared" si="1"/>
        <v>0.62948871828551156</v>
      </c>
      <c r="Q38" s="5"/>
    </row>
    <row r="39" spans="2:17" s="59" customFormat="1" ht="13.8" collapsed="1" x14ac:dyDescent="0.25">
      <c r="B39" s="60"/>
      <c r="C39" s="61" t="s">
        <v>40</v>
      </c>
      <c r="D39" s="60"/>
      <c r="E39" s="62">
        <f>[1]CORP!E39+[1]EES!E39+[1]ENA!E39+[1]ENW!E39</f>
        <v>99152</v>
      </c>
      <c r="F39" s="74"/>
      <c r="G39" s="62">
        <f>[1]CORP!G39+[1]EES!G39+[1]ENA!G39+[1]ENW!G39</f>
        <v>88111.28571428571</v>
      </c>
      <c r="H39" s="64"/>
      <c r="I39" s="62">
        <f>[1]CORP!I39+[1]EES!I39+[1]ENA!I39+[1]ENW!I39</f>
        <v>156392</v>
      </c>
      <c r="J39" s="61"/>
      <c r="K39" s="63">
        <f t="shared" si="4"/>
        <v>187263.28571428571</v>
      </c>
      <c r="L39" s="74"/>
      <c r="M39" s="62">
        <f>[1]CORP!M39+[1]EES!M39+[1]ENA!M39+[1]ENW!M39</f>
        <v>89592</v>
      </c>
      <c r="N39" s="61"/>
      <c r="O39" s="66">
        <f t="shared" si="0"/>
        <v>97671.28571428571</v>
      </c>
      <c r="P39" s="4">
        <f t="shared" si="1"/>
        <v>0.52157199603613857</v>
      </c>
      <c r="Q39" s="5"/>
    </row>
    <row r="40" spans="2:17" s="59" customFormat="1" ht="13.8" x14ac:dyDescent="0.25">
      <c r="B40" s="60"/>
      <c r="C40" s="61" t="s">
        <v>41</v>
      </c>
      <c r="D40" s="60"/>
      <c r="E40" s="62">
        <f>[1]CORP!E40+[1]EES!E40+[1]ENA!E40+[1]ENW!E40</f>
        <v>0</v>
      </c>
      <c r="F40" s="74"/>
      <c r="G40" s="62">
        <f>[1]CORP!G40+[1]EES!G40+[1]ENA!G40+[1]ENW!G40</f>
        <v>0</v>
      </c>
      <c r="H40" s="64"/>
      <c r="I40" s="62">
        <f>[1]CORP!I40+[1]EES!I40+[1]ENA!I40+[1]ENW!I40</f>
        <v>0</v>
      </c>
      <c r="J40" s="61"/>
      <c r="K40" s="63">
        <f t="shared" si="4"/>
        <v>0</v>
      </c>
      <c r="L40" s="74"/>
      <c r="M40" s="62">
        <f>[1]CORP!M40+[1]EES!M40+[1]ENA!M40+[1]ENW!M40</f>
        <v>0</v>
      </c>
      <c r="N40" s="61"/>
      <c r="O40" s="66">
        <f t="shared" si="0"/>
        <v>0</v>
      </c>
      <c r="P40" s="4">
        <f t="shared" si="1"/>
        <v>0</v>
      </c>
      <c r="Q40" s="5"/>
    </row>
    <row r="41" spans="2:17" s="59" customFormat="1" ht="13.8" x14ac:dyDescent="0.25">
      <c r="B41" s="60"/>
      <c r="C41" s="61" t="s">
        <v>42</v>
      </c>
      <c r="D41" s="60"/>
      <c r="E41" s="62">
        <f>[1]CORP!E41+[1]EES!E41+[1]ENA!E41+[1]ENW!E41</f>
        <v>0</v>
      </c>
      <c r="F41" s="74"/>
      <c r="G41" s="62">
        <f>[1]CORP!G41+[1]EES!G41+[1]ENA!G41+[1]ENW!G41</f>
        <v>0</v>
      </c>
      <c r="H41" s="64"/>
      <c r="I41" s="62">
        <f>[1]CORP!I41+[1]EES!I41+[1]ENA!I41+[1]ENW!I41</f>
        <v>0</v>
      </c>
      <c r="J41" s="61"/>
      <c r="K41" s="63">
        <f t="shared" si="4"/>
        <v>0</v>
      </c>
      <c r="L41" s="74"/>
      <c r="M41" s="62">
        <f>[1]CORP!M41+[1]EES!M41+[1]ENA!M41+[1]ENW!M41</f>
        <v>0</v>
      </c>
      <c r="N41" s="61"/>
      <c r="O41" s="66">
        <f t="shared" si="0"/>
        <v>0</v>
      </c>
      <c r="P41" s="4">
        <f t="shared" si="1"/>
        <v>0</v>
      </c>
      <c r="Q41" s="5"/>
    </row>
    <row r="42" spans="2:17" s="59" customFormat="1" ht="13.8" x14ac:dyDescent="0.25">
      <c r="B42" s="60"/>
      <c r="C42" s="61" t="s">
        <v>43</v>
      </c>
      <c r="D42" s="60"/>
      <c r="E42" s="62">
        <f>[1]CORP!E42+[1]EES!E42+[1]ENA!E42+[1]ENW!E42</f>
        <v>153810</v>
      </c>
      <c r="F42" s="74"/>
      <c r="G42" s="62">
        <f>[1]CORP!G42+[1]EES!G42+[1]ENA!G42+[1]ENW!G42</f>
        <v>112475</v>
      </c>
      <c r="H42" s="64"/>
      <c r="I42" s="62">
        <f>[1]CORP!I42+[1]EES!I42+[1]ENA!I42+[1]ENW!I42</f>
        <v>215400</v>
      </c>
      <c r="J42" s="61"/>
      <c r="K42" s="63">
        <f t="shared" si="4"/>
        <v>266285</v>
      </c>
      <c r="L42" s="74"/>
      <c r="M42" s="62">
        <f>[1]CORP!M42+[1]EES!M42+[1]ENA!M42+[1]ENW!M42</f>
        <v>0</v>
      </c>
      <c r="N42" s="61"/>
      <c r="O42" s="66">
        <f t="shared" si="0"/>
        <v>266285</v>
      </c>
      <c r="P42" s="4">
        <f t="shared" si="1"/>
        <v>1</v>
      </c>
      <c r="Q42" s="5" t="s">
        <v>44</v>
      </c>
    </row>
    <row r="43" spans="2:17" s="59" customFormat="1" ht="13.8" collapsed="1" x14ac:dyDescent="0.25">
      <c r="B43" s="60"/>
      <c r="C43" s="61" t="s">
        <v>45</v>
      </c>
      <c r="D43" s="60"/>
      <c r="E43" s="63">
        <f>SUM(E44:E47)</f>
        <v>153144</v>
      </c>
      <c r="F43" s="74"/>
      <c r="G43" s="63">
        <f>SUM(G44:G47)</f>
        <v>605279.57142857136</v>
      </c>
      <c r="H43" s="67"/>
      <c r="I43" s="75">
        <f>SUM(I44:I47)</f>
        <v>463708</v>
      </c>
      <c r="J43" s="61"/>
      <c r="K43" s="63">
        <f t="shared" si="4"/>
        <v>758423.57142857136</v>
      </c>
      <c r="L43" s="74"/>
      <c r="M43" s="63">
        <f>SUM(M44:M47)</f>
        <v>124896</v>
      </c>
      <c r="N43" s="61"/>
      <c r="O43" s="66">
        <f t="shared" si="0"/>
        <v>633527.57142857136</v>
      </c>
      <c r="P43" s="4">
        <f t="shared" si="1"/>
        <v>0.83532157397910889</v>
      </c>
      <c r="Q43" s="5"/>
    </row>
    <row r="44" spans="2:17" s="2" customFormat="1" ht="13.8" hidden="1" outlineLevel="1" x14ac:dyDescent="0.25">
      <c r="B44" s="50"/>
      <c r="C44" s="57" t="s">
        <v>46</v>
      </c>
      <c r="D44" s="69"/>
      <c r="E44" s="70">
        <f>[1]CORP!E44+[1]EES!E44+[1]ENA!E44+[1]ENW!E44</f>
        <v>1488</v>
      </c>
      <c r="F44" s="53"/>
      <c r="G44" s="70">
        <f>[1]CORP!G44+[1]EES!G44+[1]ENA!G44+[1]ENW!G44</f>
        <v>1063</v>
      </c>
      <c r="H44" s="71"/>
      <c r="I44" s="70">
        <f>[1]CORP!I44+[1]EES!I44+[1]ENA!I44+[1]ENW!I44</f>
        <v>0</v>
      </c>
      <c r="J44" s="57"/>
      <c r="K44" s="52">
        <f t="shared" si="4"/>
        <v>2551</v>
      </c>
      <c r="L44" s="53"/>
      <c r="M44" s="70">
        <f>[1]CORP!M44+[1]EES!M44+[1]ENA!M44+[1]ENW!M44</f>
        <v>0</v>
      </c>
      <c r="N44" s="57"/>
      <c r="O44" s="73">
        <f t="shared" si="0"/>
        <v>2551</v>
      </c>
      <c r="P44" s="4">
        <f t="shared" si="1"/>
        <v>1</v>
      </c>
      <c r="Q44" s="5"/>
    </row>
    <row r="45" spans="2:17" s="2" customFormat="1" ht="13.8" hidden="1" outlineLevel="1" x14ac:dyDescent="0.25">
      <c r="B45" s="50"/>
      <c r="C45" s="57" t="s">
        <v>47</v>
      </c>
      <c r="D45" s="69"/>
      <c r="E45" s="70">
        <f>[1]CORP!E45+[1]EES!E45+[1]ENA!E45+[1]ENW!E45</f>
        <v>0</v>
      </c>
      <c r="F45" s="53"/>
      <c r="G45" s="70">
        <f>[1]CORP!G45+[1]EES!G45+[1]ENA!G45+[1]ENW!G45</f>
        <v>0</v>
      </c>
      <c r="H45" s="71"/>
      <c r="I45" s="70">
        <f>[1]CORP!I45+[1]EES!I45+[1]ENA!I45+[1]ENW!I45</f>
        <v>0</v>
      </c>
      <c r="J45" s="57"/>
      <c r="K45" s="52">
        <f t="shared" si="4"/>
        <v>0</v>
      </c>
      <c r="L45" s="53"/>
      <c r="M45" s="70">
        <f>[1]CORP!M45+[1]EES!M45+[1]ENA!M45+[1]ENW!M45</f>
        <v>3000</v>
      </c>
      <c r="N45" s="57"/>
      <c r="O45" s="73">
        <f t="shared" si="0"/>
        <v>-3000</v>
      </c>
      <c r="P45" s="4" t="e">
        <f t="shared" si="1"/>
        <v>#DIV/0!</v>
      </c>
      <c r="Q45" s="5"/>
    </row>
    <row r="46" spans="2:17" s="2" customFormat="1" ht="13.8" hidden="1" outlineLevel="1" x14ac:dyDescent="0.25">
      <c r="B46" s="50"/>
      <c r="C46" s="57" t="s">
        <v>48</v>
      </c>
      <c r="D46" s="69"/>
      <c r="E46" s="70">
        <f>[1]CORP!E46+[1]EES!E46+[1]ENA!E46+[1]ENW!E46</f>
        <v>107</v>
      </c>
      <c r="F46" s="53"/>
      <c r="G46" s="70">
        <f>[1]CORP!G46+[1]EES!G46+[1]ENA!G46+[1]ENW!G46</f>
        <v>77</v>
      </c>
      <c r="H46" s="71"/>
      <c r="I46" s="70">
        <f>[1]CORP!I46+[1]EES!I46+[1]ENA!I46+[1]ENW!I46</f>
        <v>6200</v>
      </c>
      <c r="J46" s="57"/>
      <c r="K46" s="52">
        <f t="shared" si="4"/>
        <v>184</v>
      </c>
      <c r="L46" s="53"/>
      <c r="M46" s="70">
        <f>[1]CORP!M46+[1]EES!M46+[1]ENA!M46+[1]ENW!M46</f>
        <v>1200</v>
      </c>
      <c r="N46" s="57"/>
      <c r="O46" s="73">
        <f t="shared" si="0"/>
        <v>-1016</v>
      </c>
      <c r="P46" s="4">
        <f t="shared" si="1"/>
        <v>-5.5217391304347823</v>
      </c>
      <c r="Q46" s="5"/>
    </row>
    <row r="47" spans="2:17" s="2" customFormat="1" ht="13.8" hidden="1" outlineLevel="1" x14ac:dyDescent="0.25">
      <c r="B47" s="50"/>
      <c r="C47" s="57" t="s">
        <v>49</v>
      </c>
      <c r="D47" s="69"/>
      <c r="E47" s="70">
        <f>[1]CORP!E47+[1]EES!E47+[1]ENA!E47+[1]ENW!E47</f>
        <v>151549</v>
      </c>
      <c r="F47" s="53"/>
      <c r="G47" s="70">
        <f>[1]CORP!G47+[1]EES!G47+[1]ENA!G47+[1]ENW!G47</f>
        <v>604139.57142857136</v>
      </c>
      <c r="H47" s="71"/>
      <c r="I47" s="70">
        <f>[1]CORP!I47+[1]EES!I47+[1]ENA!I47+[1]ENW!I47</f>
        <v>457508</v>
      </c>
      <c r="J47" s="57"/>
      <c r="K47" s="52">
        <f t="shared" si="4"/>
        <v>755688.57142857136</v>
      </c>
      <c r="L47" s="53"/>
      <c r="M47" s="70">
        <f>[1]CORP!M47+[1]EES!M47+[1]ENA!M47+[1]ENW!M47</f>
        <v>120696</v>
      </c>
      <c r="N47" s="57"/>
      <c r="O47" s="73">
        <f t="shared" si="0"/>
        <v>634992.57142857136</v>
      </c>
      <c r="P47" s="4">
        <f t="shared" si="1"/>
        <v>0.84028341229002124</v>
      </c>
      <c r="Q47" s="5"/>
    </row>
    <row r="48" spans="2:17" s="59" customFormat="1" ht="13.8" collapsed="1" x14ac:dyDescent="0.25">
      <c r="B48" s="60"/>
      <c r="C48" s="61" t="s">
        <v>50</v>
      </c>
      <c r="D48" s="60"/>
      <c r="E48" s="62">
        <f>[1]CORP!E48+[1]EES!E48+[1]ENA!E48+[1]ENW!E48</f>
        <v>0</v>
      </c>
      <c r="F48" s="74"/>
      <c r="G48" s="62">
        <f>[1]CORP!G48+[1]EES!G48+[1]ENA!G48+[1]ENW!G48</f>
        <v>0</v>
      </c>
      <c r="H48" s="64"/>
      <c r="I48" s="62">
        <f>[1]CORP!I48+[1]EES!I48+[1]ENA!I48+[1]ENW!I48</f>
        <v>0</v>
      </c>
      <c r="J48" s="61"/>
      <c r="K48" s="63">
        <f t="shared" si="4"/>
        <v>0</v>
      </c>
      <c r="L48" s="74"/>
      <c r="M48" s="62">
        <f>[1]CORP!M48+[1]EES!M48+[1]ENA!M48+[1]ENW!M48</f>
        <v>0</v>
      </c>
      <c r="N48" s="61"/>
      <c r="O48" s="66">
        <f t="shared" si="0"/>
        <v>0</v>
      </c>
      <c r="P48" s="4">
        <f t="shared" si="1"/>
        <v>0</v>
      </c>
      <c r="Q48" s="5"/>
    </row>
    <row r="49" spans="2:17" s="59" customFormat="1" ht="13.8" x14ac:dyDescent="0.25">
      <c r="B49" s="60"/>
      <c r="C49" s="61" t="s">
        <v>51</v>
      </c>
      <c r="D49" s="60"/>
      <c r="E49" s="62">
        <f>[1]CORP!E49+[1]EES!E49+[1]ENA!E49+[1]ENW!E49</f>
        <v>0</v>
      </c>
      <c r="F49" s="74"/>
      <c r="G49" s="62">
        <f>[1]CORP!G49+[1]EES!G49+[1]ENA!G49+[1]ENW!G49</f>
        <v>0</v>
      </c>
      <c r="H49" s="64"/>
      <c r="I49" s="62">
        <f>[1]CORP!I49+[1]EES!I49+[1]ENA!I49+[1]ENW!I49</f>
        <v>0</v>
      </c>
      <c r="J49" s="61"/>
      <c r="K49" s="63">
        <f t="shared" si="4"/>
        <v>0</v>
      </c>
      <c r="L49" s="74"/>
      <c r="M49" s="62">
        <f>[1]CORP!M49+[1]EES!M49+[1]ENA!M49+[1]ENW!M49</f>
        <v>0</v>
      </c>
      <c r="N49" s="61"/>
      <c r="O49" s="66">
        <f t="shared" si="0"/>
        <v>0</v>
      </c>
      <c r="P49" s="4">
        <f t="shared" si="1"/>
        <v>0</v>
      </c>
      <c r="Q49" s="5"/>
    </row>
    <row r="50" spans="2:17" s="59" customFormat="1" ht="13.8" x14ac:dyDescent="0.25">
      <c r="B50" s="60"/>
      <c r="C50" s="61" t="s">
        <v>52</v>
      </c>
      <c r="D50" s="60"/>
      <c r="E50" s="62">
        <f>[1]CORP!E50+[1]EES!E50+[1]ENA!E50+[1]ENW!E50</f>
        <v>15745</v>
      </c>
      <c r="F50" s="74"/>
      <c r="G50" s="62">
        <f>[1]CORP!G50+[1]EES!G50+[1]ENA!G50+[1]ENW!G50</f>
        <v>11246</v>
      </c>
      <c r="H50" s="64"/>
      <c r="I50" s="62">
        <f>[1]CORP!I50+[1]EES!I50+[1]ENA!I50+[1]ENW!I50</f>
        <v>106925</v>
      </c>
      <c r="J50" s="61"/>
      <c r="K50" s="63">
        <f t="shared" si="4"/>
        <v>26991</v>
      </c>
      <c r="L50" s="74"/>
      <c r="M50" s="62">
        <f>[1]CORP!M50+[1]EES!M50+[1]ENA!M50+[1]ENW!M50</f>
        <v>423711</v>
      </c>
      <c r="N50" s="61"/>
      <c r="O50" s="66">
        <f t="shared" si="0"/>
        <v>-396720</v>
      </c>
      <c r="P50" s="4">
        <f t="shared" si="1"/>
        <v>-14.698232744248083</v>
      </c>
      <c r="Q50" s="5" t="s">
        <v>53</v>
      </c>
    </row>
    <row r="51" spans="2:17" s="76" customFormat="1" ht="14.4" thickBot="1" x14ac:dyDescent="0.3">
      <c r="B51" s="50"/>
      <c r="C51" s="51"/>
      <c r="D51" s="77"/>
      <c r="E51" s="78"/>
      <c r="F51" s="79"/>
      <c r="G51" s="78"/>
      <c r="H51" s="80"/>
      <c r="I51" s="52"/>
      <c r="J51" s="57"/>
      <c r="K51" s="52"/>
      <c r="L51" s="53"/>
      <c r="M51" s="52"/>
      <c r="N51" s="57"/>
      <c r="O51" s="81"/>
      <c r="P51" s="4"/>
      <c r="Q51" s="5"/>
    </row>
    <row r="52" spans="2:17" ht="14.4" thickBot="1" x14ac:dyDescent="0.3">
      <c r="B52" s="82"/>
      <c r="C52" s="83" t="s">
        <v>54</v>
      </c>
      <c r="D52" s="84"/>
      <c r="E52" s="85">
        <f>+E11+E12+E22+E29+E32+E39+E40+E41+E42+E43+E48+E49+E50</f>
        <v>10323642</v>
      </c>
      <c r="F52" s="86"/>
      <c r="G52" s="85">
        <f>+G11+G12+G22+G29+G32+G39+G40+G41+G42+G43+G48+G49+G50</f>
        <v>7486774.5714285709</v>
      </c>
      <c r="H52" s="87"/>
      <c r="I52" s="85">
        <f>+I11+I12+I22+I29+I32+I39+I40+I41+I42+I43+I48+I49+I50</f>
        <v>14473642</v>
      </c>
      <c r="J52" s="88"/>
      <c r="K52" s="89">
        <f>+E52+G52</f>
        <v>17810416.571428571</v>
      </c>
      <c r="L52" s="86"/>
      <c r="M52" s="85">
        <f>+M11+M12+M22+M29+M32+M39+M40+M41+M42+M43+M48+M49+M50</f>
        <v>18192723</v>
      </c>
      <c r="N52" s="88"/>
      <c r="O52" s="90">
        <f>+O11+O12+O22+O29+O32+O39+O40+O41+O42+O43+O48+O49+O50</f>
        <v>-382306.42857142841</v>
      </c>
      <c r="P52" s="4">
        <f t="shared" si="1"/>
        <v>-2.1465327722021029E-2</v>
      </c>
    </row>
    <row r="53" spans="2:17" ht="13.8" x14ac:dyDescent="0.25">
      <c r="B53" s="91"/>
      <c r="C53" s="92"/>
      <c r="D53" s="60"/>
      <c r="E53" s="93"/>
      <c r="F53" s="94"/>
      <c r="G53" s="63"/>
      <c r="H53" s="67"/>
      <c r="I53" s="95"/>
      <c r="J53" s="61"/>
      <c r="K53" s="95"/>
      <c r="L53" s="94"/>
      <c r="M53" s="93"/>
      <c r="N53" s="94"/>
      <c r="O53" s="66"/>
    </row>
    <row r="54" spans="2:17" s="40" customFormat="1" ht="13.8" x14ac:dyDescent="0.25">
      <c r="B54" s="91"/>
      <c r="C54" s="92" t="s">
        <v>55</v>
      </c>
      <c r="D54" s="60"/>
      <c r="E54" s="96">
        <v>0</v>
      </c>
      <c r="F54" s="97"/>
      <c r="G54" s="63">
        <v>0</v>
      </c>
      <c r="H54" s="67"/>
      <c r="I54" s="96">
        <v>0</v>
      </c>
      <c r="J54" s="61"/>
      <c r="K54" s="63">
        <f>+E54+G54</f>
        <v>0</v>
      </c>
      <c r="L54" s="97"/>
      <c r="M54" s="96">
        <v>2222000</v>
      </c>
      <c r="N54" s="97"/>
      <c r="O54" s="66">
        <f>(-M54+K54)</f>
        <v>-2222000</v>
      </c>
      <c r="P54" s="98"/>
      <c r="Q54" s="98"/>
    </row>
    <row r="55" spans="2:17" ht="14.4" thickBot="1" x14ac:dyDescent="0.3">
      <c r="B55" s="91"/>
      <c r="C55" s="92"/>
      <c r="D55" s="60"/>
      <c r="E55" s="93"/>
      <c r="F55" s="94"/>
      <c r="G55" s="63"/>
      <c r="H55" s="67"/>
      <c r="I55" s="93"/>
      <c r="J55" s="61"/>
      <c r="K55" s="93"/>
      <c r="L55" s="94"/>
      <c r="M55" s="93"/>
      <c r="N55" s="94"/>
      <c r="O55" s="66"/>
    </row>
    <row r="56" spans="2:17" ht="14.4" thickBot="1" x14ac:dyDescent="0.3">
      <c r="B56" s="82"/>
      <c r="C56" s="83" t="s">
        <v>56</v>
      </c>
      <c r="D56" s="84"/>
      <c r="E56" s="85">
        <f>E52+E54</f>
        <v>10323642</v>
      </c>
      <c r="F56" s="86"/>
      <c r="G56" s="85">
        <f>G52+G54</f>
        <v>7486774.5714285709</v>
      </c>
      <c r="H56" s="87"/>
      <c r="I56" s="85">
        <f>I52+I54</f>
        <v>14473642</v>
      </c>
      <c r="J56" s="88"/>
      <c r="K56" s="85">
        <f>E56+G56</f>
        <v>17810416.571428571</v>
      </c>
      <c r="L56" s="86"/>
      <c r="M56" s="85">
        <f>M52+M54</f>
        <v>20414723</v>
      </c>
      <c r="N56" s="88"/>
      <c r="O56" s="90">
        <f>O52+O54</f>
        <v>-2604306.4285714282</v>
      </c>
    </row>
    <row r="57" spans="2:17" ht="13.8" x14ac:dyDescent="0.25">
      <c r="B57" s="91"/>
      <c r="C57" s="92"/>
      <c r="D57" s="60"/>
      <c r="E57" s="93"/>
      <c r="F57" s="94"/>
      <c r="G57" s="93"/>
      <c r="H57" s="67"/>
      <c r="I57" s="93"/>
      <c r="J57" s="61"/>
      <c r="K57" s="63"/>
      <c r="L57" s="94"/>
      <c r="M57" s="93"/>
      <c r="N57" s="94"/>
      <c r="O57" s="66"/>
    </row>
    <row r="58" spans="2:17" s="59" customFormat="1" ht="13.8" x14ac:dyDescent="0.25">
      <c r="B58" s="99"/>
      <c r="C58" s="92" t="s">
        <v>57</v>
      </c>
      <c r="D58" s="60"/>
      <c r="E58" s="62">
        <f>[1]CORP!E58+[1]EES!E58+[1]ENA!E58+[1]ENW!E58</f>
        <v>-1577915</v>
      </c>
      <c r="F58" s="100"/>
      <c r="G58" s="62">
        <f>[1]CORP!G58+[1]EES!G58+[1]ENA!G58+[1]ENW!G58</f>
        <v>-11405060</v>
      </c>
      <c r="H58" s="67"/>
      <c r="I58" s="62">
        <f>[1]CORP!I58+[1]EES!I58+[1]ENA!I58+[1]ENW!I58</f>
        <v>-489996</v>
      </c>
      <c r="J58" s="61"/>
      <c r="K58" s="63">
        <f>+E58+G58-2</f>
        <v>-12982977</v>
      </c>
      <c r="L58" s="100"/>
      <c r="M58" s="62">
        <f>[1]CORP!M58+[1]EES!M58+[1]ENA!M58+[1]ENW!M58+983</f>
        <v>-17641765</v>
      </c>
      <c r="N58" s="94"/>
      <c r="O58" s="66">
        <f>-M58+K58</f>
        <v>4658788</v>
      </c>
      <c r="P58" s="101">
        <f t="shared" si="1"/>
        <v>-0.35883819250392263</v>
      </c>
      <c r="Q58" s="5" t="s">
        <v>58</v>
      </c>
    </row>
    <row r="59" spans="2:17" s="59" customFormat="1" ht="13.8" x14ac:dyDescent="0.25">
      <c r="B59" s="99"/>
      <c r="C59" s="92" t="s">
        <v>59</v>
      </c>
      <c r="D59" s="60"/>
      <c r="E59" s="62">
        <f>[1]CORP!E59+[1]EES!E59+[1]ENA!E59+[1]ENW!E59</f>
        <v>0</v>
      </c>
      <c r="F59" s="100"/>
      <c r="G59" s="62">
        <f>[1]CORP!G59+[1]EES!G59+[1]ENA!G59+[1]ENW!G59</f>
        <v>0</v>
      </c>
      <c r="H59" s="67"/>
      <c r="I59" s="62">
        <f>[1]CORP!I59+[1]EES!I59+[1]ENA!I59+[1]ENW!I59</f>
        <v>0</v>
      </c>
      <c r="J59" s="61"/>
      <c r="K59" s="63">
        <f>+E59+G59</f>
        <v>0</v>
      </c>
      <c r="L59" s="100"/>
      <c r="M59" s="62">
        <f>[1]CORP!M59+[1]EES!M59+[1]ENA!M59+[1]ENW!M59</f>
        <v>0</v>
      </c>
      <c r="N59" s="94"/>
      <c r="O59" s="66">
        <f>-M59+K59</f>
        <v>0</v>
      </c>
      <c r="P59" s="101">
        <f t="shared" si="1"/>
        <v>0</v>
      </c>
      <c r="Q59" s="5"/>
    </row>
    <row r="60" spans="2:17" s="102" customFormat="1" ht="14.4" thickBot="1" x14ac:dyDescent="0.3">
      <c r="B60" s="103"/>
      <c r="C60" s="104"/>
      <c r="D60" s="60"/>
      <c r="E60" s="105"/>
      <c r="F60" s="106"/>
      <c r="G60" s="93"/>
      <c r="H60" s="67"/>
      <c r="I60" s="93"/>
      <c r="J60" s="61"/>
      <c r="K60" s="63"/>
      <c r="L60" s="94"/>
      <c r="M60" s="93"/>
      <c r="N60" s="94"/>
      <c r="O60" s="66"/>
      <c r="P60" s="101"/>
      <c r="Q60" s="5"/>
    </row>
    <row r="61" spans="2:17" s="102" customFormat="1" ht="14.4" thickBot="1" x14ac:dyDescent="0.3">
      <c r="B61" s="103"/>
      <c r="C61" s="107" t="s">
        <v>60</v>
      </c>
      <c r="D61" s="84"/>
      <c r="E61" s="85">
        <f>+E52+E58+E59</f>
        <v>8745727</v>
      </c>
      <c r="F61" s="86"/>
      <c r="G61" s="85">
        <f>+G52+G58+G59</f>
        <v>-3918285.4285714291</v>
      </c>
      <c r="H61" s="87"/>
      <c r="I61" s="85">
        <f>+I52+I58+I59</f>
        <v>13983646</v>
      </c>
      <c r="J61" s="88"/>
      <c r="K61" s="108">
        <f>K52+K58</f>
        <v>4827439.5714285709</v>
      </c>
      <c r="L61" s="86"/>
      <c r="M61" s="108">
        <f>M56+M58</f>
        <v>2772958</v>
      </c>
      <c r="N61" s="88"/>
      <c r="O61" s="90">
        <f>-M61+K61</f>
        <v>2054481.5714285709</v>
      </c>
      <c r="P61" s="101">
        <f t="shared" si="1"/>
        <v>0.4255841095532541</v>
      </c>
      <c r="Q61" s="5"/>
    </row>
    <row r="62" spans="2:17" s="102" customFormat="1" ht="14.4" thickBot="1" x14ac:dyDescent="0.3">
      <c r="B62" s="74"/>
      <c r="C62" s="74"/>
      <c r="D62" s="60"/>
      <c r="E62" s="74"/>
      <c r="F62" s="74"/>
      <c r="G62" s="109"/>
      <c r="H62" s="67"/>
      <c r="I62" s="109"/>
      <c r="J62" s="61"/>
      <c r="K62" s="63"/>
      <c r="L62" s="74"/>
      <c r="M62" s="74"/>
      <c r="N62" s="94"/>
      <c r="O62" s="66"/>
      <c r="P62" s="101"/>
      <c r="Q62" s="5"/>
    </row>
    <row r="63" spans="2:17" s="59" customFormat="1" ht="14.4" thickBot="1" x14ac:dyDescent="0.3">
      <c r="B63" s="110" t="s">
        <v>61</v>
      </c>
      <c r="C63" s="111"/>
      <c r="D63" s="112"/>
      <c r="E63" s="113">
        <f>[1]CORP!E63+[1]EES!E63+[1]ENA!E63+[1]ENW!E63</f>
        <v>0</v>
      </c>
      <c r="F63" s="114"/>
      <c r="G63" s="115">
        <f>[1]CORP!G63+[1]EES!G63+[1]ENA!G63+[1]ENW!G63</f>
        <v>138</v>
      </c>
      <c r="H63" s="116"/>
      <c r="I63" s="115">
        <f>[1]CORP!I63+[1]EES!I63+[1]ENA!I63+[1]ENW!I63</f>
        <v>128</v>
      </c>
      <c r="J63" s="117"/>
      <c r="K63" s="118">
        <f>+E63+G63</f>
        <v>138</v>
      </c>
      <c r="L63" s="114"/>
      <c r="M63" s="113">
        <f>[1]CORP!M63+[1]EES!M63+[1]ENA!M63+[1]ENW!M63</f>
        <v>164</v>
      </c>
      <c r="N63" s="119"/>
      <c r="O63" s="120">
        <f>(-M63+K63)</f>
        <v>-26</v>
      </c>
      <c r="P63" s="101">
        <f t="shared" si="1"/>
        <v>-0.18840579710144928</v>
      </c>
      <c r="Q63" s="5"/>
    </row>
    <row r="64" spans="2:17" x14ac:dyDescent="0.25">
      <c r="B64" s="3"/>
      <c r="C64" s="3"/>
      <c r="D64" s="3"/>
      <c r="E64" s="45"/>
      <c r="F64" s="45"/>
      <c r="G64" s="45"/>
      <c r="H64" s="45"/>
      <c r="I64" s="45"/>
      <c r="J64" s="45"/>
      <c r="K64" s="45"/>
      <c r="L64" s="45"/>
      <c r="M64" s="45"/>
      <c r="N64" s="45"/>
      <c r="O64" s="45"/>
    </row>
    <row r="65" spans="1:15" x14ac:dyDescent="0.25">
      <c r="B65" s="3" t="s">
        <v>62</v>
      </c>
      <c r="C65" s="3"/>
      <c r="D65" s="3"/>
      <c r="E65" s="45"/>
      <c r="F65" s="45"/>
      <c r="G65" s="45"/>
      <c r="H65" s="45"/>
      <c r="I65" s="45"/>
      <c r="J65" s="45"/>
      <c r="K65" s="45"/>
      <c r="L65" s="45"/>
      <c r="M65" s="45"/>
      <c r="N65" s="45"/>
      <c r="O65" s="45"/>
    </row>
    <row r="66" spans="1:15" x14ac:dyDescent="0.25">
      <c r="C66" s="121" t="s">
        <v>63</v>
      </c>
      <c r="D66" s="3"/>
      <c r="E66" s="45"/>
      <c r="F66" s="45"/>
      <c r="G66" s="45"/>
      <c r="H66" s="45"/>
      <c r="I66" s="45"/>
      <c r="J66" s="45"/>
      <c r="K66" s="45"/>
      <c r="L66" s="45"/>
      <c r="M66" s="45"/>
      <c r="N66" s="45"/>
      <c r="O66" s="45"/>
    </row>
    <row r="67" spans="1:15" x14ac:dyDescent="0.25">
      <c r="B67" s="122" t="s">
        <v>64</v>
      </c>
      <c r="E67" s="2"/>
      <c r="F67" s="2"/>
      <c r="H67" s="123"/>
      <c r="I67" s="123"/>
      <c r="J67" s="2"/>
      <c r="L67" s="2"/>
      <c r="N67" s="2"/>
      <c r="O67" s="2"/>
    </row>
    <row r="68" spans="1:15" x14ac:dyDescent="0.25">
      <c r="A68" s="1" t="s">
        <v>65</v>
      </c>
      <c r="B68" s="122" t="s">
        <v>66</v>
      </c>
    </row>
    <row r="69" spans="1:15" x14ac:dyDescent="0.25">
      <c r="C69" s="124" t="s">
        <v>67</v>
      </c>
    </row>
    <row r="70" spans="1:15" x14ac:dyDescent="0.25">
      <c r="B70" s="122" t="s">
        <v>68</v>
      </c>
    </row>
    <row r="71" spans="1:15" x14ac:dyDescent="0.25">
      <c r="B71" s="122" t="s">
        <v>69</v>
      </c>
    </row>
    <row r="72" spans="1:15" x14ac:dyDescent="0.25">
      <c r="B72" s="122" t="s">
        <v>70</v>
      </c>
    </row>
    <row r="73" spans="1:15" x14ac:dyDescent="0.25">
      <c r="B73" s="122"/>
      <c r="C73" s="1" t="s">
        <v>71</v>
      </c>
    </row>
    <row r="74" spans="1:15" x14ac:dyDescent="0.25">
      <c r="C74" s="1" t="s">
        <v>72</v>
      </c>
    </row>
    <row r="75" spans="1:15" x14ac:dyDescent="0.25">
      <c r="C75" s="1" t="s">
        <v>73</v>
      </c>
    </row>
  </sheetData>
  <mergeCells count="1">
    <mergeCell ref="B3:O3"/>
  </mergeCells>
  <phoneticPr fontId="0"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zoomScale="75" workbookViewId="0">
      <selection sqref="A1:IV65536"/>
    </sheetView>
  </sheetViews>
  <sheetFormatPr defaultRowHeight="13.2" x14ac:dyDescent="0.25"/>
  <cols>
    <col min="1" max="1" width="27.6640625" bestFit="1" customWidth="1"/>
    <col min="2" max="2" width="12.88671875" bestFit="1" customWidth="1"/>
    <col min="3" max="3" width="7.44140625" customWidth="1"/>
    <col min="4" max="4" width="6.88671875" customWidth="1"/>
    <col min="5" max="5" width="6.109375" customWidth="1"/>
    <col min="6" max="6" width="2.5546875" customWidth="1"/>
    <col min="7" max="7" width="27.33203125" bestFit="1" customWidth="1"/>
    <col min="8" max="8" width="12.33203125" bestFit="1" customWidth="1"/>
    <col min="9" max="9" width="7.44140625" customWidth="1"/>
    <col min="10" max="10" width="5.6640625" customWidth="1"/>
    <col min="11" max="11" width="3.6640625" bestFit="1" customWidth="1"/>
    <col min="13" max="13" width="12.88671875" bestFit="1" customWidth="1"/>
    <col min="14" max="14" width="10.33203125" bestFit="1" customWidth="1"/>
    <col min="15" max="15" width="11.33203125" bestFit="1" customWidth="1"/>
  </cols>
  <sheetData>
    <row r="1" spans="1:15" ht="15.6" x14ac:dyDescent="0.3">
      <c r="A1" s="191" t="s">
        <v>74</v>
      </c>
      <c r="B1" s="191"/>
      <c r="C1" s="191"/>
      <c r="D1" s="191"/>
      <c r="E1" s="191"/>
      <c r="F1" s="191"/>
      <c r="G1" s="191"/>
      <c r="H1" s="192"/>
      <c r="I1" s="192"/>
      <c r="J1" s="192"/>
    </row>
    <row r="2" spans="1:15" ht="15" x14ac:dyDescent="0.25">
      <c r="A2" s="193" t="s">
        <v>75</v>
      </c>
      <c r="B2" s="193"/>
      <c r="C2" s="193"/>
      <c r="D2" s="193"/>
      <c r="E2" s="193"/>
      <c r="F2" s="193"/>
      <c r="G2" s="193"/>
      <c r="H2" s="192"/>
      <c r="I2" s="192"/>
      <c r="J2" s="192"/>
    </row>
    <row r="4" spans="1:15" x14ac:dyDescent="0.25">
      <c r="A4" s="194" t="s">
        <v>76</v>
      </c>
      <c r="B4" s="194"/>
      <c r="C4" s="195"/>
      <c r="D4" s="195"/>
      <c r="E4" s="127"/>
      <c r="F4" s="127"/>
      <c r="G4" s="194" t="s">
        <v>77</v>
      </c>
      <c r="H4" s="194"/>
      <c r="I4" s="195"/>
      <c r="J4" s="195"/>
    </row>
    <row r="5" spans="1:15" x14ac:dyDescent="0.25">
      <c r="B5" s="126" t="s">
        <v>78</v>
      </c>
      <c r="C5" s="126" t="s">
        <v>79</v>
      </c>
      <c r="D5" s="126" t="s">
        <v>80</v>
      </c>
      <c r="E5" s="128"/>
      <c r="F5" s="128"/>
      <c r="H5" s="126" t="s">
        <v>78</v>
      </c>
      <c r="I5" s="126" t="s">
        <v>79</v>
      </c>
      <c r="J5" s="126" t="s">
        <v>80</v>
      </c>
    </row>
    <row r="6" spans="1:15" ht="20.25" customHeight="1" x14ac:dyDescent="0.25">
      <c r="B6" s="128"/>
      <c r="C6" s="128"/>
      <c r="D6" s="127">
        <v>138</v>
      </c>
      <c r="E6" s="128"/>
      <c r="F6" s="128"/>
      <c r="J6">
        <v>164</v>
      </c>
    </row>
    <row r="7" spans="1:15" ht="18.75" customHeight="1" x14ac:dyDescent="0.25">
      <c r="A7" t="s">
        <v>81</v>
      </c>
      <c r="B7" s="129">
        <f>3000</f>
        <v>3000</v>
      </c>
      <c r="C7" s="130">
        <f t="shared" ref="C7:C39" si="0">+B7/B$40</f>
        <v>1.6844075015200375E-4</v>
      </c>
      <c r="D7" s="131">
        <f t="shared" ref="D7:D38" si="1">+C7*D$6</f>
        <v>2.3244823520976517E-2</v>
      </c>
      <c r="E7" s="129"/>
      <c r="F7" s="129"/>
      <c r="G7" t="s">
        <v>81</v>
      </c>
      <c r="H7" s="129">
        <v>0</v>
      </c>
      <c r="I7" s="130">
        <f t="shared" ref="I7:I23" si="2">+H7/H$40</f>
        <v>0</v>
      </c>
      <c r="J7" s="131">
        <f t="shared" ref="J7:J38" si="3">+I7*J$6</f>
        <v>0</v>
      </c>
      <c r="M7" s="132"/>
      <c r="N7" s="132"/>
      <c r="O7" s="132"/>
    </row>
    <row r="8" spans="1:15" x14ac:dyDescent="0.25">
      <c r="A8" t="s">
        <v>82</v>
      </c>
      <c r="B8" s="129">
        <f>996</f>
        <v>996</v>
      </c>
      <c r="C8" s="130">
        <f t="shared" si="0"/>
        <v>5.5922329050465245E-5</v>
      </c>
      <c r="D8" s="131">
        <f t="shared" si="1"/>
        <v>7.717281408964204E-3</v>
      </c>
      <c r="E8" s="129"/>
      <c r="F8" s="129"/>
      <c r="G8" t="s">
        <v>82</v>
      </c>
      <c r="H8" s="129">
        <v>0</v>
      </c>
      <c r="I8" s="130">
        <f t="shared" si="2"/>
        <v>0</v>
      </c>
      <c r="J8" s="131">
        <f t="shared" si="3"/>
        <v>0</v>
      </c>
      <c r="M8" s="132"/>
      <c r="N8" s="132"/>
      <c r="O8" s="132"/>
    </row>
    <row r="9" spans="1:15" x14ac:dyDescent="0.25">
      <c r="A9" t="s">
        <v>83</v>
      </c>
      <c r="B9" s="129">
        <f>3498</f>
        <v>3498</v>
      </c>
      <c r="C9" s="130">
        <f t="shared" si="0"/>
        <v>1.9640191467723637E-4</v>
      </c>
      <c r="D9" s="131">
        <f>+C9*D$6</f>
        <v>2.7103464225458618E-2</v>
      </c>
      <c r="E9" s="129"/>
      <c r="F9" s="129"/>
      <c r="G9" t="s">
        <v>83</v>
      </c>
      <c r="H9" s="129">
        <v>0</v>
      </c>
      <c r="I9" s="130">
        <f t="shared" si="2"/>
        <v>0</v>
      </c>
      <c r="J9" s="131">
        <f t="shared" si="3"/>
        <v>0</v>
      </c>
      <c r="M9" s="132"/>
      <c r="N9" s="132"/>
      <c r="O9" s="132"/>
    </row>
    <row r="10" spans="1:15" x14ac:dyDescent="0.25">
      <c r="A10" t="s">
        <v>84</v>
      </c>
      <c r="B10" s="129">
        <f>996</f>
        <v>996</v>
      </c>
      <c r="C10" s="130">
        <f t="shared" si="0"/>
        <v>5.5922329050465245E-5</v>
      </c>
      <c r="D10" s="131">
        <f>+C10*D$6</f>
        <v>7.717281408964204E-3</v>
      </c>
      <c r="E10" s="129"/>
      <c r="F10" s="129"/>
      <c r="G10" t="s">
        <v>84</v>
      </c>
      <c r="H10" s="129">
        <v>0</v>
      </c>
      <c r="I10" s="130">
        <f t="shared" si="2"/>
        <v>0</v>
      </c>
      <c r="J10" s="131">
        <f t="shared" si="3"/>
        <v>0</v>
      </c>
      <c r="M10" s="132"/>
      <c r="N10" s="132"/>
      <c r="O10" s="132"/>
    </row>
    <row r="11" spans="1:15" x14ac:dyDescent="0.25">
      <c r="A11" t="s">
        <v>85</v>
      </c>
      <c r="B11" s="129">
        <f>991613+401861+66243</f>
        <v>1459717</v>
      </c>
      <c r="C11" s="130">
        <f t="shared" si="0"/>
        <v>8.1958608829877475E-2</v>
      </c>
      <c r="D11" s="131">
        <f>+C11*D$6</f>
        <v>11.310288018523092</v>
      </c>
      <c r="E11" s="133"/>
      <c r="F11" s="133"/>
      <c r="G11" t="s">
        <v>85</v>
      </c>
      <c r="H11" s="129">
        <f>1658263+158587</f>
        <v>1816850</v>
      </c>
      <c r="I11" s="130">
        <f t="shared" si="2"/>
        <v>8.8997044819045981E-2</v>
      </c>
      <c r="J11" s="131">
        <f>+I11*J$6</f>
        <v>14.595515350323542</v>
      </c>
      <c r="M11" s="132"/>
      <c r="N11" s="132"/>
      <c r="O11" s="132"/>
    </row>
    <row r="12" spans="1:15" x14ac:dyDescent="0.25">
      <c r="A12" t="s">
        <v>86</v>
      </c>
      <c r="B12" s="129">
        <f>47004+109571</f>
        <v>156575</v>
      </c>
      <c r="C12" s="130">
        <f t="shared" si="0"/>
        <v>8.7912034850166614E-3</v>
      </c>
      <c r="D12" s="131">
        <f>+C12*D$6</f>
        <v>1.2131860809322992</v>
      </c>
      <c r="E12" s="129"/>
      <c r="F12" s="129"/>
      <c r="G12" t="s">
        <v>86</v>
      </c>
      <c r="H12" s="129">
        <v>1200000</v>
      </c>
      <c r="I12" s="130">
        <f t="shared" si="2"/>
        <v>5.8781106741258318E-2</v>
      </c>
      <c r="J12" s="131">
        <f t="shared" si="3"/>
        <v>9.6401015055663635</v>
      </c>
      <c r="M12" s="132"/>
      <c r="N12" s="132"/>
      <c r="O12" s="132"/>
    </row>
    <row r="13" spans="1:15" x14ac:dyDescent="0.25">
      <c r="A13" t="s">
        <v>87</v>
      </c>
      <c r="B13" s="134">
        <f>99996</f>
        <v>99996</v>
      </c>
      <c r="C13" s="130">
        <f t="shared" si="0"/>
        <v>5.6144670840665885E-3</v>
      </c>
      <c r="D13" s="131">
        <f>+C13*D$6</f>
        <v>0.7747964576011892</v>
      </c>
      <c r="E13" s="129"/>
      <c r="F13" s="129"/>
      <c r="G13" t="s">
        <v>87</v>
      </c>
      <c r="H13" s="129">
        <v>0</v>
      </c>
      <c r="I13" s="130">
        <f t="shared" si="2"/>
        <v>0</v>
      </c>
      <c r="J13" s="131">
        <f t="shared" si="3"/>
        <v>0</v>
      </c>
      <c r="K13" s="135"/>
      <c r="M13" s="132"/>
      <c r="N13" s="132"/>
      <c r="O13" s="132"/>
    </row>
    <row r="14" spans="1:15" x14ac:dyDescent="0.25">
      <c r="A14" t="s">
        <v>88</v>
      </c>
      <c r="B14" s="129">
        <f>11988</f>
        <v>11988</v>
      </c>
      <c r="C14" s="130">
        <f t="shared" si="0"/>
        <v>6.7308923760740693E-4</v>
      </c>
      <c r="D14" s="131">
        <f t="shared" si="1"/>
        <v>9.288631478982215E-2</v>
      </c>
      <c r="E14" s="129"/>
      <c r="F14" s="129"/>
      <c r="G14" t="s">
        <v>88</v>
      </c>
      <c r="H14" s="129">
        <v>0</v>
      </c>
      <c r="I14" s="130">
        <f t="shared" si="2"/>
        <v>0</v>
      </c>
      <c r="J14" s="131">
        <f t="shared" si="3"/>
        <v>0</v>
      </c>
      <c r="K14" s="135"/>
      <c r="M14" s="132"/>
      <c r="N14" s="132"/>
      <c r="O14" s="132"/>
    </row>
    <row r="15" spans="1:15" x14ac:dyDescent="0.25">
      <c r="A15" t="s">
        <v>89</v>
      </c>
      <c r="B15" s="129">
        <v>68004</v>
      </c>
      <c r="C15" s="130">
        <f t="shared" si="0"/>
        <v>3.8182149244456206E-3</v>
      </c>
      <c r="D15" s="131">
        <f>+C15*D$6</f>
        <v>0.52691365957349567</v>
      </c>
      <c r="E15" s="129"/>
      <c r="F15" s="129"/>
      <c r="G15" t="s">
        <v>89</v>
      </c>
      <c r="H15" s="129">
        <v>101948</v>
      </c>
      <c r="I15" s="130">
        <f t="shared" si="2"/>
        <v>4.9938468917148362E-3</v>
      </c>
      <c r="J15" s="131">
        <f t="shared" si="3"/>
        <v>0.81899089024123317</v>
      </c>
      <c r="K15" s="135"/>
      <c r="M15" s="132"/>
      <c r="N15" s="132"/>
      <c r="O15" s="132"/>
    </row>
    <row r="16" spans="1:15" x14ac:dyDescent="0.25">
      <c r="A16" t="s">
        <v>90</v>
      </c>
      <c r="B16" s="134">
        <f>18000+44394</f>
        <v>62394</v>
      </c>
      <c r="C16" s="130">
        <f t="shared" si="0"/>
        <v>3.5032307216613739E-3</v>
      </c>
      <c r="D16" s="131">
        <f>+C16*D$6+0.03</f>
        <v>0.51344583958926959</v>
      </c>
      <c r="E16" s="129"/>
      <c r="F16" s="129"/>
      <c r="G16" t="s">
        <v>90</v>
      </c>
      <c r="H16" s="129">
        <v>792706</v>
      </c>
      <c r="I16" s="130">
        <f t="shared" si="2"/>
        <v>3.8830113333696598E-2</v>
      </c>
      <c r="J16" s="131">
        <f t="shared" si="3"/>
        <v>6.3681385867262419</v>
      </c>
      <c r="K16" s="135"/>
      <c r="M16" s="132"/>
      <c r="N16" s="132"/>
      <c r="O16" s="132"/>
    </row>
    <row r="17" spans="1:15" x14ac:dyDescent="0.25">
      <c r="A17" t="s">
        <v>91</v>
      </c>
      <c r="B17" s="129">
        <f>60996+3953519</f>
        <v>4014515</v>
      </c>
      <c r="C17" s="130">
        <f t="shared" si="0"/>
        <v>0.22540263936549043</v>
      </c>
      <c r="D17" s="136">
        <f>+C17*D$6</f>
        <v>31.105564232437679</v>
      </c>
      <c r="E17" s="129"/>
      <c r="F17" s="129"/>
      <c r="G17" t="s">
        <v>91</v>
      </c>
      <c r="H17" s="129">
        <v>5123679</v>
      </c>
      <c r="I17" s="130">
        <f t="shared" si="2"/>
        <v>0.25097960183911977</v>
      </c>
      <c r="J17" s="131">
        <f t="shared" si="3"/>
        <v>41.160654701615641</v>
      </c>
      <c r="K17" s="135"/>
      <c r="M17" s="132"/>
      <c r="N17" s="132"/>
      <c r="O17" s="132"/>
    </row>
    <row r="18" spans="1:15" x14ac:dyDescent="0.25">
      <c r="A18" t="s">
        <v>92</v>
      </c>
      <c r="B18" s="129">
        <f>293501+58140</f>
        <v>351641</v>
      </c>
      <c r="C18" s="130">
        <f t="shared" si="0"/>
        <v>1.9743557941400248E-2</v>
      </c>
      <c r="D18" s="136">
        <f>+C18*D$6</f>
        <v>2.7246109959132343</v>
      </c>
      <c r="E18" s="129"/>
      <c r="F18" s="129"/>
      <c r="G18" t="s">
        <v>92</v>
      </c>
      <c r="H18" s="129">
        <v>108745</v>
      </c>
      <c r="I18" s="130">
        <f t="shared" si="2"/>
        <v>5.3267928771484471E-3</v>
      </c>
      <c r="J18" s="131">
        <f t="shared" si="3"/>
        <v>0.8735940318523453</v>
      </c>
      <c r="K18" s="135"/>
      <c r="M18" s="132"/>
      <c r="N18" s="132"/>
      <c r="O18" s="132"/>
    </row>
    <row r="19" spans="1:15" x14ac:dyDescent="0.25">
      <c r="A19" t="s">
        <v>93</v>
      </c>
      <c r="B19" s="129">
        <f>25982</f>
        <v>25982</v>
      </c>
      <c r="C19" s="130">
        <f t="shared" si="0"/>
        <v>1.4588091901497871E-3</v>
      </c>
      <c r="D19" s="131">
        <f t="shared" si="1"/>
        <v>0.20131566824067063</v>
      </c>
      <c r="E19" s="129"/>
      <c r="F19" s="129"/>
      <c r="G19" t="s">
        <v>93</v>
      </c>
      <c r="H19" s="129">
        <v>0</v>
      </c>
      <c r="I19" s="130">
        <f t="shared" si="2"/>
        <v>0</v>
      </c>
      <c r="J19" s="131">
        <f t="shared" si="3"/>
        <v>0</v>
      </c>
      <c r="K19" s="135"/>
      <c r="M19" s="132"/>
      <c r="N19" s="132"/>
      <c r="O19" s="132"/>
    </row>
    <row r="20" spans="1:15" x14ac:dyDescent="0.25">
      <c r="A20" t="s">
        <v>94</v>
      </c>
      <c r="B20" s="129">
        <f>10370</f>
        <v>10370</v>
      </c>
      <c r="C20" s="130">
        <f t="shared" si="0"/>
        <v>5.8224352635875961E-4</v>
      </c>
      <c r="D20" s="131">
        <f t="shared" si="1"/>
        <v>8.0349606637508827E-2</v>
      </c>
      <c r="E20" s="129"/>
      <c r="F20" s="129"/>
      <c r="G20" t="s">
        <v>94</v>
      </c>
      <c r="H20" s="129">
        <f>16724</f>
        <v>16724</v>
      </c>
      <c r="I20" s="130">
        <f t="shared" si="2"/>
        <v>8.192126909506701E-4</v>
      </c>
      <c r="J20" s="131">
        <f t="shared" si="3"/>
        <v>0.13435088131590989</v>
      </c>
      <c r="K20" s="135"/>
      <c r="M20" s="132"/>
      <c r="N20" s="132"/>
      <c r="O20" s="132"/>
    </row>
    <row r="21" spans="1:15" x14ac:dyDescent="0.25">
      <c r="A21" t="s">
        <v>95</v>
      </c>
      <c r="B21" s="129">
        <f>5004</f>
        <v>5004</v>
      </c>
      <c r="C21" s="130">
        <f t="shared" si="0"/>
        <v>2.8095917125354222E-4</v>
      </c>
      <c r="D21" s="131">
        <f t="shared" si="1"/>
        <v>3.8772365632988824E-2</v>
      </c>
      <c r="E21" s="129"/>
      <c r="F21" s="129"/>
      <c r="G21" t="s">
        <v>95</v>
      </c>
      <c r="H21" s="129">
        <v>0</v>
      </c>
      <c r="I21" s="130">
        <f t="shared" si="2"/>
        <v>0</v>
      </c>
      <c r="J21" s="131">
        <f t="shared" si="3"/>
        <v>0</v>
      </c>
      <c r="K21" s="135"/>
      <c r="M21" s="132"/>
      <c r="N21" s="132"/>
      <c r="O21" s="132"/>
    </row>
    <row r="22" spans="1:15" x14ac:dyDescent="0.25">
      <c r="A22" t="s">
        <v>96</v>
      </c>
      <c r="B22" s="129">
        <f>3000+129816</f>
        <v>132816</v>
      </c>
      <c r="C22" s="130">
        <f t="shared" si="0"/>
        <v>7.45720889072951E-3</v>
      </c>
      <c r="D22" s="131">
        <f>+C22*D$6</f>
        <v>1.0290948269206723</v>
      </c>
      <c r="E22" s="129"/>
      <c r="F22" s="129"/>
      <c r="G22" t="s">
        <v>96</v>
      </c>
      <c r="H22" s="129">
        <v>0</v>
      </c>
      <c r="I22" s="130">
        <f t="shared" si="2"/>
        <v>0</v>
      </c>
      <c r="J22" s="131">
        <f t="shared" si="3"/>
        <v>0</v>
      </c>
      <c r="K22" s="135"/>
      <c r="M22" s="132"/>
      <c r="N22" s="132"/>
      <c r="O22" s="132"/>
    </row>
    <row r="23" spans="1:15" x14ac:dyDescent="0.25">
      <c r="A23" t="s">
        <v>97</v>
      </c>
      <c r="B23" s="129">
        <f>18996+891107+112635</f>
        <v>1022738</v>
      </c>
      <c r="C23" s="130">
        <f t="shared" si="0"/>
        <v>5.7423585309653337E-2</v>
      </c>
      <c r="D23" s="131">
        <f t="shared" si="1"/>
        <v>7.9244547727321608</v>
      </c>
      <c r="E23" s="129"/>
      <c r="F23" s="129"/>
      <c r="G23" t="s">
        <v>97</v>
      </c>
      <c r="H23" s="129">
        <v>1487661</v>
      </c>
      <c r="I23" s="130">
        <f t="shared" si="2"/>
        <v>7.2871966696505919E-2</v>
      </c>
      <c r="J23" s="131">
        <f t="shared" si="3"/>
        <v>11.951002538226971</v>
      </c>
      <c r="K23" s="135"/>
      <c r="M23" s="132"/>
      <c r="N23" s="132"/>
      <c r="O23" s="132"/>
    </row>
    <row r="24" spans="1:15" x14ac:dyDescent="0.25">
      <c r="A24" t="s">
        <v>98</v>
      </c>
      <c r="B24" s="129">
        <f>5004+810548+70578</f>
        <v>886130</v>
      </c>
      <c r="C24" s="130">
        <f t="shared" si="0"/>
        <v>4.9753467310731693E-2</v>
      </c>
      <c r="D24" s="131">
        <f t="shared" si="1"/>
        <v>6.8659784888809741</v>
      </c>
      <c r="E24" s="129"/>
      <c r="F24" s="129"/>
      <c r="G24" t="s">
        <v>98</v>
      </c>
      <c r="H24" s="129">
        <v>922323</v>
      </c>
      <c r="I24" s="130">
        <f>+H24/H$40</f>
        <v>4.5179305594097996E-2</v>
      </c>
      <c r="J24" s="131">
        <f t="shared" si="3"/>
        <v>7.4094061174320718</v>
      </c>
      <c r="K24" s="135"/>
      <c r="M24" s="132"/>
      <c r="N24" s="132"/>
      <c r="O24" s="132"/>
    </row>
    <row r="25" spans="1:15" x14ac:dyDescent="0.25">
      <c r="A25" t="s">
        <v>99</v>
      </c>
      <c r="B25" s="129">
        <f>498</f>
        <v>498</v>
      </c>
      <c r="C25" s="130">
        <f t="shared" si="0"/>
        <v>2.7961164525232622E-5</v>
      </c>
      <c r="D25" s="131">
        <f t="shared" si="1"/>
        <v>3.858640704482102E-3</v>
      </c>
      <c r="E25" s="129"/>
      <c r="F25" s="129"/>
      <c r="G25" t="s">
        <v>99</v>
      </c>
      <c r="H25" s="129">
        <v>0</v>
      </c>
      <c r="I25" s="130">
        <f>+H25/H$40</f>
        <v>0</v>
      </c>
      <c r="J25" s="131">
        <f t="shared" si="3"/>
        <v>0</v>
      </c>
      <c r="K25" s="129"/>
      <c r="M25" s="132"/>
      <c r="N25" s="132"/>
      <c r="O25" s="132"/>
    </row>
    <row r="26" spans="1:15" x14ac:dyDescent="0.25">
      <c r="A26" s="137" t="s">
        <v>100</v>
      </c>
      <c r="B26" s="138">
        <f>66996+4552197+208249-2</f>
        <v>4827440</v>
      </c>
      <c r="C26" s="139">
        <f t="shared" si="0"/>
        <v>0.27104587163792965</v>
      </c>
      <c r="D26" s="140">
        <f t="shared" si="1"/>
        <v>37.404330286034295</v>
      </c>
      <c r="E26" s="137"/>
      <c r="F26" s="137"/>
      <c r="G26" s="137" t="s">
        <v>100</v>
      </c>
      <c r="H26" s="138">
        <f>2772958+0.4</f>
        <v>2772958.4</v>
      </c>
      <c r="I26" s="141">
        <f>+H26/H$40</f>
        <v>0.13583130308289074</v>
      </c>
      <c r="J26" s="142">
        <f t="shared" si="3"/>
        <v>22.27633370559408</v>
      </c>
      <c r="K26" s="129"/>
      <c r="M26" s="132"/>
      <c r="N26" s="132"/>
      <c r="O26" s="132"/>
    </row>
    <row r="27" spans="1:15" x14ac:dyDescent="0.25">
      <c r="A27" t="s">
        <v>101</v>
      </c>
      <c r="B27" s="135">
        <f>30000+457717+3779417</f>
        <v>4267134</v>
      </c>
      <c r="C27" s="130">
        <f t="shared" si="0"/>
        <v>0.23958641731970678</v>
      </c>
      <c r="D27" s="131">
        <f t="shared" si="1"/>
        <v>33.062925590119534</v>
      </c>
      <c r="E27" s="135"/>
      <c r="F27" s="135"/>
      <c r="G27" t="s">
        <v>101</v>
      </c>
      <c r="H27" s="129">
        <f>5642824+0.4</f>
        <v>5642824.4000000004</v>
      </c>
      <c r="I27" s="130">
        <f t="shared" ref="I27:I39" si="4">+H27/H$40</f>
        <v>0.2764095528154808</v>
      </c>
      <c r="J27" s="131">
        <f t="shared" si="3"/>
        <v>45.331166661738848</v>
      </c>
      <c r="K27" s="129"/>
      <c r="M27" s="132"/>
      <c r="N27" s="132"/>
      <c r="O27" s="132"/>
    </row>
    <row r="28" spans="1:15" x14ac:dyDescent="0.25">
      <c r="A28" t="s">
        <v>102</v>
      </c>
      <c r="B28" s="129">
        <f>34286</f>
        <v>34286</v>
      </c>
      <c r="C28" s="130">
        <f t="shared" si="0"/>
        <v>1.9250531865705335E-3</v>
      </c>
      <c r="D28" s="131">
        <f t="shared" si="1"/>
        <v>0.26565733974673361</v>
      </c>
      <c r="E28" s="129"/>
      <c r="F28" s="129"/>
      <c r="G28" t="s">
        <v>102</v>
      </c>
      <c r="H28" s="129">
        <f>165015</f>
        <v>165015</v>
      </c>
      <c r="I28" s="130">
        <f t="shared" si="4"/>
        <v>8.0831369407572858E-3</v>
      </c>
      <c r="J28" s="131">
        <f t="shared" si="3"/>
        <v>1.3256344582841948</v>
      </c>
      <c r="K28" s="135"/>
      <c r="M28" s="132"/>
      <c r="N28" s="132"/>
      <c r="O28" s="132"/>
    </row>
    <row r="29" spans="1:15" x14ac:dyDescent="0.25">
      <c r="A29" t="s">
        <v>103</v>
      </c>
      <c r="B29" s="129">
        <f>32004</f>
        <v>32004</v>
      </c>
      <c r="C29" s="130">
        <f t="shared" si="0"/>
        <v>1.7969259226215759E-3</v>
      </c>
      <c r="D29" s="131">
        <f t="shared" si="1"/>
        <v>0.24797577732177747</v>
      </c>
      <c r="E29" s="129"/>
      <c r="F29" s="129"/>
      <c r="G29" t="s">
        <v>103</v>
      </c>
      <c r="H29" s="129">
        <v>0</v>
      </c>
      <c r="I29" s="130">
        <f t="shared" si="4"/>
        <v>0</v>
      </c>
      <c r="J29" s="131">
        <f t="shared" si="3"/>
        <v>0</v>
      </c>
      <c r="K29" s="135"/>
    </row>
    <row r="30" spans="1:15" x14ac:dyDescent="0.25">
      <c r="A30" t="s">
        <v>104</v>
      </c>
      <c r="B30" s="129">
        <f>9000+134730+16825</f>
        <v>160555</v>
      </c>
      <c r="C30" s="130">
        <f t="shared" si="0"/>
        <v>9.0146682135516538E-3</v>
      </c>
      <c r="D30" s="131">
        <f t="shared" si="1"/>
        <v>1.2440242134701283</v>
      </c>
      <c r="E30" s="129"/>
      <c r="F30" s="129"/>
      <c r="G30" t="s">
        <v>104</v>
      </c>
      <c r="H30" s="135">
        <f>195323</f>
        <v>195323</v>
      </c>
      <c r="I30" s="130">
        <f t="shared" si="4"/>
        <v>9.5677517600189985E-3</v>
      </c>
      <c r="J30" s="131">
        <f t="shared" si="3"/>
        <v>1.5691112886431158</v>
      </c>
      <c r="K30" s="129"/>
    </row>
    <row r="31" spans="1:15" x14ac:dyDescent="0.25">
      <c r="A31" t="s">
        <v>105</v>
      </c>
      <c r="B31" s="129">
        <f>12000</f>
        <v>12000</v>
      </c>
      <c r="C31" s="130">
        <f t="shared" si="0"/>
        <v>6.7376300060801501E-4</v>
      </c>
      <c r="D31" s="131">
        <f t="shared" si="1"/>
        <v>9.2979294083906067E-2</v>
      </c>
      <c r="E31" s="133"/>
      <c r="F31" s="133"/>
      <c r="G31" t="s">
        <v>105</v>
      </c>
      <c r="H31" s="129">
        <v>0</v>
      </c>
      <c r="I31" s="130">
        <f t="shared" si="4"/>
        <v>0</v>
      </c>
      <c r="J31" s="131">
        <f t="shared" si="3"/>
        <v>0</v>
      </c>
      <c r="K31" s="129"/>
    </row>
    <row r="32" spans="1:15" x14ac:dyDescent="0.25">
      <c r="A32" t="s">
        <v>106</v>
      </c>
      <c r="B32" s="129">
        <f>3996</f>
        <v>3996</v>
      </c>
      <c r="C32" s="130">
        <f t="shared" si="0"/>
        <v>2.2436307920246898E-4</v>
      </c>
      <c r="D32" s="131">
        <f>+C32*D$6</f>
        <v>3.0962104929940719E-2</v>
      </c>
      <c r="E32" s="129"/>
      <c r="F32" s="129"/>
      <c r="G32" t="s">
        <v>106</v>
      </c>
      <c r="H32" s="129">
        <v>0</v>
      </c>
      <c r="I32" s="130">
        <f t="shared" si="4"/>
        <v>0</v>
      </c>
      <c r="J32" s="131">
        <f t="shared" si="3"/>
        <v>0</v>
      </c>
      <c r="K32" s="135"/>
    </row>
    <row r="33" spans="1:11" x14ac:dyDescent="0.25">
      <c r="A33" t="s">
        <v>107</v>
      </c>
      <c r="B33" s="129">
        <f>14004</f>
        <v>14004</v>
      </c>
      <c r="C33" s="130">
        <f t="shared" si="0"/>
        <v>7.8628142170955346E-4</v>
      </c>
      <c r="D33" s="131">
        <f t="shared" si="1"/>
        <v>0.10850683619591837</v>
      </c>
      <c r="E33" s="129"/>
      <c r="F33" s="129"/>
      <c r="G33" t="s">
        <v>107</v>
      </c>
      <c r="H33" s="129">
        <v>0</v>
      </c>
      <c r="I33" s="130">
        <f t="shared" si="4"/>
        <v>0</v>
      </c>
      <c r="J33" s="131">
        <f t="shared" si="3"/>
        <v>0</v>
      </c>
      <c r="K33" s="135"/>
    </row>
    <row r="34" spans="1:11" x14ac:dyDescent="0.25">
      <c r="A34" t="s">
        <v>108</v>
      </c>
      <c r="B34" s="129">
        <f>14004+59136</f>
        <v>73140</v>
      </c>
      <c r="C34" s="130">
        <f>+B34/B$40+0.002</f>
        <v>6.1065854887058513E-3</v>
      </c>
      <c r="D34" s="136">
        <f>+C34*D$6</f>
        <v>0.84270879744140748</v>
      </c>
      <c r="E34" s="143"/>
      <c r="F34" s="143"/>
      <c r="G34" t="s">
        <v>108</v>
      </c>
      <c r="H34" s="129">
        <v>0</v>
      </c>
      <c r="I34" s="130">
        <f t="shared" si="4"/>
        <v>0</v>
      </c>
      <c r="J34" s="131">
        <f>+I34*J$6</f>
        <v>0</v>
      </c>
      <c r="K34" s="135"/>
    </row>
    <row r="35" spans="1:11" x14ac:dyDescent="0.25">
      <c r="A35" t="s">
        <v>109</v>
      </c>
      <c r="B35" s="129">
        <f>47004</f>
        <v>47004</v>
      </c>
      <c r="C35" s="130">
        <f t="shared" si="0"/>
        <v>2.6391296733815944E-3</v>
      </c>
      <c r="D35" s="131">
        <f>+C35*D$6+0.2</f>
        <v>0.56419989492666001</v>
      </c>
      <c r="E35" s="129"/>
      <c r="F35" s="129"/>
      <c r="G35" t="s">
        <v>109</v>
      </c>
      <c r="H35" s="129">
        <v>0</v>
      </c>
      <c r="I35" s="130">
        <f t="shared" si="4"/>
        <v>0</v>
      </c>
      <c r="J35" s="131">
        <f t="shared" si="3"/>
        <v>0</v>
      </c>
    </row>
    <row r="36" spans="1:11" x14ac:dyDescent="0.25">
      <c r="A36" t="s">
        <v>110</v>
      </c>
      <c r="B36" s="129">
        <f>6996</f>
        <v>6996</v>
      </c>
      <c r="C36" s="130">
        <f t="shared" si="0"/>
        <v>3.9280382935447274E-4</v>
      </c>
      <c r="D36" s="131">
        <f t="shared" si="1"/>
        <v>5.4206928450917236E-2</v>
      </c>
      <c r="E36" s="129"/>
      <c r="F36" s="129"/>
      <c r="G36" t="s">
        <v>110</v>
      </c>
      <c r="H36" s="129">
        <v>0</v>
      </c>
      <c r="I36" s="130">
        <f t="shared" si="4"/>
        <v>0</v>
      </c>
      <c r="J36" s="131">
        <f t="shared" si="3"/>
        <v>0</v>
      </c>
    </row>
    <row r="37" spans="1:11" x14ac:dyDescent="0.25">
      <c r="A37" t="s">
        <v>111</v>
      </c>
      <c r="B37" s="129">
        <f>9000</f>
        <v>9000</v>
      </c>
      <c r="C37" s="130">
        <f t="shared" si="0"/>
        <v>5.0532225045601118E-4</v>
      </c>
      <c r="D37" s="131">
        <f t="shared" si="1"/>
        <v>6.9734470562929543E-2</v>
      </c>
      <c r="E37" s="129"/>
      <c r="F37" s="129"/>
      <c r="G37" t="s">
        <v>111</v>
      </c>
      <c r="H37" s="129">
        <v>0</v>
      </c>
      <c r="I37" s="130">
        <f t="shared" si="4"/>
        <v>0</v>
      </c>
      <c r="J37" s="131">
        <f t="shared" si="3"/>
        <v>0</v>
      </c>
    </row>
    <row r="38" spans="1:11" x14ac:dyDescent="0.25">
      <c r="A38" t="s">
        <v>112</v>
      </c>
      <c r="B38" s="129">
        <f>6000</f>
        <v>6000</v>
      </c>
      <c r="C38" s="130">
        <f t="shared" si="0"/>
        <v>3.3688150030400751E-4</v>
      </c>
      <c r="D38" s="131">
        <f t="shared" si="1"/>
        <v>4.6489647041953033E-2</v>
      </c>
      <c r="E38" s="133"/>
      <c r="F38" s="133"/>
      <c r="G38" t="s">
        <v>112</v>
      </c>
      <c r="H38" s="129">
        <v>0</v>
      </c>
      <c r="I38" s="130">
        <f t="shared" si="4"/>
        <v>0</v>
      </c>
      <c r="J38" s="131">
        <f t="shared" si="3"/>
        <v>0</v>
      </c>
    </row>
    <row r="39" spans="1:11" x14ac:dyDescent="0.25">
      <c r="A39" t="s">
        <v>113</v>
      </c>
      <c r="B39" s="144">
        <v>0</v>
      </c>
      <c r="C39" s="145">
        <f t="shared" si="0"/>
        <v>0</v>
      </c>
      <c r="D39" s="146">
        <f>+C39*D$6</f>
        <v>0</v>
      </c>
      <c r="E39" s="129"/>
      <c r="F39" s="129"/>
      <c r="G39" t="s">
        <v>113</v>
      </c>
      <c r="H39" s="144">
        <v>67966</v>
      </c>
      <c r="I39" s="145">
        <f t="shared" si="4"/>
        <v>3.3292639173136359E-3</v>
      </c>
      <c r="J39" s="146">
        <f>+I39*J$6</f>
        <v>0.5459992824394363</v>
      </c>
    </row>
    <row r="40" spans="1:11" x14ac:dyDescent="0.25">
      <c r="A40" t="s">
        <v>114</v>
      </c>
      <c r="B40" s="129">
        <f>SUM(B7:B39)</f>
        <v>17810417</v>
      </c>
      <c r="C40" s="130">
        <f>SUM(C7:C39)</f>
        <v>1.0020000000000004</v>
      </c>
      <c r="D40" s="147">
        <f>SUM(D7:D39)-0.5</f>
        <v>138.00600000000003</v>
      </c>
      <c r="E40" s="129"/>
      <c r="F40" s="129"/>
      <c r="G40" t="s">
        <v>115</v>
      </c>
      <c r="H40" s="129">
        <f>SUM(H7:H39)</f>
        <v>20414722.800000001</v>
      </c>
      <c r="I40" s="130">
        <f>SUM(I7:I39)</f>
        <v>0.99999999999999989</v>
      </c>
      <c r="J40" s="147">
        <f>SUM(J7:J39)</f>
        <v>164</v>
      </c>
    </row>
    <row r="41" spans="1:11" x14ac:dyDescent="0.25">
      <c r="B41" s="129"/>
      <c r="C41" s="130"/>
      <c r="D41" s="147"/>
      <c r="E41" s="129"/>
      <c r="F41" s="129"/>
      <c r="H41" s="129"/>
      <c r="I41" s="130"/>
      <c r="J41" s="147"/>
    </row>
    <row r="42" spans="1:11" x14ac:dyDescent="0.25">
      <c r="A42" s="148" t="s">
        <v>116</v>
      </c>
      <c r="B42" s="132"/>
      <c r="D42" s="147">
        <f>+D40-D26</f>
        <v>100.60166971396573</v>
      </c>
      <c r="G42" s="148" t="s">
        <v>116</v>
      </c>
      <c r="H42" s="132"/>
      <c r="J42" s="147">
        <f>J40-J26</f>
        <v>141.72366629440592</v>
      </c>
    </row>
    <row r="43" spans="1:11" x14ac:dyDescent="0.25">
      <c r="A43" s="148" t="s">
        <v>117</v>
      </c>
      <c r="D43" s="147">
        <f>D26</f>
        <v>37.404330286034295</v>
      </c>
      <c r="G43" s="148" t="s">
        <v>117</v>
      </c>
      <c r="J43" s="147">
        <f>J26</f>
        <v>22.27633370559408</v>
      </c>
    </row>
    <row r="46" spans="1:11" x14ac:dyDescent="0.25">
      <c r="A46" s="132" t="s">
        <v>118</v>
      </c>
      <c r="B46" s="132"/>
      <c r="H46" s="132"/>
    </row>
    <row r="47" spans="1:11" x14ac:dyDescent="0.25">
      <c r="A47" t="s">
        <v>119</v>
      </c>
      <c r="B47" s="149"/>
      <c r="H47" s="149"/>
    </row>
    <row r="49" spans="1:1" x14ac:dyDescent="0.25">
      <c r="A49" s="150"/>
    </row>
    <row r="50" spans="1:1" x14ac:dyDescent="0.25">
      <c r="A50" s="151"/>
    </row>
    <row r="51" spans="1:1" x14ac:dyDescent="0.25">
      <c r="A51" s="152"/>
    </row>
    <row r="52" spans="1:1" x14ac:dyDescent="0.25">
      <c r="A52" s="152"/>
    </row>
    <row r="53" spans="1:1" x14ac:dyDescent="0.25">
      <c r="A53" s="152"/>
    </row>
    <row r="54" spans="1:1" x14ac:dyDescent="0.25">
      <c r="A54" s="152"/>
    </row>
  </sheetData>
  <mergeCells count="4">
    <mergeCell ref="A1:J1"/>
    <mergeCell ref="A2:J2"/>
    <mergeCell ref="A4:D4"/>
    <mergeCell ref="G4:J4"/>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1"/>
  <sheetViews>
    <sheetView zoomScale="75" workbookViewId="0"/>
  </sheetViews>
  <sheetFormatPr defaultColWidth="9.109375" defaultRowHeight="13.8" x14ac:dyDescent="0.25"/>
  <cols>
    <col min="1" max="1" width="16.6640625" style="176" customWidth="1"/>
    <col min="2" max="2" width="13.6640625" style="176" customWidth="1"/>
    <col min="3" max="3" width="12.109375" style="163" bestFit="1" customWidth="1"/>
    <col min="4" max="4" width="12.109375" style="163" customWidth="1"/>
    <col min="5" max="5" width="14" style="163" customWidth="1"/>
    <col min="6" max="7" width="13.109375" style="163" customWidth="1"/>
    <col min="8" max="8" width="12.88671875" style="163" bestFit="1" customWidth="1"/>
    <col min="9" max="9" width="13.109375" style="163" customWidth="1"/>
    <col min="10" max="10" width="11.6640625" style="163" bestFit="1" customWidth="1"/>
    <col min="11" max="11" width="15.109375" style="163" customWidth="1"/>
    <col min="12" max="12" width="13.44140625" style="163" bestFit="1" customWidth="1"/>
    <col min="13" max="13" width="10.6640625" style="163" customWidth="1"/>
    <col min="14" max="14" width="11.6640625" style="163" bestFit="1" customWidth="1"/>
    <col min="15" max="15" width="13.44140625" style="163" bestFit="1" customWidth="1"/>
    <col min="16" max="16" width="11.6640625" style="163" bestFit="1" customWidth="1"/>
    <col min="17" max="17" width="16.109375" style="163" customWidth="1"/>
    <col min="18" max="18" width="9.109375" style="164"/>
    <col min="19" max="19" width="9.109375" style="163"/>
    <col min="20" max="20" width="15.33203125" style="163" customWidth="1"/>
    <col min="21" max="21" width="9.109375" style="164"/>
    <col min="22" max="22" width="9.109375" style="163"/>
    <col min="23" max="23" width="15.5546875" style="163" customWidth="1"/>
    <col min="24" max="16384" width="9.109375" style="163"/>
  </cols>
  <sheetData>
    <row r="1" spans="1:21" s="156" customFormat="1" ht="41.4" x14ac:dyDescent="0.25">
      <c r="A1" s="153" t="s">
        <v>120</v>
      </c>
      <c r="B1" s="153" t="s">
        <v>121</v>
      </c>
      <c r="C1" s="153" t="s">
        <v>122</v>
      </c>
      <c r="D1" s="153" t="s">
        <v>123</v>
      </c>
      <c r="E1" s="153" t="s">
        <v>124</v>
      </c>
      <c r="F1" s="153" t="s">
        <v>125</v>
      </c>
      <c r="G1" s="153" t="s">
        <v>126</v>
      </c>
      <c r="H1" s="153" t="s">
        <v>127</v>
      </c>
      <c r="I1" s="153" t="s">
        <v>128</v>
      </c>
      <c r="J1" s="154" t="s">
        <v>129</v>
      </c>
      <c r="K1" s="154" t="s">
        <v>130</v>
      </c>
      <c r="L1" s="155" t="s">
        <v>131</v>
      </c>
      <c r="M1" s="154" t="s">
        <v>132</v>
      </c>
      <c r="N1" s="154" t="s">
        <v>133</v>
      </c>
      <c r="O1" s="155" t="s">
        <v>134</v>
      </c>
      <c r="R1" s="157"/>
      <c r="U1" s="157"/>
    </row>
    <row r="2" spans="1:21" ht="15.75" customHeight="1" x14ac:dyDescent="0.25">
      <c r="A2" s="158" t="s">
        <v>135</v>
      </c>
      <c r="B2" s="159">
        <v>1117</v>
      </c>
      <c r="C2" s="160">
        <f>(+D2/$D$19*$C$19)+43259+0.4</f>
        <v>335373.48155519227</v>
      </c>
      <c r="D2" s="160">
        <f>814848-60000-96000</f>
        <v>658848</v>
      </c>
      <c r="E2" s="160">
        <f>+B2/$B$20*$E$19</f>
        <v>42492.102594339623</v>
      </c>
      <c r="F2" s="160">
        <f>+[2]Sheet2!H2*$F$23</f>
        <v>237577.58304869349</v>
      </c>
      <c r="G2" s="160">
        <f>+[2]Sheet2!E2*$G$23</f>
        <v>383101.59605911328</v>
      </c>
      <c r="H2" s="160">
        <f>+[2]Sheet2!B2*$H$19</f>
        <v>524454.64695817488</v>
      </c>
      <c r="I2" s="160">
        <f>55189-0.4</f>
        <v>55188.6</v>
      </c>
      <c r="J2" s="161">
        <f>(+B2/($B$17)*$J$21)</f>
        <v>97007.098902270067</v>
      </c>
      <c r="K2" s="161">
        <f>+B2/$B$19*$K$19</f>
        <v>113920.0783415999</v>
      </c>
      <c r="L2" s="162">
        <f>SUM(C2:K2)</f>
        <v>2447963.1874593841</v>
      </c>
      <c r="M2" s="161">
        <v>4329</v>
      </c>
      <c r="N2" s="161">
        <v>320666</v>
      </c>
      <c r="O2" s="162">
        <f>SUM(L2:N2)</f>
        <v>2772958.1874593841</v>
      </c>
      <c r="P2" s="132"/>
    </row>
    <row r="3" spans="1:21" ht="15.75" customHeight="1" x14ac:dyDescent="0.25">
      <c r="A3" s="158" t="s">
        <v>136</v>
      </c>
      <c r="B3" s="159">
        <v>0</v>
      </c>
      <c r="C3" s="160">
        <v>0</v>
      </c>
      <c r="D3" s="160">
        <v>96000</v>
      </c>
      <c r="E3" s="160">
        <v>0</v>
      </c>
      <c r="F3" s="160">
        <v>0</v>
      </c>
      <c r="G3" s="160">
        <v>0</v>
      </c>
      <c r="H3" s="160">
        <v>0</v>
      </c>
      <c r="I3" s="160">
        <v>0</v>
      </c>
      <c r="J3" s="161">
        <f t="shared" ref="J3:J15" si="0">(+B3/($B$17)*$J$21)</f>
        <v>0</v>
      </c>
      <c r="K3" s="161">
        <v>0</v>
      </c>
      <c r="L3" s="162">
        <f>SUM(C3:K3)</f>
        <v>96000</v>
      </c>
      <c r="M3" s="161">
        <v>170</v>
      </c>
      <c r="N3" s="161">
        <v>12575</v>
      </c>
      <c r="O3" s="162">
        <f t="shared" ref="O3:O16" si="1">SUM(L3:N3)</f>
        <v>108745</v>
      </c>
      <c r="P3" s="132"/>
    </row>
    <row r="4" spans="1:21" ht="15.75" customHeight="1" x14ac:dyDescent="0.25">
      <c r="A4" s="165" t="s">
        <v>137</v>
      </c>
      <c r="B4" s="159">
        <v>0</v>
      </c>
      <c r="C4" s="160">
        <v>0</v>
      </c>
      <c r="D4" s="160">
        <v>60000</v>
      </c>
      <c r="E4" s="160">
        <v>0</v>
      </c>
      <c r="F4" s="160">
        <v>0</v>
      </c>
      <c r="G4" s="160">
        <v>0</v>
      </c>
      <c r="H4" s="160">
        <v>0</v>
      </c>
      <c r="I4" s="160">
        <v>0</v>
      </c>
      <c r="J4" s="161">
        <f t="shared" si="0"/>
        <v>0</v>
      </c>
      <c r="K4" s="161">
        <v>0</v>
      </c>
      <c r="L4" s="162">
        <f>SUM(C4:K4)</f>
        <v>60000</v>
      </c>
      <c r="M4" s="161">
        <v>106</v>
      </c>
      <c r="N4" s="161">
        <v>7860</v>
      </c>
      <c r="O4" s="162">
        <f t="shared" si="1"/>
        <v>67966</v>
      </c>
      <c r="P4" s="132"/>
    </row>
    <row r="5" spans="1:21" ht="15.75" customHeight="1" x14ac:dyDescent="0.25">
      <c r="A5" s="158" t="s">
        <v>138</v>
      </c>
      <c r="B5" s="159">
        <v>417</v>
      </c>
      <c r="C5" s="160">
        <f>180900+0.4</f>
        <v>180900.4</v>
      </c>
      <c r="D5" s="160">
        <v>407166</v>
      </c>
      <c r="E5" s="160">
        <f>+B5/$B$20*$E$19</f>
        <v>15863.211084905661</v>
      </c>
      <c r="F5" s="160">
        <f>+[2]Sheet2!H3*$F$23</f>
        <v>246398.9599974296</v>
      </c>
      <c r="G5" s="160">
        <f>+[2]Sheet2!E3*$G$23</f>
        <v>133252.72906403942</v>
      </c>
      <c r="H5" s="160">
        <f>+[2]Sheet2!B3*$H$19</f>
        <v>195790.14125475287</v>
      </c>
      <c r="I5" s="160">
        <f>55189-0.4</f>
        <v>55188.6</v>
      </c>
      <c r="J5" s="161">
        <f t="shared" si="0"/>
        <v>36214.825642118725</v>
      </c>
      <c r="K5" s="161">
        <f>+B5/$B$19*$K$19</f>
        <v>42528.802747043119</v>
      </c>
      <c r="L5" s="162">
        <f t="shared" ref="L5:L16" si="2">SUM(C5:K5)</f>
        <v>1313303.6697902896</v>
      </c>
      <c r="M5" s="161">
        <v>2323</v>
      </c>
      <c r="N5" s="161">
        <v>172034</v>
      </c>
      <c r="O5" s="162">
        <f t="shared" si="1"/>
        <v>1487660.6697902896</v>
      </c>
      <c r="P5" s="132"/>
    </row>
    <row r="6" spans="1:21" ht="15.75" customHeight="1" x14ac:dyDescent="0.25">
      <c r="A6" s="158" t="s">
        <v>139</v>
      </c>
      <c r="B6" s="159">
        <v>274</v>
      </c>
      <c r="C6" s="160">
        <v>130607</v>
      </c>
      <c r="D6" s="160">
        <v>293966</v>
      </c>
      <c r="E6" s="160">
        <f>+B6/$B$20*$E$19</f>
        <v>10423.308962264151</v>
      </c>
      <c r="F6" s="160">
        <f>+[2]Sheet2!H4*$F$23</f>
        <v>119907.27573595516</v>
      </c>
      <c r="G6" s="160">
        <f>+[2]Sheet2!E4*$G$23</f>
        <v>66626.36453201971</v>
      </c>
      <c r="H6" s="160">
        <f>+[2]Sheet2!B4*$H$19</f>
        <v>85765.785297845374</v>
      </c>
      <c r="I6" s="160">
        <v>55189</v>
      </c>
      <c r="J6" s="161">
        <f t="shared" si="0"/>
        <v>23795.832676116381</v>
      </c>
      <c r="K6" s="161">
        <f>+B6/$B$19*$K$19</f>
        <v>27944.585018440801</v>
      </c>
      <c r="L6" s="162">
        <f t="shared" si="2"/>
        <v>814225.15222264163</v>
      </c>
      <c r="M6" s="161">
        <v>1440</v>
      </c>
      <c r="N6" s="161">
        <v>106658</v>
      </c>
      <c r="O6" s="162">
        <f t="shared" si="1"/>
        <v>922323.15222264163</v>
      </c>
      <c r="P6" s="132"/>
    </row>
    <row r="7" spans="1:21" ht="15.75" customHeight="1" x14ac:dyDescent="0.25">
      <c r="A7" s="158" t="s">
        <v>140</v>
      </c>
      <c r="B7" s="159">
        <v>270</v>
      </c>
      <c r="C7" s="160">
        <v>70778</v>
      </c>
      <c r="D7" s="160">
        <v>159306</v>
      </c>
      <c r="E7" s="160">
        <f>+B7/$B$20*$E$19</f>
        <v>10271.143867924529</v>
      </c>
      <c r="F7" s="160">
        <f>+[2]Sheet2!H5*$F$23</f>
        <v>218786.23871450959</v>
      </c>
      <c r="G7" s="160">
        <f>+[2]Sheet2!E5*$G$23</f>
        <v>49969.773399014775</v>
      </c>
      <c r="H7" s="160">
        <f>+[2]Sheet2!B5*$H$19</f>
        <v>84513.730038022812</v>
      </c>
      <c r="I7" s="160">
        <v>55189</v>
      </c>
      <c r="J7" s="161">
        <f t="shared" si="0"/>
        <v>23448.448257486943</v>
      </c>
      <c r="K7" s="161">
        <f>+B7/$B$19*$K$19</f>
        <v>27536.634872186187</v>
      </c>
      <c r="L7" s="162">
        <f t="shared" si="2"/>
        <v>699798.96914914483</v>
      </c>
      <c r="M7" s="161">
        <v>1238</v>
      </c>
      <c r="N7" s="161">
        <v>91669</v>
      </c>
      <c r="O7" s="162">
        <f t="shared" si="1"/>
        <v>792705.96914914483</v>
      </c>
      <c r="P7" s="132"/>
    </row>
    <row r="8" spans="1:21" ht="15.75" customHeight="1" x14ac:dyDescent="0.25">
      <c r="A8" s="158" t="s">
        <v>141</v>
      </c>
      <c r="B8" s="159">
        <v>2610</v>
      </c>
      <c r="C8" s="160">
        <v>618209</v>
      </c>
      <c r="D8" s="160">
        <v>1397692</v>
      </c>
      <c r="E8" s="160">
        <f>+B8/$B$20*$E$19</f>
        <v>99287.724056603765</v>
      </c>
      <c r="F8" s="160">
        <f>+[2]Sheet2!H6*$F$23</f>
        <v>1189163.0024243102</v>
      </c>
      <c r="G8" s="160">
        <f>+[2]Sheet2!E6*$G$23</f>
        <v>516354.32512315275</v>
      </c>
      <c r="H8" s="160">
        <f>+[2]Sheet2!B6*$H$19</f>
        <v>612724.54277566541</v>
      </c>
      <c r="I8" s="160">
        <v>55189</v>
      </c>
      <c r="J8" s="161">
        <f t="shared" si="0"/>
        <v>226668.33315570714</v>
      </c>
      <c r="K8" s="161">
        <f>+B8/$B$19*$K$19</f>
        <v>266187.47043113312</v>
      </c>
      <c r="L8" s="162">
        <f t="shared" si="2"/>
        <v>4981475.397966573</v>
      </c>
      <c r="M8" s="161">
        <v>8810</v>
      </c>
      <c r="N8" s="161">
        <v>652539</v>
      </c>
      <c r="O8" s="162">
        <f t="shared" si="1"/>
        <v>5642824.397966573</v>
      </c>
      <c r="P8" s="132"/>
    </row>
    <row r="9" spans="1:21" ht="15.75" customHeight="1" x14ac:dyDescent="0.25">
      <c r="A9" s="158" t="s">
        <v>142</v>
      </c>
      <c r="B9" s="159">
        <v>400</v>
      </c>
      <c r="C9" s="160">
        <v>0</v>
      </c>
      <c r="D9" s="160">
        <v>765587</v>
      </c>
      <c r="E9" s="160">
        <f>+B9/$B$20*$E$19</f>
        <v>15216.509433962263</v>
      </c>
      <c r="F9" s="160">
        <f>+[2]Sheet2!H7*$F$23</f>
        <v>116598.12090948194</v>
      </c>
      <c r="G9" s="160">
        <f>+[2]Sheet2!E7*$G$23</f>
        <v>124924.43349753696</v>
      </c>
      <c r="H9" s="160">
        <f>+[2]Sheet2!B7*$H$19</f>
        <v>46952.072243346003</v>
      </c>
      <c r="I9" s="160">
        <v>55189</v>
      </c>
      <c r="J9" s="161">
        <f t="shared" si="0"/>
        <v>34738.441862943626</v>
      </c>
      <c r="K9" s="161">
        <f>+B9/$B$19*$K$19-0.5</f>
        <v>40794.514625461023</v>
      </c>
      <c r="L9" s="162">
        <f t="shared" si="2"/>
        <v>1200000.0925727317</v>
      </c>
      <c r="M9" s="161">
        <v>0</v>
      </c>
      <c r="N9" s="161">
        <v>0</v>
      </c>
      <c r="O9" s="162">
        <f t="shared" si="1"/>
        <v>1200000.0925727317</v>
      </c>
      <c r="P9" s="132"/>
    </row>
    <row r="10" spans="1:21" ht="15.75" customHeight="1" x14ac:dyDescent="0.25">
      <c r="A10" s="158" t="s">
        <v>143</v>
      </c>
      <c r="B10" s="159">
        <v>1375</v>
      </c>
      <c r="C10" s="160">
        <v>0</v>
      </c>
      <c r="D10" s="160">
        <v>2342961</v>
      </c>
      <c r="E10" s="160">
        <v>0</v>
      </c>
      <c r="F10" s="160">
        <f>+[2]Sheet2!H8*$F$23</f>
        <v>803371.71421192586</v>
      </c>
      <c r="G10" s="160">
        <f>+[2]Sheet2!E8*$G$23</f>
        <v>416414.77832512319</v>
      </c>
      <c r="H10" s="160">
        <f>+[2]Sheet2!B8*$H$19</f>
        <v>645590.99334600754</v>
      </c>
      <c r="I10" s="160">
        <v>55189</v>
      </c>
      <c r="J10" s="161">
        <f t="shared" si="0"/>
        <v>119413.39390386871</v>
      </c>
      <c r="K10" s="161">
        <f>+B10/$B$19*$K$19</f>
        <v>140232.86277502225</v>
      </c>
      <c r="L10" s="162">
        <f t="shared" si="2"/>
        <v>4523173.7425619476</v>
      </c>
      <c r="M10" s="161">
        <v>8000</v>
      </c>
      <c r="N10" s="161">
        <v>592505</v>
      </c>
      <c r="O10" s="162">
        <f t="shared" si="1"/>
        <v>5123678.7425619476</v>
      </c>
      <c r="P10" s="132"/>
    </row>
    <row r="11" spans="1:21" ht="15.75" customHeight="1" x14ac:dyDescent="0.25">
      <c r="A11" s="158" t="s">
        <v>144</v>
      </c>
      <c r="B11" s="159">
        <v>1400</v>
      </c>
      <c r="C11" s="160">
        <v>0</v>
      </c>
      <c r="D11" s="160">
        <f>688135-145675</f>
        <v>542460</v>
      </c>
      <c r="E11" s="160">
        <v>0</v>
      </c>
      <c r="F11" s="160">
        <f>+[2]Sheet2!H10*$F$23</f>
        <v>383198.10495769401</v>
      </c>
      <c r="G11" s="160">
        <f>+[2]Sheet2!E9*$G$21</f>
        <v>0</v>
      </c>
      <c r="H11" s="160">
        <f>+[2]Sheet2!B10*$H$19</f>
        <v>273887.08808618505</v>
      </c>
      <c r="I11" s="160">
        <v>0</v>
      </c>
      <c r="J11" s="161">
        <f t="shared" si="0"/>
        <v>121584.54652030268</v>
      </c>
      <c r="K11" s="161">
        <f>+B11/$B$19*$K$19</f>
        <v>142782.55118911355</v>
      </c>
      <c r="L11" s="162">
        <f t="shared" si="2"/>
        <v>1463912.2907532954</v>
      </c>
      <c r="M11" s="161">
        <v>2589</v>
      </c>
      <c r="N11" s="161">
        <v>191762</v>
      </c>
      <c r="O11" s="162">
        <f t="shared" si="1"/>
        <v>1658263.2907532954</v>
      </c>
      <c r="P11" s="132"/>
    </row>
    <row r="12" spans="1:21" ht="15.75" customHeight="1" x14ac:dyDescent="0.25">
      <c r="A12" s="165" t="s">
        <v>145</v>
      </c>
      <c r="B12" s="159">
        <v>0</v>
      </c>
      <c r="C12" s="160">
        <v>0</v>
      </c>
      <c r="D12" s="160">
        <v>145675</v>
      </c>
      <c r="E12" s="160">
        <v>0</v>
      </c>
      <c r="F12" s="160">
        <v>0</v>
      </c>
      <c r="G12" s="160">
        <v>0</v>
      </c>
      <c r="H12" s="160">
        <v>0</v>
      </c>
      <c r="I12" s="160">
        <v>0</v>
      </c>
      <c r="J12" s="161">
        <f t="shared" si="0"/>
        <v>0</v>
      </c>
      <c r="K12" s="161">
        <v>0</v>
      </c>
      <c r="L12" s="162">
        <f>SUM(C12:K12)</f>
        <v>145675</v>
      </c>
      <c r="M12" s="161">
        <v>258</v>
      </c>
      <c r="N12" s="161">
        <v>19082</v>
      </c>
      <c r="O12" s="162">
        <f t="shared" si="1"/>
        <v>165015</v>
      </c>
      <c r="P12" s="132"/>
    </row>
    <row r="13" spans="1:21" ht="15.75" customHeight="1" x14ac:dyDescent="0.25">
      <c r="A13" s="158" t="s">
        <v>146</v>
      </c>
      <c r="B13" s="159">
        <v>0</v>
      </c>
      <c r="C13" s="160">
        <v>0</v>
      </c>
      <c r="D13" s="160">
        <v>0</v>
      </c>
      <c r="E13" s="160">
        <v>0</v>
      </c>
      <c r="F13" s="160">
        <v>0</v>
      </c>
      <c r="G13" s="166">
        <v>140000</v>
      </c>
      <c r="H13" s="160">
        <v>0</v>
      </c>
      <c r="I13" s="160">
        <v>0</v>
      </c>
      <c r="J13" s="161">
        <f t="shared" si="0"/>
        <v>0</v>
      </c>
      <c r="K13" s="161">
        <v>0</v>
      </c>
      <c r="L13" s="162">
        <f t="shared" si="2"/>
        <v>140000</v>
      </c>
      <c r="M13" s="161">
        <v>248</v>
      </c>
      <c r="N13" s="161">
        <v>18339</v>
      </c>
      <c r="O13" s="162">
        <f t="shared" si="1"/>
        <v>158587</v>
      </c>
      <c r="P13" s="132"/>
    </row>
    <row r="14" spans="1:21" ht="15.75" customHeight="1" x14ac:dyDescent="0.25">
      <c r="A14" s="158" t="s">
        <v>147</v>
      </c>
      <c r="B14" s="159">
        <v>170</v>
      </c>
      <c r="C14" s="160">
        <v>0</v>
      </c>
      <c r="D14" s="160">
        <v>0</v>
      </c>
      <c r="E14" s="160">
        <v>0</v>
      </c>
      <c r="F14" s="160">
        <f>+[2]Sheet2!H11*$F$23</f>
        <v>0</v>
      </c>
      <c r="G14" s="160">
        <v>0</v>
      </c>
      <c r="H14" s="160">
        <f>+[2]Sheet2!B11*$H$19</f>
        <v>0</v>
      </c>
      <c r="I14" s="160">
        <v>0</v>
      </c>
      <c r="J14" s="161">
        <f t="shared" si="0"/>
        <v>14763.837791751039</v>
      </c>
      <c r="K14" s="160">
        <v>0</v>
      </c>
      <c r="L14" s="162">
        <f t="shared" si="2"/>
        <v>14763.837791751039</v>
      </c>
      <c r="M14" s="160">
        <v>26</v>
      </c>
      <c r="N14" s="161">
        <v>1934</v>
      </c>
      <c r="O14" s="162">
        <f t="shared" si="1"/>
        <v>16723.837791751037</v>
      </c>
      <c r="P14" s="132"/>
    </row>
    <row r="15" spans="1:21" ht="15.75" customHeight="1" x14ac:dyDescent="0.25">
      <c r="A15" s="158" t="s">
        <v>148</v>
      </c>
      <c r="B15" s="159">
        <v>1350</v>
      </c>
      <c r="C15" s="160">
        <v>0</v>
      </c>
      <c r="D15" s="160">
        <v>0</v>
      </c>
      <c r="E15" s="160">
        <v>0</v>
      </c>
      <c r="F15" s="160">
        <v>0</v>
      </c>
      <c r="G15" s="160">
        <v>0</v>
      </c>
      <c r="H15" s="160">
        <f>+[2]Sheet2!B12*$H$19</f>
        <v>0</v>
      </c>
      <c r="I15" s="160">
        <v>55189</v>
      </c>
      <c r="J15" s="161">
        <f t="shared" si="0"/>
        <v>117242.24128743472</v>
      </c>
      <c r="K15" s="161">
        <v>0</v>
      </c>
      <c r="L15" s="162">
        <f t="shared" si="2"/>
        <v>172431.24128743471</v>
      </c>
      <c r="M15" s="161">
        <v>305</v>
      </c>
      <c r="N15" s="161">
        <v>22587</v>
      </c>
      <c r="O15" s="162">
        <f t="shared" si="1"/>
        <v>195323.24128743471</v>
      </c>
      <c r="P15" s="132"/>
    </row>
    <row r="16" spans="1:21" ht="15.75" customHeight="1" thickBot="1" x14ac:dyDescent="0.3">
      <c r="A16" s="167" t="s">
        <v>149</v>
      </c>
      <c r="B16" s="168">
        <v>0</v>
      </c>
      <c r="C16" s="160">
        <v>0</v>
      </c>
      <c r="D16" s="160">
        <v>0</v>
      </c>
      <c r="E16" s="160">
        <v>0</v>
      </c>
      <c r="F16" s="160">
        <f>+[2]Sheet2!H13*$F$23</f>
        <v>0</v>
      </c>
      <c r="G16" s="160">
        <v>0</v>
      </c>
      <c r="H16" s="160">
        <f>+[2]Sheet2!B13*$H$19</f>
        <v>0</v>
      </c>
      <c r="I16" s="169">
        <v>0</v>
      </c>
      <c r="J16" s="161">
        <v>90000</v>
      </c>
      <c r="K16" s="160">
        <v>0</v>
      </c>
      <c r="L16" s="162">
        <f t="shared" si="2"/>
        <v>90000</v>
      </c>
      <c r="M16" s="160">
        <v>158</v>
      </c>
      <c r="N16" s="161">
        <v>11790</v>
      </c>
      <c r="O16" s="162">
        <f t="shared" si="1"/>
        <v>101948</v>
      </c>
      <c r="P16" s="132"/>
    </row>
    <row r="17" spans="1:15" s="175" customFormat="1" ht="24" customHeight="1" thickBot="1" x14ac:dyDescent="0.3">
      <c r="A17" s="170" t="s">
        <v>150</v>
      </c>
      <c r="B17" s="171">
        <f>SUM(B2:B16)</f>
        <v>9383</v>
      </c>
      <c r="C17" s="172">
        <f>SUM(C2:C11)</f>
        <v>1335867.8815551922</v>
      </c>
      <c r="D17" s="172">
        <f>SUM(D2:D16)</f>
        <v>6869661</v>
      </c>
      <c r="E17" s="172">
        <f>SUM(E2:E11)</f>
        <v>193554</v>
      </c>
      <c r="F17" s="172">
        <f>SUM(F2:F11)</f>
        <v>3315001</v>
      </c>
      <c r="G17" s="172">
        <f>SUM(G2:G16)</f>
        <v>1830644</v>
      </c>
      <c r="H17" s="172">
        <f>SUM(H2:H16)</f>
        <v>2469679</v>
      </c>
      <c r="I17" s="172">
        <f>SUM(I2:I16)</f>
        <v>441511.2</v>
      </c>
      <c r="J17" s="173">
        <f>SUM(J2:J16)</f>
        <v>904877</v>
      </c>
      <c r="K17" s="173">
        <f>SUM(K2:K11)</f>
        <v>801927.49999999988</v>
      </c>
      <c r="L17" s="174">
        <f>SUM(L2:L16)</f>
        <v>18162722.581555195</v>
      </c>
      <c r="M17" s="173">
        <f>SUM(M2:M16)</f>
        <v>30000</v>
      </c>
      <c r="N17" s="173">
        <f>SUM(N2:N16)</f>
        <v>2222000</v>
      </c>
      <c r="O17" s="174">
        <f>SUM(O2:O16)</f>
        <v>20414722.581555195</v>
      </c>
    </row>
    <row r="18" spans="1:15" ht="15.75" customHeight="1" thickBot="1" x14ac:dyDescent="0.3">
      <c r="F18" s="177"/>
      <c r="K18" s="177"/>
      <c r="L18" s="178">
        <f>+L26</f>
        <v>2800000</v>
      </c>
      <c r="M18" s="163" t="s">
        <v>151</v>
      </c>
    </row>
    <row r="19" spans="1:15" ht="15.75" customHeight="1" thickTop="1" x14ac:dyDescent="0.25">
      <c r="A19" s="176" t="s">
        <v>152</v>
      </c>
      <c r="B19" s="179">
        <f>SUM(B2:B11)</f>
        <v>7863</v>
      </c>
      <c r="C19" s="177">
        <v>1335867</v>
      </c>
      <c r="D19" s="163">
        <f>SUM(D2:D8)-60000</f>
        <v>3012978</v>
      </c>
      <c r="E19" s="177">
        <v>193554</v>
      </c>
      <c r="F19" s="163">
        <v>2668213</v>
      </c>
      <c r="G19" s="163">
        <v>1592794</v>
      </c>
      <c r="H19" s="177">
        <v>2469679</v>
      </c>
      <c r="I19" s="177">
        <v>391552</v>
      </c>
      <c r="J19" s="177">
        <f>904877</f>
        <v>904877</v>
      </c>
      <c r="K19" s="177">
        <v>801928</v>
      </c>
      <c r="L19" s="177">
        <f>L17+L18</f>
        <v>20962722.581555195</v>
      </c>
    </row>
    <row r="20" spans="1:15" ht="15.75" customHeight="1" x14ac:dyDescent="0.25">
      <c r="A20" s="176" t="s">
        <v>153</v>
      </c>
      <c r="B20" s="179">
        <f>SUM(B2:B9)</f>
        <v>5088</v>
      </c>
      <c r="F20" s="163">
        <v>31932</v>
      </c>
      <c r="G20" s="180">
        <v>237850</v>
      </c>
      <c r="J20" s="181">
        <v>-90000</v>
      </c>
    </row>
    <row r="21" spans="1:15" ht="15.75" customHeight="1" x14ac:dyDescent="0.25">
      <c r="A21" s="176" t="s">
        <v>65</v>
      </c>
      <c r="F21" s="163">
        <v>352833</v>
      </c>
      <c r="G21" s="177">
        <f>SUM(G19:G20)</f>
        <v>1830644</v>
      </c>
      <c r="J21" s="163">
        <f>SUM(J19:J20)</f>
        <v>814877</v>
      </c>
      <c r="L21" s="177"/>
    </row>
    <row r="22" spans="1:15" ht="15.75" customHeight="1" x14ac:dyDescent="0.25">
      <c r="F22" s="180">
        <v>262023</v>
      </c>
      <c r="G22" s="180">
        <f>-G13</f>
        <v>-140000</v>
      </c>
    </row>
    <row r="23" spans="1:15" ht="15.75" customHeight="1" x14ac:dyDescent="0.25">
      <c r="F23" s="177">
        <f>SUM(F19:F22)</f>
        <v>3315001</v>
      </c>
      <c r="G23" s="163">
        <f>SUM(G21:G22)</f>
        <v>1690644</v>
      </c>
    </row>
    <row r="24" spans="1:15" ht="15.75" customHeight="1" x14ac:dyDescent="0.25"/>
    <row r="25" spans="1:15" ht="15.75" customHeight="1" thickBot="1" x14ac:dyDescent="0.3">
      <c r="A25" s="125"/>
    </row>
    <row r="26" spans="1:15" ht="15.75" customHeight="1" thickBot="1" x14ac:dyDescent="0.3">
      <c r="A26" s="182" t="s">
        <v>154</v>
      </c>
      <c r="B26" s="183">
        <v>1350</v>
      </c>
      <c r="C26" s="184">
        <v>343063</v>
      </c>
      <c r="D26" s="185">
        <v>1671548</v>
      </c>
      <c r="E26" s="185">
        <v>0</v>
      </c>
      <c r="F26" s="185">
        <v>0</v>
      </c>
      <c r="G26" s="185">
        <v>486268</v>
      </c>
      <c r="H26" s="185">
        <v>299121</v>
      </c>
      <c r="I26" s="185">
        <v>0</v>
      </c>
      <c r="J26" s="185">
        <f>+[2]Sheet2!D23*$H$19</f>
        <v>0</v>
      </c>
      <c r="K26" s="186">
        <v>0</v>
      </c>
      <c r="L26" s="187">
        <f>SUM(C26:K26)</f>
        <v>2800000</v>
      </c>
      <c r="M26"/>
      <c r="N26"/>
      <c r="O26"/>
    </row>
    <row r="27" spans="1:15" ht="15.75" customHeight="1" x14ac:dyDescent="0.25">
      <c r="A27" s="125"/>
    </row>
    <row r="28" spans="1:15" ht="15.75" customHeight="1" x14ac:dyDescent="0.25">
      <c r="A28" s="125"/>
    </row>
    <row r="29" spans="1:15" ht="15.75" customHeight="1" x14ac:dyDescent="0.25">
      <c r="A29" s="125"/>
    </row>
    <row r="30" spans="1:15" ht="15.75" customHeight="1" x14ac:dyDescent="0.25"/>
    <row r="31" spans="1:15" ht="15.75" customHeight="1" x14ac:dyDescent="0.25"/>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Edie Leschber</dc:creator>
  <cp:lastModifiedBy>Havlíček Jan</cp:lastModifiedBy>
  <dcterms:created xsi:type="dcterms:W3CDTF">2001-09-26T14:00:13Z</dcterms:created>
  <dcterms:modified xsi:type="dcterms:W3CDTF">2023-09-10T14:59:29Z</dcterms:modified>
</cp:coreProperties>
</file>