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5520" firstSheet="1" activeTab="2"/>
  </bookViews>
  <sheets>
    <sheet name="Original 2002 capital slide" sheetId="6" r:id="rId1"/>
    <sheet name="Updated 2002 capital slide" sheetId="4" r:id="rId2"/>
    <sheet name="2002 8-21 compared to 9-13" sheetId="5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IBIT">#REF!</definedName>
    <definedName name="_xlnm.Print_Area" localSheetId="2">'2002 8-21 compared to 9-13'!$A$1:$I$110</definedName>
    <definedName name="_xlnm.Print_Area" localSheetId="0">'Original 2002 capital slide'!$A$1:$G$39</definedName>
    <definedName name="_xlnm.Print_Area" localSheetId="1">'Updated 2002 capital slide'!$A$1:$G$39</definedName>
  </definedNames>
  <calcPr calcId="0" iterate="1"/>
</workbook>
</file>

<file path=xl/calcChain.xml><?xml version="1.0" encoding="utf-8"?>
<calcChain xmlns="http://schemas.openxmlformats.org/spreadsheetml/2006/main">
  <c r="E5" i="5" l="1"/>
  <c r="G5" i="5"/>
  <c r="H5" i="5"/>
  <c r="H6" i="5"/>
  <c r="E7" i="5"/>
  <c r="H7" i="5"/>
  <c r="B8" i="5"/>
  <c r="E8" i="5"/>
  <c r="G8" i="5"/>
  <c r="H8" i="5"/>
  <c r="B9" i="5"/>
  <c r="E9" i="5"/>
  <c r="H9" i="5"/>
  <c r="B10" i="5"/>
  <c r="G10" i="5"/>
  <c r="H10" i="5"/>
  <c r="H11" i="5"/>
  <c r="E12" i="5"/>
  <c r="H12" i="5"/>
  <c r="E13" i="5"/>
  <c r="G13" i="5"/>
  <c r="H13" i="5"/>
  <c r="H14" i="5"/>
  <c r="B15" i="5"/>
  <c r="E15" i="5"/>
  <c r="G15" i="5"/>
  <c r="H15" i="5"/>
  <c r="G19" i="5"/>
  <c r="H19" i="5"/>
  <c r="H20" i="5"/>
  <c r="B21" i="5"/>
  <c r="E21" i="5"/>
  <c r="G21" i="5"/>
  <c r="H21" i="5"/>
  <c r="B22" i="5"/>
  <c r="E22" i="5"/>
  <c r="G22" i="5"/>
  <c r="H22" i="5"/>
  <c r="B23" i="5"/>
  <c r="E23" i="5"/>
  <c r="G23" i="5"/>
  <c r="H23" i="5"/>
  <c r="H25" i="5"/>
  <c r="H26" i="5"/>
  <c r="B27" i="5"/>
  <c r="E27" i="5"/>
  <c r="G27" i="5"/>
  <c r="H27" i="5"/>
  <c r="B28" i="5"/>
  <c r="E28" i="5"/>
  <c r="G28" i="5"/>
  <c r="H28" i="5"/>
  <c r="B30" i="5"/>
  <c r="E30" i="5"/>
  <c r="G30" i="5"/>
  <c r="H30" i="5"/>
  <c r="H31" i="5"/>
  <c r="B32" i="5"/>
  <c r="E32" i="5"/>
  <c r="G32" i="5"/>
  <c r="B35" i="5"/>
  <c r="G35" i="5"/>
  <c r="B37" i="5"/>
  <c r="B43" i="5"/>
  <c r="B47" i="5"/>
  <c r="G47" i="5"/>
  <c r="B57" i="5"/>
  <c r="K63" i="5"/>
  <c r="B64" i="5"/>
  <c r="G64" i="5"/>
  <c r="B70" i="5"/>
  <c r="G70" i="5"/>
  <c r="B80" i="5"/>
  <c r="G80" i="5"/>
  <c r="B84" i="5"/>
  <c r="G84" i="5"/>
  <c r="B86" i="5"/>
  <c r="G86" i="5"/>
  <c r="B89" i="5"/>
  <c r="G89" i="5"/>
  <c r="H89" i="5"/>
  <c r="H90" i="5"/>
  <c r="B91" i="5"/>
  <c r="G91" i="5"/>
  <c r="H91" i="5"/>
  <c r="B92" i="5"/>
  <c r="G92" i="5"/>
  <c r="H92" i="5"/>
  <c r="B94" i="5"/>
  <c r="B96" i="5"/>
  <c r="G96" i="5"/>
  <c r="H96" i="5"/>
  <c r="G98" i="5"/>
  <c r="G99" i="5"/>
  <c r="G100" i="5"/>
  <c r="G101" i="5"/>
  <c r="B107" i="5"/>
  <c r="G107" i="5"/>
  <c r="H107" i="5"/>
  <c r="B108" i="5"/>
  <c r="G108" i="5"/>
  <c r="H108" i="5"/>
  <c r="A110" i="5"/>
  <c r="C8" i="6"/>
  <c r="G8" i="6"/>
  <c r="C9" i="6"/>
  <c r="G9" i="6"/>
  <c r="C14" i="6"/>
  <c r="G15" i="6"/>
  <c r="G16" i="6"/>
  <c r="C19" i="6"/>
  <c r="C20" i="6"/>
  <c r="G20" i="6"/>
  <c r="G21" i="6"/>
  <c r="G24" i="6"/>
  <c r="G28" i="6"/>
  <c r="C32" i="6"/>
  <c r="C33" i="6"/>
  <c r="C8" i="4"/>
  <c r="G8" i="4"/>
  <c r="C9" i="4"/>
  <c r="G9" i="4"/>
  <c r="C14" i="4"/>
  <c r="G15" i="4"/>
  <c r="G16" i="4"/>
  <c r="C19" i="4"/>
  <c r="C20" i="4"/>
  <c r="G20" i="4"/>
  <c r="G21" i="4"/>
  <c r="G24" i="4"/>
  <c r="G28" i="4"/>
  <c r="C32" i="4"/>
  <c r="C33" i="4"/>
  <c r="A39" i="4"/>
</calcChain>
</file>

<file path=xl/comments1.xml><?xml version="1.0" encoding="utf-8"?>
<comments xmlns="http://schemas.openxmlformats.org/spreadsheetml/2006/main">
  <authors>
    <author>E25625</author>
    <author>E04120</author>
  </authors>
  <commentList>
    <comment ref="G16" authorId="0" shapeId="0">
      <text>
        <r>
          <rPr>
            <b/>
            <sz val="8"/>
            <color indexed="81"/>
            <rFont val="Tahoma"/>
          </rPr>
          <t>E25625:</t>
        </r>
        <r>
          <rPr>
            <sz val="8"/>
            <color indexed="81"/>
            <rFont val="Tahoma"/>
          </rPr>
          <t xml:space="preserve">
reduced $2,254k due to correcting calc error</t>
        </r>
      </text>
    </comment>
    <comment ref="C32" authorId="1" shapeId="0">
      <text>
        <r>
          <rPr>
            <b/>
            <sz val="8"/>
            <color indexed="81"/>
            <rFont val="Tahoma"/>
          </rPr>
          <t>E04120:</t>
        </r>
        <r>
          <rPr>
            <sz val="8"/>
            <color indexed="81"/>
            <rFont val="Tahoma"/>
          </rPr>
          <t xml:space="preserve">
Includes a plug to reduce the 2002 budget by $2181, to the amount disclosed to NNG in the Disclosure Schedule.  The 2002 budget overrun is driven by IT projects that have carried over into 2002 - however we have a UE115 balancing account that provides for full cost recovery.  Also, it is likely given economic conditions that actual distribution capital  projects will underrun the budget.</t>
        </r>
      </text>
    </comment>
  </commentList>
</comments>
</file>

<file path=xl/sharedStrings.xml><?xml version="1.0" encoding="utf-8"?>
<sst xmlns="http://schemas.openxmlformats.org/spreadsheetml/2006/main" count="217" uniqueCount="129">
  <si>
    <t>Production</t>
  </si>
  <si>
    <t>Intangible</t>
  </si>
  <si>
    <t xml:space="preserve">Relicensing Work </t>
  </si>
  <si>
    <t>Pelton-Round Butte Fish Passage</t>
  </si>
  <si>
    <t>Other</t>
  </si>
  <si>
    <t>Total Production</t>
  </si>
  <si>
    <t>Transmission</t>
  </si>
  <si>
    <t>Total Intangible</t>
  </si>
  <si>
    <t>Transmission Blanket Jobs</t>
  </si>
  <si>
    <t>Total Transmission</t>
  </si>
  <si>
    <t>Distribution</t>
  </si>
  <si>
    <t>Nonutility</t>
  </si>
  <si>
    <t>Blanket Jobs - Connect New Customers</t>
  </si>
  <si>
    <t>Purchase Transformers for New Customers</t>
  </si>
  <si>
    <t>Total Nonutility</t>
  </si>
  <si>
    <t>Purchase Customer Meters</t>
  </si>
  <si>
    <t>Substation Fitness Program</t>
  </si>
  <si>
    <t>Decommissioning</t>
  </si>
  <si>
    <t>Total Distribution</t>
  </si>
  <si>
    <t>General</t>
  </si>
  <si>
    <t>Purchase/Retire Vehicles &amp; Power Op. Equip.</t>
  </si>
  <si>
    <t>Total General</t>
  </si>
  <si>
    <t>Colstrip</t>
  </si>
  <si>
    <t>Bull Run - Decommissioning</t>
  </si>
  <si>
    <t>Bull Run License Surrender</t>
  </si>
  <si>
    <t>Total Bull Run - Decommissioning</t>
  </si>
  <si>
    <t>Substation Fitness</t>
  </si>
  <si>
    <t>Sunset Sub</t>
  </si>
  <si>
    <t>Habitat MOU</t>
  </si>
  <si>
    <t>Total Before Decommissioning</t>
  </si>
  <si>
    <t>Round Butte - Replace Runners Unit #2</t>
  </si>
  <si>
    <t>Round Butte - Replace Runners Unit #3</t>
  </si>
  <si>
    <t>Network Meter Reading - Meters</t>
  </si>
  <si>
    <t>ROW Vegetation Program</t>
  </si>
  <si>
    <t>Station E Capacity Addition</t>
  </si>
  <si>
    <t>Mobile Communication (Radio) Improvements</t>
  </si>
  <si>
    <t>Network Meter Reading</t>
  </si>
  <si>
    <t>Distributions Operations Center</t>
  </si>
  <si>
    <t>Move Union and Retirees to FLEX (ERP)</t>
  </si>
  <si>
    <t>2002</t>
  </si>
  <si>
    <t>Total 2002</t>
  </si>
  <si>
    <t>CIS Replacement</t>
  </si>
  <si>
    <t>Blanket Jobs - General Line Work</t>
  </si>
  <si>
    <t>BUDGET as of 8/21/01 FOM (Excludes Trojan Decom)</t>
  </si>
  <si>
    <t>BUDGET as of 6/27/01 FOM run (Excludes Trojan Decom)</t>
  </si>
  <si>
    <t>BUDGET as of 9/13/01 FOM (Excludes Trojan Decom)</t>
  </si>
  <si>
    <t>Generation</t>
  </si>
  <si>
    <t>Energy Efficiency</t>
  </si>
  <si>
    <t>Non-Utility</t>
  </si>
  <si>
    <t>RWIP</t>
  </si>
  <si>
    <t>Blanket Reclass</t>
  </si>
  <si>
    <t>Contingency</t>
  </si>
  <si>
    <t>Target for Operations</t>
  </si>
  <si>
    <t>Original Forecast Total</t>
  </si>
  <si>
    <t>NMR - IT portion</t>
  </si>
  <si>
    <t>NMR</t>
  </si>
  <si>
    <t>Peoplesoft</t>
  </si>
  <si>
    <t>CIS</t>
  </si>
  <si>
    <t>Misc. IT</t>
  </si>
  <si>
    <t>Target for IT Projects</t>
  </si>
  <si>
    <t>SB1149</t>
  </si>
  <si>
    <t>Unregulated Retail</t>
  </si>
  <si>
    <t>NMR - non IT</t>
  </si>
  <si>
    <t>Target for Other Projects</t>
  </si>
  <si>
    <t>Forecast for Other Projects</t>
  </si>
  <si>
    <t>Total Other Projects</t>
  </si>
  <si>
    <t>Total Operations and Other</t>
  </si>
  <si>
    <t>Total Forecasted Ops and Other</t>
  </si>
  <si>
    <r>
      <t xml:space="preserve">Blanket Reclass </t>
    </r>
    <r>
      <rPr>
        <vertAlign val="superscript"/>
        <sz val="8"/>
        <rFont val="Arial"/>
        <family val="2"/>
      </rPr>
      <t>(2)</t>
    </r>
  </si>
  <si>
    <t>Less Energy Efficiency</t>
  </si>
  <si>
    <t>Subtotal</t>
  </si>
  <si>
    <t>reduction to Unreg Retail</t>
  </si>
  <si>
    <t>Total</t>
  </si>
  <si>
    <t>additional for Decommissioning</t>
  </si>
  <si>
    <t>additional for IT portion of NMR</t>
  </si>
  <si>
    <t>Total reduced from 230,001 to 227,804 due to calc error in spreadsheet.</t>
  </si>
  <si>
    <t>reduction for non-IT portion of NMR</t>
  </si>
  <si>
    <t>$8 million due to transp. loadings</t>
  </si>
  <si>
    <t>additional CIS</t>
  </si>
  <si>
    <t>ERP</t>
  </si>
  <si>
    <t>other (ERP and Misc. IT)</t>
  </si>
  <si>
    <t>Variance</t>
  </si>
  <si>
    <t>NW Natrual Target</t>
  </si>
  <si>
    <t>Horton Slide</t>
  </si>
  <si>
    <t>(1)</t>
  </si>
  <si>
    <t>(2)</t>
  </si>
  <si>
    <t>(3)</t>
  </si>
  <si>
    <r>
      <t>(1)</t>
    </r>
    <r>
      <rPr>
        <sz val="8"/>
        <rFont val="Arial"/>
        <family val="2"/>
      </rPr>
      <t xml:space="preserve">  Moved $2,254K from '01 to '02</t>
    </r>
  </si>
  <si>
    <r>
      <t xml:space="preserve">(2) </t>
    </r>
    <r>
      <rPr>
        <sz val="8"/>
        <rFont val="Arial"/>
        <family val="2"/>
      </rPr>
      <t>Incorrectly put surge protectors into a capital job.  It was removed.  Will put into inventory, then put to balance sheet and amortize over 2 years lease period.</t>
    </r>
  </si>
  <si>
    <r>
      <t xml:space="preserve">(3)  </t>
    </r>
    <r>
      <rPr>
        <sz val="8"/>
        <rFont val="Arial"/>
        <family val="2"/>
      </rPr>
      <t>$500k increase in design costs from delay, the balance is '01 to '02 shift.</t>
    </r>
  </si>
  <si>
    <t>Trojan</t>
  </si>
  <si>
    <t>Generation (w/o Trojan)</t>
  </si>
  <si>
    <t>Boardman</t>
  </si>
  <si>
    <t>Coyote</t>
  </si>
  <si>
    <t>Beaver</t>
  </si>
  <si>
    <t>Relicensing</t>
  </si>
  <si>
    <t>Hydro</t>
  </si>
  <si>
    <t>August FOR</t>
  </si>
  <si>
    <t>Overview</t>
  </si>
  <si>
    <t>Port of Morrow Peaker</t>
  </si>
  <si>
    <t>Beaver 24MW Peaker</t>
  </si>
  <si>
    <t xml:space="preserve">   Sub-total: Utility Ops</t>
  </si>
  <si>
    <t xml:space="preserve">   Sub-total: Operations</t>
  </si>
  <si>
    <t xml:space="preserve">   Sub-total: 2001 Additions</t>
  </si>
  <si>
    <t>Blanket Re-class - 2000</t>
  </si>
  <si>
    <t>Blanket Reclass - 2001</t>
  </si>
  <si>
    <t xml:space="preserve">  Sub-total</t>
  </si>
  <si>
    <t>NNG Annual Op Budget</t>
  </si>
  <si>
    <t>NNG Budget to Reconcile to</t>
  </si>
  <si>
    <t>NNG Disclosure Schedule</t>
  </si>
  <si>
    <t>2001 per Aug FOR</t>
  </si>
  <si>
    <t xml:space="preserve">Total </t>
  </si>
  <si>
    <t>Total with Decomm</t>
  </si>
  <si>
    <t>2001-02</t>
  </si>
  <si>
    <t>less Overview (additions)</t>
  </si>
  <si>
    <t>plus Overview (operations)</t>
  </si>
  <si>
    <t>less actual costs thru Aug 2001</t>
  </si>
  <si>
    <t>less Decommissioning</t>
  </si>
  <si>
    <t>2002 Total w/o Decomm.</t>
  </si>
  <si>
    <t>2002 Budget w/o Decomm.</t>
  </si>
  <si>
    <r>
      <t xml:space="preserve">2002 Under / </t>
    </r>
    <r>
      <rPr>
        <b/>
        <sz val="8"/>
        <rFont val="Arial"/>
        <family val="2"/>
      </rPr>
      <t>(Over)</t>
    </r>
    <r>
      <rPr>
        <sz val="8"/>
        <rFont val="Arial"/>
        <family val="2"/>
      </rPr>
      <t xml:space="preserve"> NNG Limit</t>
    </r>
  </si>
  <si>
    <t>2002 Budget</t>
  </si>
  <si>
    <t>PGE (no subs)</t>
  </si>
  <si>
    <t>September FOR</t>
  </si>
  <si>
    <t>2002 Bdgt</t>
  </si>
  <si>
    <t>Current Forecast (10-22-01)</t>
  </si>
  <si>
    <t>Under / (Over) NNG Limit</t>
  </si>
  <si>
    <t>Reduce 2002 budget to equal NNG Disclosure Schedule.</t>
  </si>
  <si>
    <t>To the extent 2001 Actuals are projected to be less than the allowed amount (primarily due to delaying projects to 2002, move other projects forward from 2002 to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</si>
</sst>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</font>
    <font>
      <sz val="18"/>
      <name val="Times New Roman"/>
    </font>
    <font>
      <sz val="8"/>
      <name val="Times New Roman"/>
    </font>
    <font>
      <sz val="6"/>
      <name val="Times New Roman"/>
    </font>
    <font>
      <sz val="10"/>
      <name val="Times New Roman"/>
    </font>
    <font>
      <sz val="18"/>
      <name val="Arial"/>
    </font>
    <font>
      <i/>
      <sz val="12"/>
      <name val="Arial"/>
    </font>
    <font>
      <b/>
      <sz val="12"/>
      <name val="Times New Roman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" fontId="7" fillId="0" borderId="0" applyProtection="0"/>
    <xf numFmtId="3" fontId="8" fillId="0" borderId="0" applyProtection="0"/>
    <xf numFmtId="3" fontId="9" fillId="0" borderId="0" applyProtection="0"/>
    <xf numFmtId="3" fontId="10" fillId="0" borderId="0" applyProtection="0"/>
    <xf numFmtId="3" fontId="11" fillId="0" borderId="0" applyProtection="0"/>
    <xf numFmtId="3" fontId="6" fillId="0" borderId="0" applyProtection="0"/>
    <xf numFmtId="3" fontId="12" fillId="0" borderId="0" applyProtection="0"/>
    <xf numFmtId="0" fontId="5" fillId="0" borderId="0"/>
    <xf numFmtId="0" fontId="6" fillId="0" borderId="0"/>
  </cellStyleXfs>
  <cellXfs count="80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Border="1"/>
    <xf numFmtId="169" fontId="0" fillId="0" borderId="0" xfId="1" applyNumberFormat="1" applyFont="1"/>
    <xf numFmtId="169" fontId="3" fillId="0" borderId="0" xfId="1" applyNumberFormat="1" applyFont="1"/>
    <xf numFmtId="169" fontId="3" fillId="0" borderId="1" xfId="1" applyNumberFormat="1" applyFont="1" applyBorder="1"/>
    <xf numFmtId="169" fontId="2" fillId="0" borderId="0" xfId="1" applyNumberFormat="1" applyFont="1" applyFill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Fill="1" applyBorder="1"/>
    <xf numFmtId="169" fontId="2" fillId="2" borderId="2" xfId="1" applyNumberFormat="1" applyFont="1" applyFill="1" applyBorder="1"/>
    <xf numFmtId="169" fontId="2" fillId="0" borderId="0" xfId="1" applyNumberFormat="1" applyFont="1"/>
    <xf numFmtId="0" fontId="14" fillId="0" borderId="0" xfId="10" applyFont="1" applyAlignment="1">
      <alignment horizontal="center" wrapText="1"/>
    </xf>
    <xf numFmtId="0" fontId="6" fillId="0" borderId="0" xfId="10"/>
    <xf numFmtId="0" fontId="14" fillId="0" borderId="1" xfId="10" applyFont="1" applyBorder="1" applyAlignment="1">
      <alignment horizontal="center"/>
    </xf>
    <xf numFmtId="38" fontId="6" fillId="0" borderId="0" xfId="10" applyNumberFormat="1"/>
    <xf numFmtId="38" fontId="6" fillId="0" borderId="0" xfId="10" applyNumberFormat="1" applyFont="1" applyFill="1"/>
    <xf numFmtId="38" fontId="6" fillId="0" borderId="0" xfId="10" applyNumberFormat="1" applyFill="1"/>
    <xf numFmtId="0" fontId="15" fillId="0" borderId="0" xfId="10" quotePrefix="1" applyFont="1"/>
    <xf numFmtId="0" fontId="6" fillId="0" borderId="0" xfId="10" applyFont="1"/>
    <xf numFmtId="0" fontId="15" fillId="0" borderId="0" xfId="10" quotePrefix="1" applyFont="1" applyFill="1"/>
    <xf numFmtId="0" fontId="6" fillId="0" borderId="0" xfId="10" applyFill="1"/>
    <xf numFmtId="0" fontId="6" fillId="0" borderId="0" xfId="10" applyFont="1" applyFill="1"/>
    <xf numFmtId="38" fontId="6" fillId="0" borderId="0" xfId="10" applyNumberFormat="1" applyBorder="1"/>
    <xf numFmtId="0" fontId="6" fillId="0" borderId="0" xfId="10" applyBorder="1"/>
    <xf numFmtId="0" fontId="6" fillId="3" borderId="0" xfId="10" applyFill="1"/>
    <xf numFmtId="38" fontId="6" fillId="0" borderId="1" xfId="10" applyNumberFormat="1" applyBorder="1"/>
    <xf numFmtId="38" fontId="6" fillId="3" borderId="1" xfId="10" applyNumberFormat="1" applyFill="1" applyBorder="1"/>
    <xf numFmtId="0" fontId="14" fillId="4" borderId="0" xfId="10" applyFont="1" applyFill="1" applyAlignment="1">
      <alignment horizontal="right"/>
    </xf>
    <xf numFmtId="38" fontId="14" fillId="4" borderId="0" xfId="10" applyNumberFormat="1" applyFont="1" applyFill="1"/>
    <xf numFmtId="0" fontId="15" fillId="0" borderId="0" xfId="10" applyFont="1"/>
    <xf numFmtId="0" fontId="14" fillId="0" borderId="0" xfId="10" applyFont="1" applyFill="1" applyAlignment="1">
      <alignment horizontal="right"/>
    </xf>
    <xf numFmtId="38" fontId="14" fillId="0" borderId="0" xfId="10" applyNumberFormat="1" applyFont="1" applyFill="1"/>
    <xf numFmtId="38" fontId="6" fillId="0" borderId="1" xfId="10" applyNumberFormat="1" applyFill="1" applyBorder="1"/>
    <xf numFmtId="0" fontId="6" fillId="0" borderId="0" xfId="10" applyFont="1" applyAlignment="1">
      <alignment horizontal="right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left" vertical="top" wrapText="1"/>
    </xf>
    <xf numFmtId="0" fontId="5" fillId="0" borderId="0" xfId="9" applyAlignment="1">
      <alignment horizontal="left" vertical="top" wrapText="1"/>
    </xf>
    <xf numFmtId="169" fontId="1" fillId="0" borderId="0" xfId="1" applyNumberFormat="1"/>
    <xf numFmtId="169" fontId="1" fillId="0" borderId="0" xfId="1" applyNumberFormat="1" applyBorder="1"/>
    <xf numFmtId="0" fontId="6" fillId="0" borderId="1" xfId="10" applyBorder="1"/>
    <xf numFmtId="38" fontId="6" fillId="4" borderId="2" xfId="10" applyNumberFormat="1" applyFill="1" applyBorder="1"/>
    <xf numFmtId="0" fontId="6" fillId="4" borderId="0" xfId="10" applyFont="1" applyFill="1"/>
    <xf numFmtId="0" fontId="6" fillId="0" borderId="3" xfId="10" applyFont="1" applyBorder="1"/>
    <xf numFmtId="169" fontId="6" fillId="0" borderId="0" xfId="1" applyNumberFormat="1" applyFont="1"/>
    <xf numFmtId="169" fontId="6" fillId="0" borderId="1" xfId="1" applyNumberFormat="1" applyFont="1" applyBorder="1"/>
    <xf numFmtId="0" fontId="14" fillId="0" borderId="0" xfId="10" applyFont="1"/>
    <xf numFmtId="169" fontId="14" fillId="0" borderId="0" xfId="1" applyNumberFormat="1" applyFont="1"/>
    <xf numFmtId="0" fontId="14" fillId="0" borderId="1" xfId="10" applyFont="1" applyBorder="1"/>
    <xf numFmtId="0" fontId="6" fillId="0" borderId="0" xfId="10" applyAlignment="1">
      <alignment horizontal="center"/>
    </xf>
    <xf numFmtId="169" fontId="18" fillId="0" borderId="0" xfId="1" applyNumberFormat="1" applyFont="1"/>
    <xf numFmtId="0" fontId="18" fillId="0" borderId="1" xfId="10" applyFont="1" applyBorder="1" applyAlignment="1">
      <alignment horizontal="center"/>
    </xf>
    <xf numFmtId="169" fontId="18" fillId="0" borderId="0" xfId="10" applyNumberFormat="1" applyFont="1"/>
    <xf numFmtId="0" fontId="18" fillId="0" borderId="0" xfId="10" applyFont="1"/>
    <xf numFmtId="169" fontId="6" fillId="0" borderId="0" xfId="1" applyNumberFormat="1" applyFont="1" applyBorder="1"/>
    <xf numFmtId="169" fontId="6" fillId="0" borderId="2" xfId="1" applyNumberFormat="1" applyFont="1" applyBorder="1"/>
    <xf numFmtId="169" fontId="14" fillId="0" borderId="4" xfId="1" applyNumberFormat="1" applyFont="1" applyBorder="1"/>
    <xf numFmtId="169" fontId="14" fillId="0" borderId="2" xfId="10" applyNumberFormat="1" applyFont="1" applyBorder="1"/>
    <xf numFmtId="169" fontId="14" fillId="0" borderId="4" xfId="10" applyNumberFormat="1" applyFont="1" applyBorder="1"/>
    <xf numFmtId="0" fontId="18" fillId="0" borderId="0" xfId="0" applyFont="1"/>
    <xf numFmtId="169" fontId="14" fillId="0" borderId="1" xfId="1" applyNumberFormat="1" applyFont="1" applyBorder="1"/>
    <xf numFmtId="169" fontId="14" fillId="0" borderId="1" xfId="1" applyNumberFormat="1" applyFont="1" applyBorder="1" applyAlignment="1">
      <alignment horizontal="center"/>
    </xf>
    <xf numFmtId="169" fontId="14" fillId="0" borderId="1" xfId="1" quotePrefix="1" applyNumberFormat="1" applyFont="1" applyBorder="1" applyAlignment="1">
      <alignment horizontal="center"/>
    </xf>
    <xf numFmtId="169" fontId="14" fillId="0" borderId="0" xfId="10" applyNumberFormat="1" applyFont="1" applyBorder="1"/>
    <xf numFmtId="169" fontId="14" fillId="0" borderId="0" xfId="1" applyNumberFormat="1" applyFont="1" applyBorder="1"/>
    <xf numFmtId="0" fontId="18" fillId="0" borderId="0" xfId="10" applyFont="1" applyAlignment="1">
      <alignment horizontal="center"/>
    </xf>
    <xf numFmtId="169" fontId="18" fillId="0" borderId="1" xfId="10" applyNumberFormat="1" applyFont="1" applyBorder="1" applyAlignment="1">
      <alignment horizontal="center"/>
    </xf>
    <xf numFmtId="0" fontId="18" fillId="0" borderId="1" xfId="10" applyFont="1" applyBorder="1"/>
    <xf numFmtId="0" fontId="6" fillId="0" borderId="0" xfId="10" applyFont="1" applyAlignment="1">
      <alignment wrapText="1"/>
    </xf>
    <xf numFmtId="169" fontId="6" fillId="0" borderId="0" xfId="1" applyNumberFormat="1" applyFont="1" applyAlignment="1">
      <alignment wrapText="1"/>
    </xf>
    <xf numFmtId="0" fontId="15" fillId="0" borderId="0" xfId="10" quotePrefix="1" applyFont="1" applyAlignment="1">
      <alignment horizontal="left" vertical="top" wrapText="1"/>
    </xf>
  </cellXfs>
  <cellStyles count="11">
    <cellStyle name="Comma" xfId="1" builtinId="3"/>
    <cellStyle name="F2" xfId="2"/>
    <cellStyle name="F3" xfId="3"/>
    <cellStyle name="F4" xfId="4"/>
    <cellStyle name="F5" xfId="5"/>
    <cellStyle name="F6" xfId="6"/>
    <cellStyle name="F7" xfId="7"/>
    <cellStyle name="F8" xfId="8"/>
    <cellStyle name="Normal" xfId="0" builtinId="0"/>
    <cellStyle name="Normal_2002 capital by area" xfId="9"/>
    <cellStyle name="Normal_March CapX with revised forecast 4-20-0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RG/2002%20capital%20by%20are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 6-28 bud w IT out rev."/>
      <sheetName val="2002 9-13 budget"/>
      <sheetName val="2002 8-21 budget draft"/>
      <sheetName val="2002 6-28 bud w IT out"/>
      <sheetName val="List of IT proj in Rate Case"/>
      <sheetName val="List of IT proj 6-27 FOM"/>
      <sheetName val="2002 6-27 budget(old)"/>
      <sheetName val="2002 6-18 budget(old)"/>
      <sheetName val="2002 6-16 budget(old)"/>
      <sheetName val="2002 contingency"/>
      <sheetName val="2002 other projs ledger order"/>
      <sheetName val="2002 other projs number order"/>
      <sheetName val="2002 economic projects"/>
      <sheetName val="2002 unreg retail projs"/>
      <sheetName val="2002 rate case economic proj's"/>
      <sheetName val="2002 Prelim capital by ledger"/>
      <sheetName val="2002 Capital by ledger 6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D13">
            <v>989750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GridLines="0" topLeftCell="B12" workbookViewId="0">
      <selection activeCell="G16" sqref="G16"/>
    </sheetView>
  </sheetViews>
  <sheetFormatPr defaultRowHeight="13.2" x14ac:dyDescent="0.25"/>
  <cols>
    <col min="1" max="1" width="37.109375" customWidth="1"/>
    <col min="2" max="2" width="2.109375" customWidth="1"/>
    <col min="3" max="3" width="9.33203125" style="5" customWidth="1"/>
    <col min="4" max="4" width="7.88671875" customWidth="1"/>
    <col min="5" max="5" width="39.44140625" customWidth="1"/>
    <col min="6" max="6" width="2.109375" customWidth="1"/>
    <col min="7" max="7" width="9.33203125" customWidth="1"/>
  </cols>
  <sheetData>
    <row r="1" spans="1:7" ht="11.25" customHeight="1" x14ac:dyDescent="0.25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5">
      <c r="A2" s="2"/>
      <c r="B2" s="2"/>
      <c r="C2" s="3"/>
      <c r="D2" s="2"/>
      <c r="E2" s="2"/>
      <c r="F2" s="2"/>
      <c r="G2" s="2"/>
    </row>
    <row r="3" spans="1:7" ht="11.25" customHeight="1" x14ac:dyDescent="0.25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5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5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5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5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5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5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5">
      <c r="A10" s="10"/>
      <c r="B10" s="10"/>
      <c r="C10" s="18"/>
      <c r="G10" s="47"/>
    </row>
    <row r="11" spans="1:7" ht="13.5" customHeight="1" x14ac:dyDescent="0.25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5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5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5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5">
      <c r="A15" s="2"/>
      <c r="B15" s="2"/>
      <c r="C15" s="16"/>
      <c r="E15" s="2" t="s">
        <v>4</v>
      </c>
      <c r="G15" s="14">
        <f>11880+2254-SUM(G12:G13)</f>
        <v>8819</v>
      </c>
    </row>
    <row r="16" spans="1:7" ht="13.5" customHeight="1" x14ac:dyDescent="0.25">
      <c r="A16" s="4" t="s">
        <v>6</v>
      </c>
      <c r="C16" s="4"/>
      <c r="E16" s="10" t="s">
        <v>7</v>
      </c>
      <c r="F16" s="10"/>
      <c r="G16" s="15">
        <f>SUM(G12:G15)</f>
        <v>16388</v>
      </c>
    </row>
    <row r="17" spans="1:7" ht="13.5" customHeight="1" x14ac:dyDescent="0.25">
      <c r="A17" s="2" t="s">
        <v>8</v>
      </c>
      <c r="C17" s="16">
        <v>2405</v>
      </c>
      <c r="G17" s="47"/>
    </row>
    <row r="18" spans="1:7" ht="13.5" customHeight="1" x14ac:dyDescent="0.25">
      <c r="A18" s="2" t="s">
        <v>26</v>
      </c>
      <c r="C18" s="16">
        <v>1015</v>
      </c>
      <c r="E18" s="4" t="s">
        <v>11</v>
      </c>
      <c r="F18" s="4"/>
      <c r="G18" s="47"/>
    </row>
    <row r="19" spans="1:7" ht="13.5" customHeight="1" x14ac:dyDescent="0.25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5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5">
      <c r="C21" s="48"/>
      <c r="E21" s="10" t="s">
        <v>14</v>
      </c>
      <c r="F21" s="10"/>
      <c r="G21" s="15">
        <f>SUM(G19:G20)</f>
        <v>5334</v>
      </c>
    </row>
    <row r="22" spans="1:7" ht="13.5" customHeight="1" x14ac:dyDescent="0.25">
      <c r="A22" s="4" t="s">
        <v>10</v>
      </c>
      <c r="B22" s="4"/>
      <c r="C22" s="48"/>
      <c r="D22" s="2"/>
      <c r="G22" s="47"/>
    </row>
    <row r="23" spans="1:7" ht="13.5" customHeight="1" x14ac:dyDescent="0.25">
      <c r="A23" s="2" t="s">
        <v>42</v>
      </c>
      <c r="C23" s="16">
        <v>49803</v>
      </c>
      <c r="D23" s="2"/>
      <c r="G23" s="47"/>
    </row>
    <row r="24" spans="1:7" ht="13.5" customHeight="1" x14ac:dyDescent="0.25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</f>
        <v>206572</v>
      </c>
    </row>
    <row r="25" spans="1:7" ht="13.5" customHeight="1" x14ac:dyDescent="0.25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5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5">
      <c r="A27" s="2" t="s">
        <v>27</v>
      </c>
      <c r="C27" s="16">
        <v>4772</v>
      </c>
      <c r="D27" s="2"/>
      <c r="G27" s="47"/>
    </row>
    <row r="28" spans="1:7" ht="13.5" customHeight="1" thickBot="1" x14ac:dyDescent="0.3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230001</v>
      </c>
    </row>
    <row r="29" spans="1:7" ht="13.5" customHeight="1" thickTop="1" x14ac:dyDescent="0.25">
      <c r="A29" s="2" t="s">
        <v>15</v>
      </c>
      <c r="C29" s="16">
        <v>2357</v>
      </c>
      <c r="D29" s="2"/>
      <c r="G29" s="47"/>
    </row>
    <row r="30" spans="1:7" ht="13.5" customHeight="1" x14ac:dyDescent="0.25">
      <c r="A30" t="s">
        <v>34</v>
      </c>
      <c r="C30" s="16">
        <v>2085</v>
      </c>
      <c r="D30" s="2"/>
      <c r="G30" s="47"/>
    </row>
    <row r="31" spans="1:7" ht="13.5" customHeight="1" x14ac:dyDescent="0.25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5">
      <c r="A32" s="2" t="s">
        <v>4</v>
      </c>
      <c r="C32" s="14">
        <f>122953-SUM(C23:C31)-2195</f>
        <v>5163</v>
      </c>
      <c r="D32" s="2"/>
    </row>
    <row r="33" spans="1:4" ht="13.5" customHeight="1" x14ac:dyDescent="0.25">
      <c r="A33" s="10" t="s">
        <v>18</v>
      </c>
      <c r="B33" s="10"/>
      <c r="C33" s="18">
        <f>SUM(C23:C32)</f>
        <v>120758</v>
      </c>
      <c r="D33" s="2"/>
    </row>
    <row r="34" spans="1:4" ht="13.5" customHeight="1" x14ac:dyDescent="0.25">
      <c r="D34" s="2"/>
    </row>
    <row r="35" spans="1:4" ht="11.25" customHeight="1" x14ac:dyDescent="0.25">
      <c r="D35" s="2"/>
    </row>
    <row r="36" spans="1:4" ht="11.25" customHeight="1" x14ac:dyDescent="0.25">
      <c r="D36" s="2"/>
    </row>
    <row r="37" spans="1:4" ht="11.25" customHeight="1" x14ac:dyDescent="0.25">
      <c r="D37" s="2"/>
    </row>
    <row r="38" spans="1:4" ht="17.25" customHeight="1" x14ac:dyDescent="0.25">
      <c r="D38" s="2"/>
    </row>
    <row r="39" spans="1:4" ht="11.25" customHeight="1" x14ac:dyDescent="0.25">
      <c r="D39" s="2"/>
    </row>
    <row r="40" spans="1:4" ht="11.25" customHeight="1" x14ac:dyDescent="0.25">
      <c r="D40" s="2"/>
    </row>
    <row r="41" spans="1:4" ht="11.25" customHeight="1" x14ac:dyDescent="0.25">
      <c r="D41" s="2"/>
    </row>
    <row r="42" spans="1:4" ht="11.25" customHeight="1" x14ac:dyDescent="0.25">
      <c r="A42" s="2"/>
      <c r="B42" s="2"/>
      <c r="C42" s="3"/>
      <c r="D42" s="2"/>
    </row>
    <row r="43" spans="1:4" ht="11.25" customHeight="1" x14ac:dyDescent="0.25">
      <c r="D43" s="2"/>
    </row>
    <row r="44" spans="1:4" ht="11.25" customHeight="1" x14ac:dyDescent="0.25">
      <c r="D44" s="2"/>
    </row>
    <row r="45" spans="1:4" ht="12" customHeight="1" x14ac:dyDescent="0.25">
      <c r="D45" s="2"/>
    </row>
    <row r="46" spans="1:4" ht="11.25" customHeight="1" x14ac:dyDescent="0.25">
      <c r="D46" s="2"/>
    </row>
    <row r="47" spans="1:4" ht="11.25" customHeight="1" x14ac:dyDescent="0.25">
      <c r="D47" s="2"/>
    </row>
    <row r="48" spans="1:4" ht="11.25" customHeight="1" x14ac:dyDescent="0.25">
      <c r="D48" s="2"/>
    </row>
    <row r="49" spans="1:7" ht="11.25" customHeight="1" x14ac:dyDescent="0.25">
      <c r="D49" s="2"/>
    </row>
    <row r="50" spans="1:7" ht="11.25" customHeight="1" x14ac:dyDescent="0.25">
      <c r="D50" s="2"/>
    </row>
    <row r="51" spans="1:7" ht="11.25" customHeight="1" x14ac:dyDescent="0.25">
      <c r="D51" s="2"/>
    </row>
    <row r="52" spans="1:7" ht="11.25" customHeight="1" x14ac:dyDescent="0.25">
      <c r="D52" s="2"/>
    </row>
    <row r="53" spans="1:7" ht="11.25" customHeight="1" x14ac:dyDescent="0.25">
      <c r="D53" s="2"/>
    </row>
    <row r="54" spans="1:7" ht="11.25" customHeight="1" x14ac:dyDescent="0.25">
      <c r="D54" s="2"/>
    </row>
    <row r="55" spans="1:7" ht="11.25" customHeight="1" x14ac:dyDescent="0.25">
      <c r="A55" s="2"/>
      <c r="B55" s="2"/>
      <c r="C55" s="3"/>
      <c r="D55" s="2"/>
    </row>
    <row r="56" spans="1:7" ht="11.25" customHeight="1" x14ac:dyDescent="0.25">
      <c r="A56" s="2"/>
      <c r="B56" s="2"/>
      <c r="C56" s="3"/>
      <c r="D56" s="2"/>
      <c r="G56" s="2"/>
    </row>
    <row r="57" spans="1:7" ht="11.25" customHeight="1" x14ac:dyDescent="0.25">
      <c r="D57" s="2"/>
    </row>
    <row r="58" spans="1:7" ht="11.25" customHeight="1" x14ac:dyDescent="0.25">
      <c r="D58" s="2"/>
    </row>
    <row r="59" spans="1:7" ht="12" customHeight="1" x14ac:dyDescent="0.25">
      <c r="D59" s="2"/>
    </row>
    <row r="60" spans="1:7" ht="11.25" customHeight="1" x14ac:dyDescent="0.25">
      <c r="D60" s="2"/>
    </row>
    <row r="61" spans="1:7" ht="11.25" customHeight="1" x14ac:dyDescent="0.25"/>
    <row r="63" spans="1:7" x14ac:dyDescent="0.25">
      <c r="C63" s="6"/>
    </row>
    <row r="65" spans="1:7" x14ac:dyDescent="0.25">
      <c r="A65" s="4"/>
      <c r="B65" s="4"/>
    </row>
    <row r="69" spans="1:7" x14ac:dyDescent="0.25">
      <c r="E69" s="9"/>
      <c r="F69" s="9"/>
      <c r="G69" s="9"/>
    </row>
    <row r="70" spans="1:7" x14ac:dyDescent="0.25">
      <c r="C70" s="7"/>
    </row>
    <row r="71" spans="1:7" x14ac:dyDescent="0.25">
      <c r="A71" s="8"/>
      <c r="B71" s="8"/>
      <c r="C71" s="6"/>
    </row>
    <row r="73" spans="1:7" x14ac:dyDescent="0.25">
      <c r="A73" s="8"/>
      <c r="B73" s="8"/>
      <c r="C73" s="6"/>
    </row>
    <row r="74" spans="1:7" x14ac:dyDescent="0.25">
      <c r="A74" s="9"/>
      <c r="B74" s="9"/>
      <c r="C74" s="9"/>
    </row>
    <row r="78" spans="1:7" s="9" customFormat="1" x14ac:dyDescent="0.25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workbookViewId="0"/>
  </sheetViews>
  <sheetFormatPr defaultRowHeight="13.2" x14ac:dyDescent="0.25"/>
  <cols>
    <col min="1" max="1" width="37.109375" customWidth="1"/>
    <col min="2" max="2" width="2.109375" customWidth="1"/>
    <col min="3" max="3" width="9.33203125" style="5" customWidth="1"/>
    <col min="4" max="4" width="7.88671875" customWidth="1"/>
    <col min="5" max="5" width="39.44140625" customWidth="1"/>
    <col min="6" max="6" width="2.109375" customWidth="1"/>
    <col min="7" max="7" width="9.33203125" customWidth="1"/>
  </cols>
  <sheetData>
    <row r="1" spans="1:7" ht="11.25" customHeight="1" x14ac:dyDescent="0.25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5">
      <c r="A2" s="2"/>
      <c r="B2" s="2"/>
      <c r="C2" s="3"/>
      <c r="D2" s="2"/>
      <c r="E2" s="2"/>
      <c r="F2" s="2"/>
      <c r="G2" s="2"/>
    </row>
    <row r="3" spans="1:7" ht="11.25" customHeight="1" x14ac:dyDescent="0.25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5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5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5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5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5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5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5">
      <c r="A10" s="10"/>
      <c r="B10" s="10"/>
      <c r="C10" s="18"/>
      <c r="G10" s="12"/>
    </row>
    <row r="11" spans="1:7" ht="13.5" customHeight="1" x14ac:dyDescent="0.25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5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5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5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5">
      <c r="A15" s="2"/>
      <c r="B15" s="2"/>
      <c r="C15" s="16"/>
      <c r="E15" s="2" t="s">
        <v>4</v>
      </c>
      <c r="G15" s="14">
        <f>11880+2254-SUM(G12:G14)</f>
        <v>6565</v>
      </c>
    </row>
    <row r="16" spans="1:7" ht="13.5" customHeight="1" x14ac:dyDescent="0.25">
      <c r="A16" s="4" t="s">
        <v>6</v>
      </c>
      <c r="C16" s="4"/>
      <c r="E16" s="10" t="s">
        <v>7</v>
      </c>
      <c r="F16" s="10"/>
      <c r="G16" s="15">
        <f>SUM(G12:G15)</f>
        <v>14134</v>
      </c>
    </row>
    <row r="17" spans="1:7" ht="13.5" customHeight="1" x14ac:dyDescent="0.25">
      <c r="A17" s="2" t="s">
        <v>8</v>
      </c>
      <c r="C17" s="16">
        <v>2405</v>
      </c>
      <c r="G17" s="12"/>
    </row>
    <row r="18" spans="1:7" ht="13.5" customHeight="1" x14ac:dyDescent="0.25">
      <c r="A18" s="2" t="s">
        <v>26</v>
      </c>
      <c r="C18" s="16">
        <v>1015</v>
      </c>
      <c r="E18" s="4" t="s">
        <v>11</v>
      </c>
      <c r="F18" s="4"/>
      <c r="G18" s="12"/>
    </row>
    <row r="19" spans="1:7" ht="13.5" customHeight="1" x14ac:dyDescent="0.25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5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5">
      <c r="C21" s="17"/>
      <c r="E21" s="10" t="s">
        <v>14</v>
      </c>
      <c r="F21" s="10"/>
      <c r="G21" s="15">
        <f>SUM(G19:G20)</f>
        <v>5334</v>
      </c>
    </row>
    <row r="22" spans="1:7" ht="13.5" customHeight="1" x14ac:dyDescent="0.25">
      <c r="A22" s="4" t="s">
        <v>10</v>
      </c>
      <c r="B22" s="4"/>
      <c r="C22" s="17"/>
      <c r="D22" s="2"/>
      <c r="G22" s="12"/>
    </row>
    <row r="23" spans="1:7" ht="13.5" customHeight="1" x14ac:dyDescent="0.25">
      <c r="A23" s="2" t="s">
        <v>42</v>
      </c>
      <c r="C23" s="16">
        <v>49803</v>
      </c>
      <c r="D23" s="2"/>
      <c r="E23" s="4"/>
      <c r="G23" s="20"/>
    </row>
    <row r="24" spans="1:7" ht="13.5" customHeight="1" x14ac:dyDescent="0.25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C9+C14+C20+C33+G9+G16+G21+G23</f>
        <v>202196</v>
      </c>
    </row>
    <row r="25" spans="1:7" ht="13.5" customHeight="1" x14ac:dyDescent="0.25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5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5">
      <c r="A27" s="2" t="s">
        <v>27</v>
      </c>
      <c r="C27" s="16">
        <v>4772</v>
      </c>
      <c r="D27" s="2"/>
      <c r="G27" s="12"/>
    </row>
    <row r="28" spans="1:7" ht="13.5" customHeight="1" thickBot="1" x14ac:dyDescent="0.3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225625</v>
      </c>
    </row>
    <row r="29" spans="1:7" ht="13.5" customHeight="1" thickTop="1" x14ac:dyDescent="0.25">
      <c r="A29" s="2" t="s">
        <v>15</v>
      </c>
      <c r="C29" s="16">
        <v>2357</v>
      </c>
      <c r="D29" s="2"/>
    </row>
    <row r="30" spans="1:7" ht="13.5" customHeight="1" x14ac:dyDescent="0.25">
      <c r="A30" t="s">
        <v>34</v>
      </c>
      <c r="C30" s="16">
        <v>2085</v>
      </c>
      <c r="D30" s="2"/>
    </row>
    <row r="31" spans="1:7" ht="13.5" customHeight="1" x14ac:dyDescent="0.25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5">
      <c r="A32" s="2" t="s">
        <v>4</v>
      </c>
      <c r="C32" s="14">
        <f>122953-SUM(C23:C31)-2137+'2002 8-21 compared to 9-13'!G101</f>
        <v>3041</v>
      </c>
      <c r="D32" s="2"/>
    </row>
    <row r="33" spans="1:4" ht="13.5" customHeight="1" x14ac:dyDescent="0.25">
      <c r="A33" s="10" t="s">
        <v>18</v>
      </c>
      <c r="B33" s="10"/>
      <c r="C33" s="18">
        <f>SUM(C23:C32)</f>
        <v>118636</v>
      </c>
      <c r="D33" s="2"/>
    </row>
    <row r="34" spans="1:4" ht="13.5" customHeight="1" x14ac:dyDescent="0.25">
      <c r="D34" s="2"/>
    </row>
    <row r="35" spans="1:4" ht="11.25" customHeight="1" x14ac:dyDescent="0.25">
      <c r="D35" s="2"/>
    </row>
    <row r="36" spans="1:4" ht="11.25" customHeight="1" x14ac:dyDescent="0.25">
      <c r="D36" s="2"/>
    </row>
    <row r="37" spans="1:4" ht="11.25" customHeight="1" x14ac:dyDescent="0.25">
      <c r="D37" s="2"/>
    </row>
    <row r="38" spans="1:4" ht="17.25" customHeight="1" x14ac:dyDescent="0.25">
      <c r="D38" s="2"/>
    </row>
    <row r="39" spans="1:4" ht="11.25" customHeight="1" x14ac:dyDescent="0.25">
      <c r="A39" t="str">
        <f ca="1">CELL("filename")</f>
        <v>H:\Presentations\Enron 2001\[2002 capital slide.xls]2002 8-21 compared to 9-13</v>
      </c>
      <c r="D39" s="2"/>
    </row>
    <row r="40" spans="1:4" ht="11.25" customHeight="1" x14ac:dyDescent="0.25">
      <c r="D40" s="2"/>
    </row>
    <row r="41" spans="1:4" ht="11.25" customHeight="1" x14ac:dyDescent="0.25">
      <c r="D41" s="2"/>
    </row>
    <row r="42" spans="1:4" ht="11.25" customHeight="1" x14ac:dyDescent="0.25">
      <c r="A42" s="2"/>
      <c r="B42" s="2"/>
      <c r="C42" s="3"/>
      <c r="D42" s="2"/>
    </row>
    <row r="43" spans="1:4" ht="11.25" customHeight="1" x14ac:dyDescent="0.25">
      <c r="D43" s="2"/>
    </row>
    <row r="44" spans="1:4" ht="11.25" customHeight="1" x14ac:dyDescent="0.25">
      <c r="D44" s="2"/>
    </row>
    <row r="45" spans="1:4" ht="12" customHeight="1" x14ac:dyDescent="0.25">
      <c r="D45" s="2"/>
    </row>
    <row r="46" spans="1:4" ht="11.25" customHeight="1" x14ac:dyDescent="0.25">
      <c r="D46" s="2"/>
    </row>
    <row r="47" spans="1:4" ht="11.25" customHeight="1" x14ac:dyDescent="0.25">
      <c r="D47" s="2"/>
    </row>
    <row r="48" spans="1:4" ht="11.25" customHeight="1" x14ac:dyDescent="0.25">
      <c r="D48" s="2"/>
    </row>
    <row r="49" spans="1:7" ht="11.25" customHeight="1" x14ac:dyDescent="0.25">
      <c r="D49" s="2"/>
    </row>
    <row r="50" spans="1:7" ht="11.25" customHeight="1" x14ac:dyDescent="0.25">
      <c r="D50" s="2"/>
    </row>
    <row r="51" spans="1:7" ht="11.25" customHeight="1" x14ac:dyDescent="0.25">
      <c r="D51" s="2"/>
    </row>
    <row r="52" spans="1:7" ht="11.25" customHeight="1" x14ac:dyDescent="0.25">
      <c r="D52" s="2"/>
    </row>
    <row r="53" spans="1:7" ht="11.25" customHeight="1" x14ac:dyDescent="0.25">
      <c r="D53" s="2"/>
    </row>
    <row r="54" spans="1:7" ht="11.25" customHeight="1" x14ac:dyDescent="0.25">
      <c r="D54" s="2"/>
    </row>
    <row r="55" spans="1:7" ht="11.25" customHeight="1" x14ac:dyDescent="0.25">
      <c r="A55" s="2"/>
      <c r="B55" s="2"/>
      <c r="C55" s="3"/>
      <c r="D55" s="2"/>
    </row>
    <row r="56" spans="1:7" ht="11.25" customHeight="1" x14ac:dyDescent="0.25">
      <c r="A56" s="2"/>
      <c r="B56" s="2"/>
      <c r="C56" s="3"/>
      <c r="D56" s="2"/>
      <c r="G56" s="2"/>
    </row>
    <row r="57" spans="1:7" ht="11.25" customHeight="1" x14ac:dyDescent="0.25">
      <c r="D57" s="2"/>
    </row>
    <row r="58" spans="1:7" ht="11.25" customHeight="1" x14ac:dyDescent="0.25">
      <c r="D58" s="2"/>
    </row>
    <row r="59" spans="1:7" ht="12" customHeight="1" x14ac:dyDescent="0.25">
      <c r="D59" s="2"/>
    </row>
    <row r="60" spans="1:7" ht="11.25" customHeight="1" x14ac:dyDescent="0.25">
      <c r="D60" s="2"/>
    </row>
    <row r="61" spans="1:7" ht="11.25" customHeight="1" x14ac:dyDescent="0.25"/>
    <row r="63" spans="1:7" x14ac:dyDescent="0.25">
      <c r="C63" s="6"/>
    </row>
    <row r="65" spans="1:7" x14ac:dyDescent="0.25">
      <c r="A65" s="4"/>
      <c r="B65" s="4"/>
    </row>
    <row r="69" spans="1:7" x14ac:dyDescent="0.25">
      <c r="E69" s="9"/>
      <c r="F69" s="9"/>
      <c r="G69" s="9"/>
    </row>
    <row r="70" spans="1:7" x14ac:dyDescent="0.25">
      <c r="C70" s="7"/>
    </row>
    <row r="71" spans="1:7" x14ac:dyDescent="0.25">
      <c r="A71" s="8"/>
      <c r="B71" s="8"/>
      <c r="C71" s="6"/>
    </row>
    <row r="73" spans="1:7" x14ac:dyDescent="0.25">
      <c r="A73" s="8"/>
      <c r="B73" s="8"/>
      <c r="C73" s="6"/>
    </row>
    <row r="74" spans="1:7" x14ac:dyDescent="0.25">
      <c r="A74" s="9"/>
      <c r="B74" s="9"/>
      <c r="C74" s="9"/>
    </row>
    <row r="78" spans="1:7" s="9" customFormat="1" x14ac:dyDescent="0.25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view="pageBreakPreview" topLeftCell="A20" zoomScaleNormal="100" workbookViewId="0">
      <selection activeCell="I37" sqref="I37"/>
    </sheetView>
  </sheetViews>
  <sheetFormatPr defaultColWidth="8" defaultRowHeight="10.199999999999999" x14ac:dyDescent="0.2"/>
  <cols>
    <col min="1" max="1" width="24.88671875" style="22" customWidth="1"/>
    <col min="2" max="2" width="18.44140625" style="22" customWidth="1"/>
    <col min="3" max="3" width="3" style="22" customWidth="1"/>
    <col min="4" max="4" width="26.88671875" style="22" hidden="1" customWidth="1"/>
    <col min="5" max="5" width="18.44140625" style="22" hidden="1" customWidth="1"/>
    <col min="6" max="6" width="2.88671875" style="22" hidden="1" customWidth="1"/>
    <col min="7" max="7" width="18.44140625" style="22" customWidth="1"/>
    <col min="8" max="8" width="8.5546875" style="22" customWidth="1"/>
    <col min="9" max="9" width="22.5546875" style="22" customWidth="1"/>
    <col min="10" max="16384" width="8" style="22"/>
  </cols>
  <sheetData>
    <row r="1" spans="1:10" ht="30.6" x14ac:dyDescent="0.2">
      <c r="A1" s="31"/>
      <c r="B1" s="21" t="s">
        <v>43</v>
      </c>
      <c r="E1" s="21" t="s">
        <v>44</v>
      </c>
      <c r="G1" s="21" t="s">
        <v>45</v>
      </c>
      <c r="H1" s="21" t="s">
        <v>81</v>
      </c>
    </row>
    <row r="2" spans="1:10" x14ac:dyDescent="0.2">
      <c r="A2" s="31"/>
      <c r="B2" s="21" t="s">
        <v>82</v>
      </c>
      <c r="E2" s="21"/>
      <c r="G2" s="21" t="s">
        <v>83</v>
      </c>
      <c r="H2" s="21"/>
    </row>
    <row r="3" spans="1:10" x14ac:dyDescent="0.2">
      <c r="B3" s="23">
        <v>2002</v>
      </c>
      <c r="E3" s="23">
        <v>2002</v>
      </c>
      <c r="G3" s="23">
        <v>2002</v>
      </c>
      <c r="H3" s="49"/>
    </row>
    <row r="5" spans="1:10" x14ac:dyDescent="0.2">
      <c r="A5" s="22" t="s">
        <v>46</v>
      </c>
      <c r="B5" s="24">
        <v>21673</v>
      </c>
      <c r="D5" s="22" t="s">
        <v>46</v>
      </c>
      <c r="E5" s="25">
        <f>28295-5494-1549+3866</f>
        <v>25118</v>
      </c>
      <c r="G5" s="24">
        <f>23158-5494+3433+457</f>
        <v>21554</v>
      </c>
      <c r="H5" s="24">
        <f t="shared" ref="H5:H15" si="0">G5-B5</f>
        <v>-119</v>
      </c>
    </row>
    <row r="6" spans="1:10" ht="11.4" x14ac:dyDescent="0.2">
      <c r="A6" s="22" t="s">
        <v>22</v>
      </c>
      <c r="B6" s="26">
        <v>5494</v>
      </c>
      <c r="C6" s="27"/>
      <c r="E6" s="26">
        <v>5494</v>
      </c>
      <c r="F6" s="28"/>
      <c r="G6" s="26">
        <v>5494</v>
      </c>
      <c r="H6" s="24">
        <f t="shared" si="0"/>
        <v>0</v>
      </c>
    </row>
    <row r="7" spans="1:10" x14ac:dyDescent="0.2">
      <c r="A7" s="22" t="s">
        <v>6</v>
      </c>
      <c r="B7" s="24">
        <v>10530</v>
      </c>
      <c r="D7" s="22" t="s">
        <v>6</v>
      </c>
      <c r="E7" s="24">
        <f>10618-204</f>
        <v>10414</v>
      </c>
      <c r="G7" s="24">
        <v>9610</v>
      </c>
      <c r="H7" s="24">
        <f t="shared" si="0"/>
        <v>-920</v>
      </c>
    </row>
    <row r="8" spans="1:10" ht="25.5" customHeight="1" x14ac:dyDescent="0.2">
      <c r="A8" s="22" t="s">
        <v>10</v>
      </c>
      <c r="B8" s="24">
        <f>111075-8097-3000-2000-6000</f>
        <v>91978</v>
      </c>
      <c r="D8" s="22" t="s">
        <v>10</v>
      </c>
      <c r="E8" s="24">
        <f>109464-6000-4720+1400</f>
        <v>100144</v>
      </c>
      <c r="G8" s="24">
        <f>122768-8297-3000-1435-6000-2000</f>
        <v>102036</v>
      </c>
      <c r="H8" s="24">
        <f t="shared" si="0"/>
        <v>10058</v>
      </c>
      <c r="I8" s="45" t="s">
        <v>77</v>
      </c>
      <c r="J8" s="46"/>
    </row>
    <row r="9" spans="1:10" x14ac:dyDescent="0.2">
      <c r="A9" s="22" t="s">
        <v>19</v>
      </c>
      <c r="B9" s="24">
        <f>9852+452</f>
        <v>10304</v>
      </c>
      <c r="D9" s="22" t="s">
        <v>19</v>
      </c>
      <c r="E9" s="26">
        <f>24550+412-4042-5502</f>
        <v>15418</v>
      </c>
      <c r="G9" s="24">
        <v>9388</v>
      </c>
      <c r="H9" s="24">
        <f t="shared" si="0"/>
        <v>-916</v>
      </c>
    </row>
    <row r="10" spans="1:10" x14ac:dyDescent="0.2">
      <c r="A10" s="22" t="s">
        <v>1</v>
      </c>
      <c r="B10" s="24">
        <f>10591-4094-2030-1000-3467</f>
        <v>0</v>
      </c>
      <c r="D10" s="22" t="s">
        <v>1</v>
      </c>
      <c r="E10" s="26">
        <v>0</v>
      </c>
      <c r="G10" s="24">
        <f>10591-4094-2030-1000-3467</f>
        <v>0</v>
      </c>
      <c r="H10" s="24">
        <f t="shared" si="0"/>
        <v>0</v>
      </c>
    </row>
    <row r="11" spans="1:10" x14ac:dyDescent="0.2">
      <c r="A11" s="22" t="s">
        <v>47</v>
      </c>
      <c r="B11" s="24">
        <v>60</v>
      </c>
      <c r="D11" s="22" t="s">
        <v>47</v>
      </c>
      <c r="E11" s="24">
        <v>271</v>
      </c>
      <c r="G11" s="24">
        <v>60</v>
      </c>
      <c r="H11" s="24">
        <f t="shared" si="0"/>
        <v>0</v>
      </c>
    </row>
    <row r="12" spans="1:10" x14ac:dyDescent="0.2">
      <c r="A12" s="22" t="s">
        <v>48</v>
      </c>
      <c r="B12" s="24">
        <v>2954</v>
      </c>
      <c r="D12" s="22" t="s">
        <v>48</v>
      </c>
      <c r="E12" s="26">
        <f>3667</f>
        <v>3667</v>
      </c>
      <c r="G12" s="24">
        <v>2699</v>
      </c>
      <c r="H12" s="24">
        <f t="shared" si="0"/>
        <v>-255</v>
      </c>
    </row>
    <row r="13" spans="1:10" ht="11.4" x14ac:dyDescent="0.2">
      <c r="A13" s="22" t="s">
        <v>49</v>
      </c>
      <c r="B13" s="24">
        <v>5703</v>
      </c>
      <c r="D13" s="22" t="s">
        <v>49</v>
      </c>
      <c r="E13" s="26">
        <f>18645-12429</f>
        <v>6216</v>
      </c>
      <c r="F13" s="29"/>
      <c r="G13" s="24">
        <f>6575-115</f>
        <v>6460</v>
      </c>
      <c r="H13" s="24">
        <f t="shared" si="0"/>
        <v>757</v>
      </c>
      <c r="I13" s="30"/>
      <c r="J13" s="31"/>
    </row>
    <row r="14" spans="1:10" ht="22.5" customHeight="1" x14ac:dyDescent="0.2">
      <c r="A14" s="22" t="s">
        <v>68</v>
      </c>
      <c r="B14" s="32">
        <v>6000</v>
      </c>
      <c r="C14" s="33"/>
      <c r="D14" s="33" t="s">
        <v>50</v>
      </c>
      <c r="E14" s="32">
        <v>6000</v>
      </c>
      <c r="G14" s="32">
        <v>6000</v>
      </c>
      <c r="H14" s="24">
        <f t="shared" si="0"/>
        <v>0</v>
      </c>
    </row>
    <row r="15" spans="1:10" x14ac:dyDescent="0.2">
      <c r="A15" s="34" t="s">
        <v>51</v>
      </c>
      <c r="B15" s="35">
        <f>B16-SUM(B5:B14)</f>
        <v>6468</v>
      </c>
      <c r="E15" s="36">
        <f>E16-SUM(E5:E14)</f>
        <v>-11578</v>
      </c>
      <c r="G15" s="35">
        <f>G16-SUM(G5:G14)</f>
        <v>-2137</v>
      </c>
      <c r="H15" s="35">
        <f t="shared" si="0"/>
        <v>-8605</v>
      </c>
    </row>
    <row r="16" spans="1:10" x14ac:dyDescent="0.2">
      <c r="A16" s="37" t="s">
        <v>52</v>
      </c>
      <c r="B16" s="38">
        <v>161164</v>
      </c>
      <c r="D16" s="37" t="s">
        <v>53</v>
      </c>
      <c r="E16" s="38">
        <v>161164</v>
      </c>
      <c r="G16" s="38">
        <v>161164</v>
      </c>
    </row>
    <row r="19" spans="1:8" ht="11.4" x14ac:dyDescent="0.2">
      <c r="A19" s="22" t="s">
        <v>54</v>
      </c>
      <c r="B19" s="26">
        <v>3603</v>
      </c>
      <c r="C19" s="27"/>
      <c r="D19" s="22" t="s">
        <v>55</v>
      </c>
      <c r="E19" s="26">
        <v>3602</v>
      </c>
      <c r="G19" s="26">
        <f>536+4172</f>
        <v>4708</v>
      </c>
      <c r="H19" s="24">
        <f>G19-B19</f>
        <v>1105</v>
      </c>
    </row>
    <row r="20" spans="1:8" ht="11.4" x14ac:dyDescent="0.2">
      <c r="A20" s="28" t="s">
        <v>79</v>
      </c>
      <c r="B20" s="26">
        <v>4802</v>
      </c>
      <c r="C20" s="27"/>
      <c r="D20" s="22" t="s">
        <v>56</v>
      </c>
      <c r="E20" s="26">
        <v>1877</v>
      </c>
      <c r="F20" s="28"/>
      <c r="G20" s="26">
        <v>4774</v>
      </c>
      <c r="H20" s="24">
        <f>G20-B20</f>
        <v>-28</v>
      </c>
    </row>
    <row r="21" spans="1:8" ht="11.4" x14ac:dyDescent="0.2">
      <c r="A21" s="22" t="s">
        <v>57</v>
      </c>
      <c r="B21" s="26">
        <f>2095</f>
        <v>2095</v>
      </c>
      <c r="C21" s="27"/>
      <c r="E21" s="26">
        <f>'[1]2002 other projs number order'!D13*G5*H5</f>
        <v>-2538635508500</v>
      </c>
      <c r="F21" s="28"/>
      <c r="G21" s="26">
        <f>2082+2254</f>
        <v>4336</v>
      </c>
      <c r="H21" s="24">
        <f>G21-B21</f>
        <v>2241</v>
      </c>
    </row>
    <row r="22" spans="1:8" x14ac:dyDescent="0.2">
      <c r="A22" s="31" t="s">
        <v>58</v>
      </c>
      <c r="B22" s="42">
        <f>16943+122</f>
        <v>17065</v>
      </c>
      <c r="C22" s="30"/>
      <c r="D22" s="30"/>
      <c r="E22" s="26">
        <f>10172-1877-1000+4042+5502</f>
        <v>16839</v>
      </c>
      <c r="F22" s="31"/>
      <c r="G22" s="42">
        <f>1634+4610+10682+115</f>
        <v>17041</v>
      </c>
      <c r="H22" s="35">
        <f>G22-B22</f>
        <v>-24</v>
      </c>
    </row>
    <row r="23" spans="1:8" ht="11.4" x14ac:dyDescent="0.2">
      <c r="A23" s="40" t="s">
        <v>59</v>
      </c>
      <c r="B23" s="41">
        <f>SUM(B19:B22)</f>
        <v>27565</v>
      </c>
      <c r="C23" s="29"/>
      <c r="D23" s="40"/>
      <c r="E23" s="41">
        <f>SUM(E19:E22)</f>
        <v>-2538635486182</v>
      </c>
      <c r="F23" s="30"/>
      <c r="G23" s="41">
        <f>SUM(G19:G22)</f>
        <v>30859</v>
      </c>
      <c r="H23" s="24">
        <f>G23-B23</f>
        <v>3294</v>
      </c>
    </row>
    <row r="24" spans="1:8" x14ac:dyDescent="0.2">
      <c r="H24" s="28"/>
    </row>
    <row r="25" spans="1:8" x14ac:dyDescent="0.2">
      <c r="A25" s="28" t="s">
        <v>60</v>
      </c>
      <c r="B25" s="24">
        <v>718</v>
      </c>
      <c r="G25" s="24">
        <v>722</v>
      </c>
      <c r="H25" s="24">
        <f>G25-B25</f>
        <v>4</v>
      </c>
    </row>
    <row r="26" spans="1:8" x14ac:dyDescent="0.2">
      <c r="A26" s="28" t="s">
        <v>61</v>
      </c>
      <c r="B26" s="24">
        <v>2984</v>
      </c>
      <c r="E26" s="24">
        <v>1996</v>
      </c>
      <c r="G26" s="24">
        <v>1958</v>
      </c>
      <c r="H26" s="24">
        <f>G26-B26</f>
        <v>-1026</v>
      </c>
    </row>
    <row r="27" spans="1:8" ht="11.4" x14ac:dyDescent="0.2">
      <c r="A27" s="22" t="s">
        <v>62</v>
      </c>
      <c r="B27" s="35">
        <f>8097+2000</f>
        <v>10097</v>
      </c>
      <c r="C27" s="27"/>
      <c r="E27" s="24">
        <f>8097+3602</f>
        <v>11699</v>
      </c>
      <c r="F27" s="28"/>
      <c r="G27" s="35">
        <f>8297+1435</f>
        <v>9732</v>
      </c>
      <c r="H27" s="35">
        <f>G27-B27</f>
        <v>-365</v>
      </c>
    </row>
    <row r="28" spans="1:8" ht="11.4" x14ac:dyDescent="0.2">
      <c r="A28" s="40" t="s">
        <v>63</v>
      </c>
      <c r="B28" s="41">
        <f>SUM(B25:B27)</f>
        <v>13799</v>
      </c>
      <c r="C28" s="29"/>
      <c r="D28" s="40" t="s">
        <v>64</v>
      </c>
      <c r="E28" s="41">
        <f>SUM(E26:E27)</f>
        <v>13695</v>
      </c>
      <c r="F28" s="30"/>
      <c r="G28" s="41">
        <f>SUM(G25:G27)</f>
        <v>12412</v>
      </c>
      <c r="H28" s="24">
        <f>G28-B28</f>
        <v>-1387</v>
      </c>
    </row>
    <row r="30" spans="1:8" ht="11.4" x14ac:dyDescent="0.2">
      <c r="A30" s="37" t="s">
        <v>65</v>
      </c>
      <c r="B30" s="38">
        <f>B23+B28</f>
        <v>41364</v>
      </c>
      <c r="C30" s="27"/>
      <c r="D30" s="37"/>
      <c r="E30" s="38">
        <f>E23+E28</f>
        <v>-2538635472487</v>
      </c>
      <c r="G30" s="38">
        <f>G23+G28</f>
        <v>43271</v>
      </c>
      <c r="H30" s="35">
        <f>G30-B30</f>
        <v>1907</v>
      </c>
    </row>
    <row r="31" spans="1:8" x14ac:dyDescent="0.2">
      <c r="H31" s="24">
        <f>G31-B31</f>
        <v>0</v>
      </c>
    </row>
    <row r="32" spans="1:8" ht="13.5" customHeight="1" x14ac:dyDescent="0.2">
      <c r="A32" s="37" t="s">
        <v>66</v>
      </c>
      <c r="B32" s="38">
        <f>B16+B30</f>
        <v>202528</v>
      </c>
      <c r="D32" s="37" t="s">
        <v>67</v>
      </c>
      <c r="E32" s="38">
        <f>E16+E30</f>
        <v>-2538635311323</v>
      </c>
      <c r="G32" s="38">
        <f>G16+G30</f>
        <v>204435</v>
      </c>
    </row>
    <row r="33" spans="1:8" ht="12.75" customHeight="1" x14ac:dyDescent="0.2"/>
    <row r="34" spans="1:8" x14ac:dyDescent="0.2">
      <c r="A34" s="28" t="s">
        <v>17</v>
      </c>
      <c r="B34" s="35">
        <v>21797</v>
      </c>
      <c r="G34" s="35">
        <v>23429</v>
      </c>
    </row>
    <row r="35" spans="1:8" x14ac:dyDescent="0.2">
      <c r="A35" s="43" t="s">
        <v>70</v>
      </c>
      <c r="B35" s="24">
        <f>SUM(B32:B34)</f>
        <v>224325</v>
      </c>
      <c r="G35" s="32">
        <f>SUM(G32:G34)</f>
        <v>227864</v>
      </c>
    </row>
    <row r="36" spans="1:8" ht="11.4" x14ac:dyDescent="0.2">
      <c r="A36" s="39"/>
      <c r="B36" s="24"/>
      <c r="E36" s="24"/>
      <c r="G36" s="24"/>
      <c r="H36" s="28"/>
    </row>
    <row r="37" spans="1:8" x14ac:dyDescent="0.2">
      <c r="A37" s="28" t="s">
        <v>73</v>
      </c>
      <c r="B37" s="24">
        <f>23429-21797</f>
        <v>1632</v>
      </c>
      <c r="G37" s="24"/>
    </row>
    <row r="38" spans="1:8" ht="11.4" x14ac:dyDescent="0.2">
      <c r="A38" s="28" t="s">
        <v>78</v>
      </c>
      <c r="B38" s="24">
        <v>2241</v>
      </c>
      <c r="C38" s="27" t="s">
        <v>84</v>
      </c>
      <c r="G38" s="24"/>
    </row>
    <row r="39" spans="1:8" ht="11.4" x14ac:dyDescent="0.2">
      <c r="A39" s="28" t="s">
        <v>71</v>
      </c>
      <c r="B39" s="24">
        <v>-1026</v>
      </c>
      <c r="C39" s="27" t="s">
        <v>85</v>
      </c>
      <c r="G39" s="24"/>
    </row>
    <row r="40" spans="1:8" ht="11.4" x14ac:dyDescent="0.2">
      <c r="A40" s="28" t="s">
        <v>74</v>
      </c>
      <c r="B40" s="24">
        <v>1105</v>
      </c>
      <c r="C40" s="27" t="s">
        <v>86</v>
      </c>
      <c r="G40" s="24"/>
    </row>
    <row r="41" spans="1:8" x14ac:dyDescent="0.2">
      <c r="A41" s="28" t="s">
        <v>76</v>
      </c>
      <c r="B41" s="24">
        <v>-365</v>
      </c>
      <c r="G41" s="24"/>
    </row>
    <row r="42" spans="1:8" x14ac:dyDescent="0.2">
      <c r="A42" s="28" t="s">
        <v>80</v>
      </c>
      <c r="B42" s="24">
        <v>-48</v>
      </c>
      <c r="G42" s="24"/>
    </row>
    <row r="43" spans="1:8" x14ac:dyDescent="0.2">
      <c r="A43" s="43" t="s">
        <v>70</v>
      </c>
      <c r="B43" s="24">
        <f>SUM(B37:B42)</f>
        <v>3539</v>
      </c>
      <c r="G43" s="24"/>
    </row>
    <row r="44" spans="1:8" x14ac:dyDescent="0.2">
      <c r="A44" s="43"/>
      <c r="B44" s="24"/>
      <c r="G44" s="24"/>
    </row>
    <row r="45" spans="1:8" x14ac:dyDescent="0.2">
      <c r="A45" s="44" t="s">
        <v>69</v>
      </c>
      <c r="B45" s="24">
        <v>-60</v>
      </c>
      <c r="G45" s="24">
        <v>-60</v>
      </c>
    </row>
    <row r="46" spans="1:8" x14ac:dyDescent="0.2">
      <c r="B46" s="24"/>
      <c r="G46" s="24"/>
    </row>
    <row r="47" spans="1:8" ht="10.8" thickBot="1" x14ac:dyDescent="0.25">
      <c r="A47" s="51" t="s">
        <v>72</v>
      </c>
      <c r="B47" s="50">
        <f>B35+B43+B45</f>
        <v>227804</v>
      </c>
      <c r="G47" s="50">
        <f>G35+G45</f>
        <v>227804</v>
      </c>
    </row>
    <row r="48" spans="1:8" ht="13.5" customHeight="1" thickTop="1" x14ac:dyDescent="0.2">
      <c r="B48" s="24"/>
      <c r="G48" s="24"/>
    </row>
    <row r="49" spans="1:11" x14ac:dyDescent="0.2">
      <c r="A49" s="28" t="s">
        <v>75</v>
      </c>
      <c r="B49" s="24"/>
    </row>
    <row r="50" spans="1:11" ht="8.25" customHeight="1" x14ac:dyDescent="0.2">
      <c r="B50" s="24"/>
    </row>
    <row r="51" spans="1:11" ht="11.25" customHeight="1" x14ac:dyDescent="0.2">
      <c r="A51" s="27" t="s">
        <v>87</v>
      </c>
      <c r="B51" s="24"/>
    </row>
    <row r="52" spans="1:11" ht="24.75" customHeight="1" x14ac:dyDescent="0.2">
      <c r="A52" s="79" t="s">
        <v>88</v>
      </c>
      <c r="B52" s="79"/>
      <c r="C52" s="79"/>
      <c r="D52" s="79"/>
      <c r="E52" s="79"/>
      <c r="F52" s="79"/>
      <c r="G52" s="79"/>
      <c r="H52" s="79"/>
    </row>
    <row r="53" spans="1:11" ht="11.25" customHeight="1" x14ac:dyDescent="0.2">
      <c r="A53" s="27" t="s">
        <v>89</v>
      </c>
      <c r="B53" s="53"/>
      <c r="C53" s="53"/>
      <c r="D53" s="53"/>
      <c r="E53" s="53"/>
      <c r="F53" s="53"/>
      <c r="G53" s="53"/>
    </row>
    <row r="54" spans="1:11" x14ac:dyDescent="0.2">
      <c r="B54" s="53"/>
      <c r="C54" s="53"/>
      <c r="D54" s="53"/>
      <c r="E54" s="53"/>
      <c r="F54" s="53"/>
      <c r="G54" s="53"/>
    </row>
    <row r="55" spans="1:11" x14ac:dyDescent="0.2">
      <c r="B55" s="53"/>
      <c r="C55" s="53"/>
      <c r="D55" s="53"/>
      <c r="E55" s="53"/>
      <c r="F55" s="53"/>
      <c r="G55" s="53"/>
    </row>
    <row r="56" spans="1:11" ht="10.8" thickBot="1" x14ac:dyDescent="0.25">
      <c r="A56" s="57" t="s">
        <v>122</v>
      </c>
      <c r="B56" s="70" t="s">
        <v>110</v>
      </c>
      <c r="C56" s="53"/>
      <c r="D56" s="53"/>
      <c r="E56" s="53"/>
      <c r="F56" s="53"/>
      <c r="G56" s="71" t="s">
        <v>121</v>
      </c>
      <c r="J56" s="52" t="s">
        <v>97</v>
      </c>
    </row>
    <row r="57" spans="1:11" x14ac:dyDescent="0.2">
      <c r="A57" s="28" t="s">
        <v>91</v>
      </c>
      <c r="B57" s="53">
        <f>K63</f>
        <v>27849</v>
      </c>
      <c r="C57" s="53"/>
      <c r="D57" s="53"/>
      <c r="E57" s="53"/>
      <c r="F57" s="53"/>
      <c r="G57" s="53">
        <v>27048</v>
      </c>
      <c r="J57" s="28" t="s">
        <v>92</v>
      </c>
      <c r="K57" s="22">
        <v>1333</v>
      </c>
    </row>
    <row r="58" spans="1:11" x14ac:dyDescent="0.2">
      <c r="A58" s="28" t="s">
        <v>6</v>
      </c>
      <c r="B58" s="53">
        <v>9878</v>
      </c>
      <c r="C58" s="53"/>
      <c r="D58" s="53"/>
      <c r="E58" s="53"/>
      <c r="F58" s="53"/>
      <c r="G58" s="53">
        <v>9610</v>
      </c>
      <c r="J58" s="28" t="s">
        <v>93</v>
      </c>
      <c r="K58" s="22">
        <v>1471</v>
      </c>
    </row>
    <row r="59" spans="1:11" x14ac:dyDescent="0.2">
      <c r="A59" s="28" t="s">
        <v>10</v>
      </c>
      <c r="B59" s="53">
        <v>86496</v>
      </c>
      <c r="C59" s="53"/>
      <c r="D59" s="53"/>
      <c r="E59" s="53"/>
      <c r="F59" s="53"/>
      <c r="G59" s="53">
        <v>112359</v>
      </c>
      <c r="J59" s="28" t="s">
        <v>94</v>
      </c>
      <c r="K59" s="22">
        <v>3244</v>
      </c>
    </row>
    <row r="60" spans="1:11" x14ac:dyDescent="0.2">
      <c r="A60" s="28" t="s">
        <v>19</v>
      </c>
      <c r="B60" s="53">
        <v>20839</v>
      </c>
      <c r="C60" s="53"/>
      <c r="D60" s="53"/>
      <c r="E60" s="53"/>
      <c r="F60" s="53"/>
      <c r="G60" s="53">
        <v>19120</v>
      </c>
      <c r="J60" s="28" t="s">
        <v>95</v>
      </c>
      <c r="K60" s="22">
        <v>6195</v>
      </c>
    </row>
    <row r="61" spans="1:11" x14ac:dyDescent="0.2">
      <c r="A61" s="28" t="s">
        <v>1</v>
      </c>
      <c r="B61" s="53">
        <v>3758</v>
      </c>
      <c r="C61" s="53"/>
      <c r="D61" s="53"/>
      <c r="E61" s="53"/>
      <c r="F61" s="53"/>
      <c r="G61" s="53">
        <v>29327</v>
      </c>
      <c r="J61" s="28" t="s">
        <v>96</v>
      </c>
      <c r="K61" s="22">
        <v>15606</v>
      </c>
    </row>
    <row r="62" spans="1:11" x14ac:dyDescent="0.2">
      <c r="A62" s="28" t="s">
        <v>47</v>
      </c>
      <c r="B62" s="63">
        <v>271</v>
      </c>
      <c r="C62" s="53"/>
      <c r="D62" s="53"/>
      <c r="E62" s="53"/>
      <c r="F62" s="53"/>
      <c r="G62" s="63">
        <v>60</v>
      </c>
      <c r="J62" s="28"/>
      <c r="K62" s="49"/>
    </row>
    <row r="63" spans="1:11" x14ac:dyDescent="0.2">
      <c r="A63" s="28" t="s">
        <v>90</v>
      </c>
      <c r="B63" s="54">
        <v>14</v>
      </c>
      <c r="C63" s="53"/>
      <c r="D63" s="53"/>
      <c r="E63" s="53"/>
      <c r="F63" s="53"/>
      <c r="G63" s="54">
        <v>14</v>
      </c>
      <c r="K63" s="33">
        <f>SUM(K57:K62)</f>
        <v>27849</v>
      </c>
    </row>
    <row r="64" spans="1:11" x14ac:dyDescent="0.2">
      <c r="A64" s="28" t="s">
        <v>101</v>
      </c>
      <c r="B64" s="53">
        <f>SUM(B57:B63)</f>
        <v>149105</v>
      </c>
      <c r="C64" s="53"/>
      <c r="D64" s="53"/>
      <c r="E64" s="53"/>
      <c r="F64" s="53"/>
      <c r="G64" s="53">
        <f>SUM(G57:G63)</f>
        <v>197538</v>
      </c>
    </row>
    <row r="65" spans="1:7" x14ac:dyDescent="0.2">
      <c r="B65" s="53"/>
      <c r="C65" s="53"/>
      <c r="D65" s="53"/>
      <c r="E65" s="53"/>
      <c r="F65" s="53"/>
      <c r="G65" s="53"/>
    </row>
    <row r="66" spans="1:7" x14ac:dyDescent="0.2">
      <c r="A66" s="28" t="s">
        <v>48</v>
      </c>
      <c r="B66" s="53">
        <v>1586</v>
      </c>
      <c r="C66" s="53"/>
      <c r="D66" s="53"/>
      <c r="E66" s="53"/>
      <c r="F66" s="53"/>
      <c r="G66" s="53">
        <v>4657</v>
      </c>
    </row>
    <row r="67" spans="1:7" x14ac:dyDescent="0.2">
      <c r="A67" s="28" t="s">
        <v>49</v>
      </c>
      <c r="B67" s="53">
        <v>5136</v>
      </c>
      <c r="C67" s="53"/>
      <c r="D67" s="53"/>
      <c r="E67" s="53"/>
      <c r="F67" s="53"/>
      <c r="G67" s="53">
        <v>0</v>
      </c>
    </row>
    <row r="68" spans="1:7" x14ac:dyDescent="0.2">
      <c r="A68" s="28" t="s">
        <v>105</v>
      </c>
      <c r="B68" s="53">
        <v>6000</v>
      </c>
      <c r="C68" s="53"/>
      <c r="D68" s="53"/>
      <c r="E68" s="53"/>
      <c r="F68" s="53"/>
      <c r="G68" s="53">
        <v>0</v>
      </c>
    </row>
    <row r="69" spans="1:7" x14ac:dyDescent="0.2">
      <c r="A69" s="28" t="s">
        <v>98</v>
      </c>
      <c r="B69" s="54">
        <v>-3018</v>
      </c>
      <c r="C69" s="53"/>
      <c r="D69" s="53"/>
      <c r="E69" s="53"/>
      <c r="F69" s="53"/>
      <c r="G69" s="54">
        <v>0</v>
      </c>
    </row>
    <row r="70" spans="1:7" x14ac:dyDescent="0.2">
      <c r="A70" s="28" t="s">
        <v>102</v>
      </c>
      <c r="B70" s="53">
        <f>SUM(B66:B69)</f>
        <v>9704</v>
      </c>
      <c r="C70" s="53"/>
      <c r="D70" s="53"/>
      <c r="E70" s="53"/>
      <c r="F70" s="53"/>
      <c r="G70" s="53">
        <f>SUM(G66:G69)</f>
        <v>4657</v>
      </c>
    </row>
    <row r="71" spans="1:7" x14ac:dyDescent="0.2">
      <c r="B71" s="53"/>
      <c r="C71" s="53"/>
      <c r="D71" s="53"/>
      <c r="E71" s="53"/>
      <c r="F71" s="53"/>
      <c r="G71" s="53"/>
    </row>
    <row r="72" spans="1:7" x14ac:dyDescent="0.2">
      <c r="A72" s="28" t="s">
        <v>100</v>
      </c>
      <c r="B72" s="53">
        <v>12400</v>
      </c>
      <c r="C72" s="53"/>
      <c r="D72" s="53"/>
      <c r="E72" s="53"/>
      <c r="F72" s="53"/>
      <c r="G72" s="53">
        <v>0</v>
      </c>
    </row>
    <row r="73" spans="1:7" x14ac:dyDescent="0.2">
      <c r="A73" s="28" t="s">
        <v>22</v>
      </c>
      <c r="B73" s="53">
        <v>3341</v>
      </c>
      <c r="C73" s="53"/>
      <c r="D73" s="53"/>
      <c r="E73" s="53"/>
      <c r="F73" s="53"/>
      <c r="G73" s="53">
        <v>0</v>
      </c>
    </row>
    <row r="74" spans="1:7" x14ac:dyDescent="0.2">
      <c r="A74" s="28" t="s">
        <v>60</v>
      </c>
      <c r="B74" s="53">
        <v>5300</v>
      </c>
      <c r="C74" s="53"/>
      <c r="D74" s="53"/>
      <c r="E74" s="53"/>
      <c r="F74" s="53"/>
      <c r="G74" s="53">
        <v>0</v>
      </c>
    </row>
    <row r="75" spans="1:7" x14ac:dyDescent="0.2">
      <c r="A75" s="28" t="s">
        <v>79</v>
      </c>
      <c r="B75" s="53">
        <v>4683</v>
      </c>
      <c r="C75" s="53"/>
      <c r="D75" s="53"/>
      <c r="E75" s="53"/>
      <c r="F75" s="53"/>
      <c r="G75" s="53">
        <v>0</v>
      </c>
    </row>
    <row r="76" spans="1:7" x14ac:dyDescent="0.2">
      <c r="A76" s="28" t="s">
        <v>55</v>
      </c>
      <c r="B76" s="53">
        <v>5506</v>
      </c>
      <c r="C76" s="53"/>
      <c r="D76" s="53"/>
      <c r="E76" s="53"/>
      <c r="F76" s="53"/>
      <c r="G76" s="53">
        <v>0</v>
      </c>
    </row>
    <row r="77" spans="1:7" x14ac:dyDescent="0.2">
      <c r="A77" s="28" t="s">
        <v>57</v>
      </c>
      <c r="B77" s="53">
        <v>14778</v>
      </c>
      <c r="C77" s="53"/>
      <c r="D77" s="53"/>
      <c r="E77" s="53"/>
      <c r="F77" s="53"/>
      <c r="G77" s="53">
        <v>0</v>
      </c>
    </row>
    <row r="78" spans="1:7" x14ac:dyDescent="0.2">
      <c r="A78" s="28" t="s">
        <v>99</v>
      </c>
      <c r="B78" s="53">
        <v>26709</v>
      </c>
      <c r="C78" s="53"/>
      <c r="D78" s="53"/>
      <c r="E78" s="53"/>
      <c r="F78" s="53"/>
      <c r="G78" s="53">
        <v>0</v>
      </c>
    </row>
    <row r="79" spans="1:7" x14ac:dyDescent="0.2">
      <c r="A79" s="28" t="s">
        <v>98</v>
      </c>
      <c r="B79" s="54">
        <v>17240</v>
      </c>
      <c r="C79" s="53"/>
      <c r="D79" s="53"/>
      <c r="E79" s="53"/>
      <c r="F79" s="53"/>
      <c r="G79" s="54">
        <v>0</v>
      </c>
    </row>
    <row r="80" spans="1:7" x14ac:dyDescent="0.2">
      <c r="A80" s="28" t="s">
        <v>103</v>
      </c>
      <c r="B80" s="53">
        <f>SUM(B72:B79)</f>
        <v>89957</v>
      </c>
      <c r="C80" s="53"/>
      <c r="D80" s="53"/>
      <c r="E80" s="53"/>
      <c r="F80" s="53"/>
      <c r="G80" s="53">
        <f>SUM(G72:G79)</f>
        <v>0</v>
      </c>
    </row>
    <row r="81" spans="1:8" x14ac:dyDescent="0.2">
      <c r="B81" s="53"/>
      <c r="C81" s="53"/>
      <c r="D81" s="53"/>
      <c r="E81" s="53"/>
      <c r="F81" s="53"/>
      <c r="G81" s="53"/>
    </row>
    <row r="82" spans="1:8" x14ac:dyDescent="0.2">
      <c r="A82" s="28" t="s">
        <v>17</v>
      </c>
      <c r="B82" s="63">
        <v>17892</v>
      </c>
      <c r="C82" s="53"/>
      <c r="D82" s="53"/>
      <c r="E82" s="53"/>
      <c r="F82" s="53"/>
      <c r="G82" s="63">
        <v>21797</v>
      </c>
    </row>
    <row r="83" spans="1:8" x14ac:dyDescent="0.2">
      <c r="A83" s="28" t="s">
        <v>104</v>
      </c>
      <c r="B83" s="54">
        <v>0</v>
      </c>
      <c r="C83" s="53"/>
      <c r="D83" s="53"/>
      <c r="E83" s="53"/>
      <c r="F83" s="53"/>
      <c r="G83" s="54">
        <v>0</v>
      </c>
    </row>
    <row r="84" spans="1:8" x14ac:dyDescent="0.2">
      <c r="A84" s="28" t="s">
        <v>106</v>
      </c>
      <c r="B84" s="63">
        <f>SUM(B82:B83)</f>
        <v>17892</v>
      </c>
      <c r="C84" s="53"/>
      <c r="D84" s="53"/>
      <c r="E84" s="53"/>
      <c r="F84" s="53"/>
      <c r="G84" s="63">
        <f>SUM(G82:G83)</f>
        <v>21797</v>
      </c>
    </row>
    <row r="85" spans="1:8" x14ac:dyDescent="0.2">
      <c r="B85" s="53"/>
      <c r="C85" s="53"/>
      <c r="D85" s="53"/>
      <c r="E85" s="53"/>
      <c r="F85" s="53"/>
      <c r="G85" s="53"/>
    </row>
    <row r="86" spans="1:8" ht="10.8" thickBot="1" x14ac:dyDescent="0.25">
      <c r="A86" s="28" t="s">
        <v>111</v>
      </c>
      <c r="B86" s="64">
        <f>B64+B70+B80+B84</f>
        <v>266658</v>
      </c>
      <c r="C86" s="53"/>
      <c r="D86" s="53"/>
      <c r="E86" s="53"/>
      <c r="F86" s="53"/>
      <c r="G86" s="64">
        <f>G64+G70+G80+G84</f>
        <v>223992</v>
      </c>
    </row>
    <row r="87" spans="1:8" ht="10.8" thickTop="1" x14ac:dyDescent="0.2">
      <c r="B87" s="53"/>
      <c r="C87" s="53"/>
      <c r="D87" s="53"/>
      <c r="E87" s="53"/>
      <c r="F87" s="53"/>
      <c r="G87" s="53"/>
      <c r="H87" s="58"/>
    </row>
    <row r="88" spans="1:8" x14ac:dyDescent="0.2">
      <c r="A88" s="55" t="s">
        <v>108</v>
      </c>
      <c r="B88" s="53"/>
      <c r="C88" s="53"/>
      <c r="D88" s="53"/>
      <c r="E88" s="53"/>
      <c r="F88" s="53"/>
      <c r="G88" s="53"/>
      <c r="H88" s="60" t="s">
        <v>113</v>
      </c>
    </row>
    <row r="89" spans="1:8" x14ac:dyDescent="0.2">
      <c r="A89" s="28" t="s">
        <v>112</v>
      </c>
      <c r="B89" s="53">
        <f>B86</f>
        <v>266658</v>
      </c>
      <c r="C89" s="53"/>
      <c r="D89" s="53"/>
      <c r="E89" s="53"/>
      <c r="F89" s="53"/>
      <c r="G89" s="53">
        <f>G86</f>
        <v>223992</v>
      </c>
      <c r="H89" s="61">
        <f>B89+G89</f>
        <v>490650</v>
      </c>
    </row>
    <row r="90" spans="1:8" x14ac:dyDescent="0.2">
      <c r="A90" s="28" t="s">
        <v>114</v>
      </c>
      <c r="B90" s="59">
        <v>-17240</v>
      </c>
      <c r="C90" s="53"/>
      <c r="D90" s="53"/>
      <c r="E90" s="53"/>
      <c r="F90" s="53"/>
      <c r="G90" s="53"/>
      <c r="H90" s="61">
        <f>B90+G90</f>
        <v>-17240</v>
      </c>
    </row>
    <row r="91" spans="1:8" x14ac:dyDescent="0.2">
      <c r="A91" s="28" t="s">
        <v>115</v>
      </c>
      <c r="B91" s="54">
        <f>-B69</f>
        <v>3018</v>
      </c>
      <c r="C91" s="53"/>
      <c r="D91" s="53"/>
      <c r="E91" s="53"/>
      <c r="F91" s="53"/>
      <c r="G91" s="54">
        <f>-G69</f>
        <v>0</v>
      </c>
      <c r="H91" s="61">
        <f>B91+G91</f>
        <v>3018</v>
      </c>
    </row>
    <row r="92" spans="1:8" ht="10.8" thickBot="1" x14ac:dyDescent="0.25">
      <c r="A92" s="55" t="s">
        <v>107</v>
      </c>
      <c r="B92" s="56">
        <f>SUM(B89:B91)</f>
        <v>252436</v>
      </c>
      <c r="C92" s="53"/>
      <c r="D92" s="53"/>
      <c r="E92" s="53"/>
      <c r="F92" s="53"/>
      <c r="G92" s="56">
        <f>SUM(G89:G91)</f>
        <v>223992</v>
      </c>
      <c r="H92" s="65">
        <f>SUM(H89:H91)</f>
        <v>476428</v>
      </c>
    </row>
    <row r="93" spans="1:8" ht="10.8" thickTop="1" x14ac:dyDescent="0.2">
      <c r="B93" s="53"/>
      <c r="C93" s="53"/>
      <c r="D93" s="53"/>
      <c r="E93" s="53"/>
      <c r="F93" s="53"/>
      <c r="G93" s="53"/>
      <c r="H93" s="62"/>
    </row>
    <row r="94" spans="1:8" x14ac:dyDescent="0.2">
      <c r="A94" s="28" t="s">
        <v>116</v>
      </c>
      <c r="B94" s="54">
        <f>-148558</f>
        <v>-148558</v>
      </c>
      <c r="C94" s="53"/>
      <c r="D94" s="53"/>
      <c r="E94" s="53"/>
      <c r="F94" s="53"/>
      <c r="G94" s="54">
        <v>0</v>
      </c>
      <c r="H94" s="62"/>
    </row>
    <row r="95" spans="1:8" ht="13.2" x14ac:dyDescent="0.25">
      <c r="A95"/>
      <c r="B95" s="12"/>
      <c r="C95" s="12"/>
      <c r="D95" s="12"/>
      <c r="E95" s="12"/>
      <c r="F95" s="12"/>
      <c r="G95" s="12"/>
      <c r="H95"/>
    </row>
    <row r="96" spans="1:8" ht="10.8" thickBot="1" x14ac:dyDescent="0.25">
      <c r="A96" s="55" t="s">
        <v>109</v>
      </c>
      <c r="B96" s="65">
        <f>B92+B94</f>
        <v>103878</v>
      </c>
      <c r="C96" s="56"/>
      <c r="D96" s="56"/>
      <c r="E96" s="56"/>
      <c r="F96" s="56"/>
      <c r="G96" s="65">
        <f>G92+G94</f>
        <v>223992</v>
      </c>
      <c r="H96" s="66">
        <f>B96+G96</f>
        <v>327870</v>
      </c>
    </row>
    <row r="97" spans="1:9" ht="10.8" thickTop="1" x14ac:dyDescent="0.2">
      <c r="A97" s="28"/>
      <c r="B97" s="63"/>
      <c r="C97" s="53"/>
      <c r="D97" s="53"/>
      <c r="E97" s="53"/>
      <c r="F97" s="53"/>
      <c r="G97" s="63"/>
    </row>
    <row r="98" spans="1:9" ht="15.75" customHeight="1" x14ac:dyDescent="0.2">
      <c r="A98" s="68" t="s">
        <v>117</v>
      </c>
      <c r="B98" s="53"/>
      <c r="C98" s="53"/>
      <c r="D98" s="53"/>
      <c r="E98" s="53"/>
      <c r="F98" s="53"/>
      <c r="G98" s="54">
        <f>-G82</f>
        <v>-21797</v>
      </c>
    </row>
    <row r="99" spans="1:9" x14ac:dyDescent="0.2">
      <c r="A99" s="68" t="s">
        <v>118</v>
      </c>
      <c r="B99" s="53"/>
      <c r="C99" s="53"/>
      <c r="D99" s="53"/>
      <c r="E99" s="53"/>
      <c r="F99" s="53"/>
      <c r="G99" s="63">
        <f>G96+G98</f>
        <v>202195</v>
      </c>
    </row>
    <row r="100" spans="1:9" x14ac:dyDescent="0.2">
      <c r="A100" s="62" t="s">
        <v>119</v>
      </c>
      <c r="B100" s="53"/>
      <c r="C100" s="53"/>
      <c r="D100" s="53"/>
      <c r="E100" s="53"/>
      <c r="F100" s="53"/>
      <c r="G100" s="54">
        <f>G32+G45</f>
        <v>204375</v>
      </c>
    </row>
    <row r="101" spans="1:9" ht="21" thickBot="1" x14ac:dyDescent="0.25">
      <c r="A101" s="62" t="s">
        <v>120</v>
      </c>
      <c r="G101" s="67">
        <f>G99-G100</f>
        <v>-2180</v>
      </c>
      <c r="I101" s="77" t="s">
        <v>127</v>
      </c>
    </row>
    <row r="102" spans="1:9" ht="10.8" thickTop="1" x14ac:dyDescent="0.2">
      <c r="A102" s="62"/>
      <c r="G102" s="72"/>
    </row>
    <row r="103" spans="1:9" x14ac:dyDescent="0.2">
      <c r="A103" s="76" t="s">
        <v>125</v>
      </c>
      <c r="B103" s="60" t="s">
        <v>123</v>
      </c>
      <c r="C103" s="74"/>
      <c r="D103" s="74"/>
      <c r="E103" s="74"/>
      <c r="F103" s="74"/>
      <c r="G103" s="75" t="s">
        <v>124</v>
      </c>
    </row>
    <row r="104" spans="1:9" x14ac:dyDescent="0.2">
      <c r="A104" s="28" t="s">
        <v>112</v>
      </c>
      <c r="B104" s="53">
        <v>247418</v>
      </c>
      <c r="C104" s="53"/>
      <c r="D104" s="53"/>
      <c r="E104" s="53"/>
      <c r="F104" s="53"/>
      <c r="G104" s="73"/>
      <c r="H104" s="53"/>
      <c r="I104" s="53"/>
    </row>
    <row r="105" spans="1:9" x14ac:dyDescent="0.2">
      <c r="A105" s="28" t="s">
        <v>114</v>
      </c>
      <c r="B105" s="53">
        <v>0</v>
      </c>
      <c r="C105" s="53"/>
      <c r="D105" s="53"/>
      <c r="E105" s="53"/>
      <c r="F105" s="53"/>
      <c r="G105" s="73"/>
      <c r="H105" s="53"/>
      <c r="I105" s="53"/>
    </row>
    <row r="106" spans="1:9" x14ac:dyDescent="0.2">
      <c r="A106" s="28" t="s">
        <v>115</v>
      </c>
      <c r="B106" s="54">
        <v>3734</v>
      </c>
      <c r="C106" s="53"/>
      <c r="D106" s="53"/>
      <c r="E106" s="53"/>
      <c r="F106" s="53"/>
      <c r="G106" s="69"/>
      <c r="H106" s="54"/>
      <c r="I106" s="53"/>
    </row>
    <row r="107" spans="1:9" ht="10.8" thickBot="1" x14ac:dyDescent="0.25">
      <c r="A107" s="55" t="s">
        <v>107</v>
      </c>
      <c r="B107" s="65">
        <f>SUM(B104:B106)</f>
        <v>251152</v>
      </c>
      <c r="C107" s="53"/>
      <c r="D107" s="53"/>
      <c r="E107" s="53"/>
      <c r="F107" s="53"/>
      <c r="G107" s="65">
        <f>G92</f>
        <v>223992</v>
      </c>
      <c r="H107" s="65">
        <f>B107+G107</f>
        <v>475144</v>
      </c>
      <c r="I107" s="53"/>
    </row>
    <row r="108" spans="1:9" ht="61.8" thickTop="1" x14ac:dyDescent="0.2">
      <c r="A108" s="62" t="s">
        <v>126</v>
      </c>
      <c r="B108" s="53">
        <f>B107-B92</f>
        <v>-1284</v>
      </c>
      <c r="C108" s="53"/>
      <c r="D108" s="53"/>
      <c r="E108" s="53"/>
      <c r="F108" s="53"/>
      <c r="G108" s="53">
        <f>G107-G92</f>
        <v>0</v>
      </c>
      <c r="H108" s="53">
        <f>H107-H92</f>
        <v>-1284</v>
      </c>
      <c r="I108" s="78" t="s">
        <v>128</v>
      </c>
    </row>
    <row r="110" spans="1:9" x14ac:dyDescent="0.2">
      <c r="A110" s="22" t="str">
        <f ca="1">CELL("filename")</f>
        <v>H:\Presentations\Enron 2001\[2002 capital slide.xls]2002 8-21 compared to 9-13</v>
      </c>
    </row>
  </sheetData>
  <mergeCells count="1">
    <mergeCell ref="A52:H52"/>
  </mergeCells>
  <printOptions horizontalCentered="1"/>
  <pageMargins left="0.71" right="0.75" top="0.56000000000000005" bottom="0.77" header="0.5" footer="0.5"/>
  <pageSetup scale="95" orientation="portrait" horizontalDpi="300" r:id="rId1"/>
  <headerFooter alignWithMargins="0">
    <oddFooter>&amp;L&amp;8g:\budget\presentations\Enron2001\&amp;F\&amp;A&amp;R&amp;8&amp;D</oddFooter>
  </headerFooter>
  <rowBreaks count="1" manualBreakCount="1">
    <brk id="5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Original 2002 capital slide</vt:lpstr>
      <vt:lpstr>Updated 2002 capital slide</vt:lpstr>
      <vt:lpstr>2002 8-21 compared to 9-13</vt:lpstr>
      <vt:lpstr>Sheet1</vt:lpstr>
      <vt:lpstr>Sheet2</vt:lpstr>
      <vt:lpstr>Sheet3</vt:lpstr>
      <vt:lpstr>'2002 8-21 compared to 9-13'!Print_Area</vt:lpstr>
      <vt:lpstr>'Original 2002 capital slide'!Print_Area</vt:lpstr>
      <vt:lpstr>'Updated 2002 capital slide'!Print_Area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E25625</dc:creator>
  <cp:lastModifiedBy>Havlíček Jan</cp:lastModifiedBy>
  <cp:lastPrinted>2001-10-23T16:25:44Z</cp:lastPrinted>
  <dcterms:created xsi:type="dcterms:W3CDTF">2001-03-21T00:35:49Z</dcterms:created>
  <dcterms:modified xsi:type="dcterms:W3CDTF">2023-09-10T14:59:34Z</dcterms:modified>
</cp:coreProperties>
</file>