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16" windowWidth="11100" windowHeight="6348"/>
  </bookViews>
  <sheets>
    <sheet name="Southeast" sheetId="8" r:id="rId1"/>
    <sheet name="Sheet2" sheetId="2" r:id="rId2"/>
    <sheet name="Sheet3" sheetId="3" r:id="rId3"/>
  </sheets>
  <definedNames>
    <definedName name="_xlnm.Print_Area" localSheetId="0">Southeast!$A$1:$AC$42</definedName>
  </definedNames>
  <calcPr calcId="0"/>
</workbook>
</file>

<file path=xl/calcChain.xml><?xml version="1.0" encoding="utf-8"?>
<calcChain xmlns="http://schemas.openxmlformats.org/spreadsheetml/2006/main">
  <c r="D13" i="8" l="1"/>
  <c r="F13" i="8"/>
  <c r="H13" i="8"/>
  <c r="X13" i="8"/>
  <c r="Z13" i="8"/>
  <c r="AB13" i="8"/>
  <c r="B16" i="8"/>
  <c r="D16" i="8"/>
  <c r="F16" i="8"/>
  <c r="H16" i="8"/>
  <c r="J16" i="8"/>
  <c r="L16" i="8"/>
  <c r="N16" i="8"/>
  <c r="P16" i="8"/>
  <c r="R16" i="8"/>
  <c r="Z16" i="8"/>
  <c r="AB16" i="8"/>
  <c r="H17" i="8"/>
  <c r="X17" i="8"/>
  <c r="Z17" i="8"/>
  <c r="AB17" i="8"/>
  <c r="D18" i="8"/>
  <c r="F18" i="8"/>
  <c r="H18" i="8"/>
  <c r="Z18" i="8"/>
  <c r="AB18" i="8"/>
  <c r="H19" i="8"/>
  <c r="Z19" i="8"/>
  <c r="AB19" i="8"/>
  <c r="H20" i="8"/>
  <c r="Z20" i="8"/>
  <c r="AB20" i="8"/>
  <c r="T21" i="8"/>
  <c r="Z21" i="8"/>
  <c r="AB21" i="8"/>
  <c r="AB22" i="8"/>
  <c r="B23" i="8"/>
  <c r="D23" i="8"/>
  <c r="F23" i="8"/>
  <c r="H23" i="8"/>
  <c r="J23" i="8"/>
  <c r="L23" i="8"/>
  <c r="N23" i="8"/>
  <c r="P23" i="8"/>
  <c r="R23" i="8"/>
  <c r="T23" i="8"/>
  <c r="V23" i="8"/>
  <c r="X23" i="8"/>
  <c r="Z23" i="8"/>
  <c r="AB23" i="8"/>
  <c r="D24" i="8"/>
  <c r="H24" i="8"/>
  <c r="N24" i="8"/>
  <c r="P24" i="8"/>
  <c r="R24" i="8"/>
  <c r="V24" i="8"/>
  <c r="X24" i="8"/>
  <c r="Z24" i="8"/>
  <c r="AB24" i="8"/>
  <c r="B25" i="8"/>
  <c r="D25" i="8"/>
  <c r="F25" i="8"/>
  <c r="H25" i="8"/>
  <c r="J25" i="8"/>
  <c r="L25" i="8"/>
  <c r="N25" i="8"/>
  <c r="P25" i="8"/>
  <c r="R25" i="8"/>
  <c r="T25" i="8"/>
  <c r="V25" i="8"/>
  <c r="X25" i="8"/>
  <c r="Z25" i="8"/>
  <c r="AB25" i="8"/>
  <c r="H29" i="8"/>
  <c r="Z29" i="8"/>
  <c r="AB29" i="8"/>
  <c r="H30" i="8"/>
  <c r="N30" i="8"/>
  <c r="P30" i="8"/>
  <c r="R30" i="8"/>
  <c r="T30" i="8"/>
  <c r="V30" i="8"/>
  <c r="X30" i="8"/>
  <c r="Z30" i="8"/>
  <c r="AB30" i="8"/>
  <c r="B31" i="8"/>
  <c r="D31" i="8"/>
  <c r="F31" i="8"/>
  <c r="H31" i="8"/>
  <c r="J31" i="8"/>
  <c r="L31" i="8"/>
  <c r="N31" i="8"/>
  <c r="P31" i="8"/>
  <c r="R31" i="8"/>
  <c r="T31" i="8"/>
  <c r="V31" i="8"/>
  <c r="X31" i="8"/>
  <c r="Z31" i="8"/>
  <c r="AB31" i="8"/>
  <c r="H33" i="8"/>
  <c r="Z33" i="8"/>
  <c r="AB33" i="8"/>
  <c r="H34" i="8"/>
  <c r="J34" i="8"/>
  <c r="L34" i="8"/>
  <c r="N34" i="8"/>
  <c r="P34" i="8"/>
  <c r="R34" i="8"/>
  <c r="T34" i="8"/>
  <c r="V34" i="8"/>
  <c r="Z34" i="8"/>
  <c r="AB34" i="8"/>
  <c r="B36" i="8"/>
  <c r="D36" i="8"/>
  <c r="E36" i="8"/>
  <c r="F36" i="8"/>
  <c r="H36" i="8"/>
  <c r="J36" i="8"/>
  <c r="L36" i="8"/>
  <c r="N36" i="8"/>
  <c r="P36" i="8"/>
  <c r="R36" i="8"/>
  <c r="T36" i="8"/>
  <c r="V36" i="8"/>
  <c r="X36" i="8"/>
  <c r="Z36" i="8"/>
  <c r="AB36" i="8"/>
  <c r="H38" i="8"/>
  <c r="J38" i="8"/>
  <c r="L38" i="8"/>
  <c r="N38" i="8"/>
  <c r="P38" i="8"/>
  <c r="R38" i="8"/>
  <c r="T38" i="8"/>
  <c r="V38" i="8"/>
  <c r="X38" i="8"/>
  <c r="Z38" i="8"/>
  <c r="AB38" i="8"/>
  <c r="H40" i="8"/>
  <c r="J40" i="8"/>
  <c r="L40" i="8"/>
  <c r="N40" i="8"/>
  <c r="P40" i="8"/>
  <c r="R40" i="8"/>
  <c r="T40" i="8"/>
  <c r="V40" i="8"/>
  <c r="X40" i="8"/>
  <c r="Z40" i="8"/>
</calcChain>
</file>

<file path=xl/sharedStrings.xml><?xml version="1.0" encoding="utf-8"?>
<sst xmlns="http://schemas.openxmlformats.org/spreadsheetml/2006/main" count="51" uniqueCount="47">
  <si>
    <t>ETS OPERATIONS-PHIL LOWRY</t>
  </si>
  <si>
    <t>( $ In Thousands)</t>
  </si>
  <si>
    <t>Do not include allocated costs from ETS</t>
  </si>
  <si>
    <t>O&amp;M PLAN</t>
  </si>
  <si>
    <t>Project</t>
  </si>
  <si>
    <t>Specific</t>
  </si>
  <si>
    <t>Overhead</t>
  </si>
  <si>
    <t>Gross</t>
  </si>
  <si>
    <t>Capital</t>
  </si>
  <si>
    <t>Net</t>
  </si>
  <si>
    <t>Department</t>
  </si>
  <si>
    <t>Support Services</t>
  </si>
  <si>
    <t xml:space="preserve"> </t>
  </si>
  <si>
    <t>Houston Office</t>
  </si>
  <si>
    <t>Executive</t>
  </si>
  <si>
    <t>Engineering &amp; Construction</t>
  </si>
  <si>
    <t>Subtotal</t>
  </si>
  <si>
    <t>Administrative Support</t>
  </si>
  <si>
    <t>Total Administrative Support</t>
  </si>
  <si>
    <t>Company 1202 EAMR</t>
  </si>
  <si>
    <t>ALLOCATIONS</t>
  </si>
  <si>
    <t>Revised 2001 Plan - O &amp; M EXPENSE</t>
  </si>
  <si>
    <t>0179 NNG</t>
  </si>
  <si>
    <t>0060TW</t>
  </si>
  <si>
    <t>0062/0536FGT</t>
  </si>
  <si>
    <t>0172NBPL</t>
  </si>
  <si>
    <t>0584HPL</t>
  </si>
  <si>
    <t>1195EOTT</t>
  </si>
  <si>
    <t>0404/0436CF</t>
  </si>
  <si>
    <t>Other</t>
  </si>
  <si>
    <t>Non-ETS</t>
  </si>
  <si>
    <t>Total</t>
  </si>
  <si>
    <t>Allocactions</t>
  </si>
  <si>
    <t>Operations Technical Support (R.Craig)</t>
  </si>
  <si>
    <t>Environmental Health &amp; Safety (J.Shafer)</t>
  </si>
  <si>
    <t>Quality Mangement (D.Hawkins)</t>
  </si>
  <si>
    <t>Planning/Optimization/Mech Sercices (J.Keller)</t>
  </si>
  <si>
    <t>Executive - Brassfield</t>
  </si>
  <si>
    <t>Corporate allocations and bonus</t>
  </si>
  <si>
    <t>Not Alloc</t>
  </si>
  <si>
    <t>Total  O&amp;M - Revised</t>
  </si>
  <si>
    <t>Variance from Original</t>
  </si>
  <si>
    <t>Total O&amp;M - Original - incl.corp</t>
  </si>
  <si>
    <t>HR Training (Joe Jeffers)</t>
  </si>
  <si>
    <t>Redistributed EOTT to IT</t>
  </si>
  <si>
    <t>IT Strategy</t>
  </si>
  <si>
    <t>Southwest - Fenstad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</si>
</sst>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#,##0.0_);[Red]\(#,##0.0\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6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centerContinuous"/>
    </xf>
    <xf numFmtId="166" fontId="0" fillId="0" borderId="0" xfId="0" applyNumberFormat="1"/>
    <xf numFmtId="166" fontId="3" fillId="0" borderId="0" xfId="0" applyNumberFormat="1" applyFont="1" applyAlignment="1">
      <alignment horizontal="left"/>
    </xf>
    <xf numFmtId="166" fontId="4" fillId="0" borderId="0" xfId="0" applyNumberFormat="1" applyFont="1"/>
    <xf numFmtId="166" fontId="5" fillId="0" borderId="0" xfId="0" applyNumberFormat="1" applyFont="1"/>
    <xf numFmtId="166" fontId="6" fillId="0" borderId="1" xfId="0" applyNumberFormat="1" applyFont="1" applyBorder="1" applyAlignment="1">
      <alignment horizontal="centerContinuous"/>
    </xf>
    <xf numFmtId="166" fontId="4" fillId="0" borderId="0" xfId="0" applyNumberFormat="1" applyFont="1" applyBorder="1" applyAlignment="1">
      <alignment horizontal="centerContinuous"/>
    </xf>
    <xf numFmtId="166" fontId="6" fillId="0" borderId="0" xfId="0" applyNumberFormat="1" applyFont="1"/>
    <xf numFmtId="166" fontId="4" fillId="0" borderId="0" xfId="0" applyNumberFormat="1" applyFont="1" applyAlignment="1">
      <alignment horizontal="center"/>
    </xf>
    <xf numFmtId="166" fontId="1" fillId="0" borderId="0" xfId="1" applyNumberFormat="1"/>
    <xf numFmtId="166" fontId="4" fillId="0" borderId="0" xfId="0" applyNumberFormat="1" applyFont="1" applyBorder="1"/>
    <xf numFmtId="166" fontId="4" fillId="0" borderId="2" xfId="1" applyNumberFormat="1" applyFont="1" applyBorder="1"/>
    <xf numFmtId="166" fontId="4" fillId="0" borderId="0" xfId="1" applyNumberFormat="1" applyFont="1" applyBorder="1"/>
    <xf numFmtId="166" fontId="4" fillId="0" borderId="0" xfId="1" quotePrefix="1" applyNumberFormat="1" applyFont="1" applyBorder="1" applyAlignment="1">
      <alignment horizontal="center"/>
    </xf>
    <xf numFmtId="166" fontId="2" fillId="0" borderId="0" xfId="0" quotePrefix="1" applyNumberFormat="1" applyFont="1" applyAlignment="1">
      <alignment horizontal="left"/>
    </xf>
    <xf numFmtId="166" fontId="0" fillId="0" borderId="0" xfId="0" quotePrefix="1" applyNumberFormat="1" applyAlignment="1">
      <alignment horizontal="left"/>
    </xf>
    <xf numFmtId="166" fontId="1" fillId="0" borderId="1" xfId="1" applyNumberFormat="1" applyBorder="1"/>
    <xf numFmtId="166" fontId="0" fillId="0" borderId="1" xfId="0" applyNumberFormat="1" applyBorder="1"/>
    <xf numFmtId="166" fontId="1" fillId="0" borderId="2" xfId="1" applyNumberFormat="1" applyBorder="1"/>
    <xf numFmtId="166" fontId="5" fillId="0" borderId="0" xfId="0" applyNumberFormat="1" applyFont="1" applyBorder="1"/>
    <xf numFmtId="166" fontId="0" fillId="0" borderId="0" xfId="0" applyNumberFormat="1" applyBorder="1"/>
    <xf numFmtId="166" fontId="5" fillId="0" borderId="1" xfId="0" applyNumberFormat="1" applyFont="1" applyBorder="1"/>
    <xf numFmtId="166" fontId="4" fillId="0" borderId="1" xfId="0" applyNumberFormat="1" applyFont="1" applyBorder="1" applyAlignment="1">
      <alignment horizontal="center"/>
    </xf>
    <xf numFmtId="166" fontId="0" fillId="0" borderId="1" xfId="0" quotePrefix="1" applyNumberFormat="1" applyBorder="1" applyAlignment="1">
      <alignment horizontal="left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/>
    <xf numFmtId="166" fontId="6" fillId="0" borderId="0" xfId="0" quotePrefix="1" applyNumberFormat="1" applyFont="1" applyAlignment="1">
      <alignment horizontal="left"/>
    </xf>
    <xf numFmtId="166" fontId="7" fillId="0" borderId="0" xfId="0" applyNumberFormat="1" applyFont="1"/>
    <xf numFmtId="166" fontId="1" fillId="0" borderId="0" xfId="1" applyNumberFormat="1" applyFont="1"/>
    <xf numFmtId="166" fontId="0" fillId="0" borderId="0" xfId="0" applyNumberFormat="1" applyAlignment="1">
      <alignment horizontal="left"/>
    </xf>
    <xf numFmtId="166" fontId="1" fillId="0" borderId="0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0"/>
  <sheetViews>
    <sheetView tabSelected="1" zoomScale="75" workbookViewId="0">
      <pane xSplit="1" ySplit="11" topLeftCell="B24" activePane="bottomRight" state="frozen"/>
      <selection activeCell="Z45" sqref="Z45"/>
      <selection pane="topRight" activeCell="Z45" sqref="Z45"/>
      <selection pane="bottomLeft" activeCell="Z45" sqref="Z45"/>
      <selection pane="bottomRight" activeCell="A31" sqref="A31"/>
    </sheetView>
  </sheetViews>
  <sheetFormatPr defaultColWidth="9.109375" defaultRowHeight="13.2" x14ac:dyDescent="0.25"/>
  <cols>
    <col min="1" max="1" width="42.6640625" style="3" customWidth="1"/>
    <col min="2" max="2" width="10.33203125" style="3" customWidth="1"/>
    <col min="3" max="3" width="2.109375" style="3" customWidth="1"/>
    <col min="4" max="4" width="9.109375" style="3"/>
    <col min="5" max="5" width="1.5546875" style="3" customWidth="1"/>
    <col min="6" max="6" width="9.88671875" style="3" bestFit="1" customWidth="1"/>
    <col min="7" max="7" width="2.109375" style="3" customWidth="1"/>
    <col min="8" max="8" width="10.109375" style="3" customWidth="1"/>
    <col min="9" max="9" width="3.33203125" style="3" customWidth="1"/>
    <col min="10" max="10" width="10.33203125" style="3" customWidth="1"/>
    <col min="11" max="11" width="2.44140625" style="3" customWidth="1"/>
    <col min="12" max="12" width="9.33203125" style="3" bestFit="1" customWidth="1"/>
    <col min="13" max="13" width="2.6640625" style="3" customWidth="1"/>
    <col min="14" max="14" width="11.44140625" style="3" customWidth="1"/>
    <col min="15" max="15" width="2.6640625" style="3" customWidth="1"/>
    <col min="16" max="16" width="9.109375" style="3"/>
    <col min="17" max="17" width="1.6640625" style="3" customWidth="1"/>
    <col min="18" max="18" width="9.109375" style="3"/>
    <col min="19" max="19" width="2.109375" style="3" customWidth="1"/>
    <col min="20" max="20" width="9.109375" style="3"/>
    <col min="21" max="21" width="1.88671875" style="3" customWidth="1"/>
    <col min="22" max="22" width="11.5546875" style="3" customWidth="1"/>
    <col min="23" max="23" width="1.5546875" style="3" customWidth="1"/>
    <col min="24" max="24" width="9.33203125" style="3" bestFit="1" customWidth="1"/>
    <col min="25" max="25" width="2.109375" style="3" customWidth="1"/>
    <col min="26" max="26" width="10.88671875" style="3" customWidth="1"/>
    <col min="27" max="27" width="1.5546875" style="3" customWidth="1"/>
    <col min="28" max="28" width="13.44140625" style="3" customWidth="1"/>
    <col min="29" max="29" width="1.88671875" style="3" customWidth="1"/>
    <col min="30" max="16384" width="9.109375" style="3"/>
  </cols>
  <sheetData>
    <row r="1" spans="1:28" ht="15.6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28" ht="15.6" x14ac:dyDescent="0.3">
      <c r="A2" s="16" t="s">
        <v>21</v>
      </c>
      <c r="B2" s="2"/>
      <c r="C2" s="2"/>
      <c r="D2" s="2"/>
      <c r="E2" s="2"/>
      <c r="F2" s="2"/>
      <c r="G2" s="2"/>
      <c r="H2" s="2"/>
    </row>
    <row r="3" spans="1:28" ht="15.6" x14ac:dyDescent="0.3">
      <c r="A3" s="1" t="s">
        <v>13</v>
      </c>
      <c r="B3" s="2"/>
      <c r="C3" s="2"/>
      <c r="D3" s="2"/>
      <c r="E3" s="2"/>
      <c r="F3" s="2"/>
      <c r="G3" s="2"/>
      <c r="H3" s="2"/>
    </row>
    <row r="4" spans="1:28" ht="15.6" x14ac:dyDescent="0.3">
      <c r="A4" s="4" t="s">
        <v>1</v>
      </c>
      <c r="B4" s="2"/>
      <c r="C4" s="2"/>
      <c r="D4" s="2"/>
      <c r="E4" s="2"/>
      <c r="F4" s="2"/>
      <c r="G4" s="2"/>
      <c r="H4" s="2"/>
    </row>
    <row r="6" spans="1:28" x14ac:dyDescent="0.25">
      <c r="A6" s="5" t="s">
        <v>2</v>
      </c>
    </row>
    <row r="7" spans="1:28" s="6" customFormat="1" ht="17.399999999999999" x14ac:dyDescent="0.3">
      <c r="B7" s="7" t="s">
        <v>19</v>
      </c>
      <c r="C7" s="7"/>
      <c r="D7" s="7"/>
      <c r="E7" s="7"/>
      <c r="F7" s="7"/>
      <c r="G7" s="7"/>
      <c r="H7" s="7"/>
      <c r="I7" s="21"/>
      <c r="J7" s="23" t="s">
        <v>20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B7" s="23"/>
    </row>
    <row r="8" spans="1:28" x14ac:dyDescent="0.25">
      <c r="B8" s="8"/>
      <c r="C8" s="8"/>
      <c r="D8" s="8"/>
      <c r="E8" s="8"/>
      <c r="F8" s="8"/>
      <c r="G8" s="8"/>
      <c r="H8" s="8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8" ht="17.399999999999999" x14ac:dyDescent="0.3">
      <c r="A9" s="9" t="s">
        <v>3</v>
      </c>
      <c r="D9" s="10" t="s">
        <v>4</v>
      </c>
    </row>
    <row r="10" spans="1:28" x14ac:dyDescent="0.25">
      <c r="D10" s="10" t="s">
        <v>5</v>
      </c>
      <c r="F10" s="5" t="s">
        <v>6</v>
      </c>
      <c r="X10" s="26" t="s">
        <v>29</v>
      </c>
      <c r="Y10" s="26"/>
      <c r="Z10" s="26" t="s">
        <v>31</v>
      </c>
    </row>
    <row r="11" spans="1:28" x14ac:dyDescent="0.25">
      <c r="A11" s="19" t="s">
        <v>10</v>
      </c>
      <c r="B11" s="24" t="s">
        <v>7</v>
      </c>
      <c r="D11" s="24" t="s">
        <v>8</v>
      </c>
      <c r="F11" s="24" t="s">
        <v>8</v>
      </c>
      <c r="G11" s="10"/>
      <c r="H11" s="24" t="s">
        <v>9</v>
      </c>
      <c r="J11" s="19" t="s">
        <v>22</v>
      </c>
      <c r="L11" s="19" t="s">
        <v>23</v>
      </c>
      <c r="N11" s="25" t="s">
        <v>24</v>
      </c>
      <c r="P11" s="19" t="s">
        <v>25</v>
      </c>
      <c r="R11" s="19" t="s">
        <v>26</v>
      </c>
      <c r="T11" s="19" t="s">
        <v>27</v>
      </c>
      <c r="V11" s="19" t="s">
        <v>28</v>
      </c>
      <c r="X11" s="27" t="s">
        <v>30</v>
      </c>
      <c r="Y11" s="26"/>
      <c r="Z11" s="27" t="s">
        <v>32</v>
      </c>
      <c r="AB11" s="3" t="s">
        <v>39</v>
      </c>
    </row>
    <row r="12" spans="1:28" x14ac:dyDescent="0.25">
      <c r="B12" s="11"/>
      <c r="C12" s="11"/>
      <c r="D12" s="11"/>
      <c r="E12" s="11"/>
      <c r="F12" s="11"/>
      <c r="G12" s="11"/>
      <c r="H12" s="11"/>
    </row>
    <row r="13" spans="1:28" x14ac:dyDescent="0.25">
      <c r="A13" s="3" t="s">
        <v>14</v>
      </c>
      <c r="B13" s="11">
        <v>668.22</v>
      </c>
      <c r="C13" s="11"/>
      <c r="D13" s="11">
        <f>0</f>
        <v>0</v>
      </c>
      <c r="E13" s="11"/>
      <c r="F13" s="11">
        <f>0</f>
        <v>0</v>
      </c>
      <c r="G13" s="11"/>
      <c r="H13" s="11">
        <f>+B13-D13-F13</f>
        <v>668.22</v>
      </c>
      <c r="J13" s="3">
        <v>308.05</v>
      </c>
      <c r="L13" s="3">
        <v>49.448</v>
      </c>
      <c r="N13" s="3">
        <v>92.882999999999996</v>
      </c>
      <c r="P13" s="3">
        <v>26.061</v>
      </c>
      <c r="R13" s="3">
        <v>78.182000000000002</v>
      </c>
      <c r="T13" s="3">
        <v>66.822000000000003</v>
      </c>
      <c r="V13" s="3">
        <v>6.6820000000000004</v>
      </c>
      <c r="X13" s="3">
        <f>3.341+36.752</f>
        <v>40.093000000000004</v>
      </c>
      <c r="Z13" s="3">
        <f>SUM(J13:X13)</f>
        <v>668.22099999999989</v>
      </c>
      <c r="AB13" s="3">
        <f>H13-Z13</f>
        <v>-9.999999998626663E-4</v>
      </c>
    </row>
    <row r="14" spans="1:28" x14ac:dyDescent="0.25">
      <c r="B14" s="11"/>
      <c r="C14" s="11"/>
      <c r="D14" s="11"/>
      <c r="E14" s="11"/>
      <c r="F14" s="11"/>
      <c r="G14" s="11"/>
      <c r="H14" s="11"/>
    </row>
    <row r="15" spans="1:28" x14ac:dyDescent="0.25">
      <c r="A15" s="12" t="s">
        <v>11</v>
      </c>
      <c r="B15" s="11"/>
      <c r="C15" s="11"/>
      <c r="D15" s="11"/>
      <c r="E15" s="11"/>
      <c r="F15" s="11"/>
      <c r="G15" s="11"/>
      <c r="H15" s="11"/>
    </row>
    <row r="16" spans="1:28" x14ac:dyDescent="0.25">
      <c r="A16" s="17" t="s">
        <v>33</v>
      </c>
      <c r="B16" s="11">
        <f>1003.625+269.853</f>
        <v>1273.4780000000001</v>
      </c>
      <c r="C16" s="11"/>
      <c r="D16" s="11">
        <f>8.956</f>
        <v>8.9559999999999995</v>
      </c>
      <c r="E16" s="11"/>
      <c r="F16" s="11">
        <f>0</f>
        <v>0</v>
      </c>
      <c r="G16" s="11"/>
      <c r="H16" s="11">
        <f t="shared" ref="H16:H30" si="0">+B16-D16-F16</f>
        <v>1264.5220000000002</v>
      </c>
      <c r="J16" s="3">
        <f>458.848+118.735</f>
        <v>577.58299999999997</v>
      </c>
      <c r="L16" s="3">
        <f>275.472+24.287</f>
        <v>299.75899999999996</v>
      </c>
      <c r="N16" s="3">
        <f>101.207+43.176</f>
        <v>144.38299999999998</v>
      </c>
      <c r="P16" s="3">
        <f>30.953+2.698</f>
        <v>33.650999999999996</v>
      </c>
      <c r="R16" s="3">
        <f>75.633+80.956</f>
        <v>156.589</v>
      </c>
      <c r="T16" s="3">
        <v>49.152999999999999</v>
      </c>
      <c r="V16" s="3">
        <v>1.7010000000000001</v>
      </c>
      <c r="X16" s="3">
        <v>1.7010000000000001</v>
      </c>
      <c r="Z16" s="3">
        <f>SUM(J16:X16)</f>
        <v>1264.52</v>
      </c>
      <c r="AB16" s="3">
        <f>H16-Z16</f>
        <v>2.00000000018008E-3</v>
      </c>
    </row>
    <row r="17" spans="1:28" x14ac:dyDescent="0.25">
      <c r="A17" s="32" t="s">
        <v>43</v>
      </c>
      <c r="B17" s="11">
        <v>831.96199999999999</v>
      </c>
      <c r="C17" s="11"/>
      <c r="D17" s="11"/>
      <c r="E17" s="11"/>
      <c r="F17" s="11"/>
      <c r="G17" s="11"/>
      <c r="H17" s="11">
        <f t="shared" si="0"/>
        <v>831.96199999999999</v>
      </c>
      <c r="J17" s="3">
        <v>475.46600000000001</v>
      </c>
      <c r="L17" s="3">
        <v>78.787000000000006</v>
      </c>
      <c r="N17" s="3">
        <v>147.59</v>
      </c>
      <c r="P17" s="3">
        <v>58.652999999999999</v>
      </c>
      <c r="R17" s="3">
        <v>55.325000000000003</v>
      </c>
      <c r="X17" s="3">
        <f>5.99+10.15</f>
        <v>16.14</v>
      </c>
      <c r="Z17" s="3">
        <f>SUM(J17:X17)</f>
        <v>831.96100000000013</v>
      </c>
      <c r="AB17" s="3">
        <f>H17-Z17</f>
        <v>9.999999998626663E-4</v>
      </c>
    </row>
    <row r="18" spans="1:28" x14ac:dyDescent="0.25">
      <c r="A18" s="17" t="s">
        <v>36</v>
      </c>
      <c r="B18" s="11">
        <v>308.97500000000002</v>
      </c>
      <c r="C18" s="11"/>
      <c r="D18" s="11">
        <f>0</f>
        <v>0</v>
      </c>
      <c r="E18" s="11"/>
      <c r="F18" s="11">
        <f>0</f>
        <v>0</v>
      </c>
      <c r="G18" s="11"/>
      <c r="H18" s="11">
        <f t="shared" si="0"/>
        <v>308.97500000000002</v>
      </c>
      <c r="J18" s="3">
        <v>161.90299999999999</v>
      </c>
      <c r="L18" s="3">
        <v>50.981000000000002</v>
      </c>
      <c r="N18" s="3">
        <v>96.090999999999994</v>
      </c>
      <c r="Z18" s="3">
        <f t="shared" ref="Z18:Z24" si="1">SUM(J18:X18)</f>
        <v>308.97499999999997</v>
      </c>
      <c r="AB18" s="3">
        <f t="shared" ref="AB18:AB25" si="2">H18-Z18</f>
        <v>0</v>
      </c>
    </row>
    <row r="19" spans="1:28" x14ac:dyDescent="0.25">
      <c r="A19" s="17" t="s">
        <v>34</v>
      </c>
      <c r="B19" s="11">
        <v>3870.9929999999999</v>
      </c>
      <c r="C19" s="11"/>
      <c r="D19" s="11">
        <v>321.26900000000001</v>
      </c>
      <c r="E19" s="11"/>
      <c r="F19" s="11"/>
      <c r="G19" s="11"/>
      <c r="H19" s="11">
        <f t="shared" si="0"/>
        <v>3549.7240000000002</v>
      </c>
      <c r="J19" s="3">
        <v>1717</v>
      </c>
      <c r="L19" s="3">
        <v>286.32400000000001</v>
      </c>
      <c r="N19" s="3">
        <v>571.84699999999998</v>
      </c>
      <c r="P19" s="3">
        <v>165.06</v>
      </c>
      <c r="R19" s="3">
        <v>378.56</v>
      </c>
      <c r="T19" s="3">
        <v>317.24</v>
      </c>
      <c r="V19" s="3">
        <v>84.031999999999996</v>
      </c>
      <c r="X19" s="3">
        <v>29.661000000000001</v>
      </c>
      <c r="Z19" s="3">
        <f t="shared" si="1"/>
        <v>3549.7240000000002</v>
      </c>
      <c r="AB19" s="3">
        <f t="shared" si="2"/>
        <v>0</v>
      </c>
    </row>
    <row r="20" spans="1:28" x14ac:dyDescent="0.25">
      <c r="A20" s="17" t="s">
        <v>35</v>
      </c>
      <c r="B20" s="33">
        <v>3698.5990000000002</v>
      </c>
      <c r="C20" s="33"/>
      <c r="D20" s="33"/>
      <c r="E20" s="33"/>
      <c r="F20" s="33"/>
      <c r="G20" s="33"/>
      <c r="H20" s="33">
        <f t="shared" si="0"/>
        <v>3698.5990000000002</v>
      </c>
      <c r="I20" s="22"/>
      <c r="J20" s="22">
        <v>75.102999999999994</v>
      </c>
      <c r="K20" s="22"/>
      <c r="L20" s="22">
        <v>75.102999999999994</v>
      </c>
      <c r="M20" s="22"/>
      <c r="N20" s="22">
        <v>75.102999999999994</v>
      </c>
      <c r="O20" s="22"/>
      <c r="P20" s="22">
        <v>75.102999999999994</v>
      </c>
      <c r="Q20" s="22"/>
      <c r="R20" s="22"/>
      <c r="S20" s="22"/>
      <c r="T20" s="22">
        <v>53.009</v>
      </c>
      <c r="U20" s="22"/>
      <c r="V20" s="22"/>
      <c r="W20" s="22"/>
      <c r="X20" s="22">
        <v>3119.6129999999998</v>
      </c>
      <c r="Y20" s="22"/>
      <c r="Z20" s="22">
        <f t="shared" si="1"/>
        <v>3473.0339999999997</v>
      </c>
      <c r="AA20" s="22"/>
      <c r="AB20" s="22">
        <f t="shared" si="2"/>
        <v>225.56500000000051</v>
      </c>
    </row>
    <row r="21" spans="1:28" x14ac:dyDescent="0.25">
      <c r="A21" s="32" t="s">
        <v>44</v>
      </c>
      <c r="B21" s="18"/>
      <c r="C21" s="11"/>
      <c r="D21" s="18"/>
      <c r="E21" s="11"/>
      <c r="F21" s="18"/>
      <c r="G21" s="11"/>
      <c r="H21" s="18"/>
      <c r="J21" s="19">
        <v>90</v>
      </c>
      <c r="L21" s="19">
        <v>150</v>
      </c>
      <c r="N21" s="19">
        <v>60</v>
      </c>
      <c r="P21" s="19"/>
      <c r="R21" s="19"/>
      <c r="T21" s="19">
        <f>-300</f>
        <v>-300</v>
      </c>
      <c r="V21" s="19"/>
      <c r="X21" s="19"/>
      <c r="Z21" s="19">
        <f t="shared" si="1"/>
        <v>0</v>
      </c>
      <c r="AB21" s="19">
        <f t="shared" si="2"/>
        <v>0</v>
      </c>
    </row>
    <row r="22" spans="1:28" x14ac:dyDescent="0.25">
      <c r="B22" s="11"/>
      <c r="C22" s="11"/>
      <c r="D22" s="11"/>
      <c r="E22" s="11"/>
      <c r="F22" s="11"/>
      <c r="G22" s="11"/>
      <c r="H22" s="11"/>
      <c r="AB22" s="3">
        <f t="shared" si="2"/>
        <v>0</v>
      </c>
    </row>
    <row r="23" spans="1:28" x14ac:dyDescent="0.25">
      <c r="A23" s="3" t="s">
        <v>16</v>
      </c>
      <c r="B23" s="11">
        <f>SUM(B13:B21)</f>
        <v>10652.226999999999</v>
      </c>
      <c r="C23" s="11"/>
      <c r="D23" s="11">
        <f>SUM(D13:D21)</f>
        <v>330.22500000000002</v>
      </c>
      <c r="E23" s="11"/>
      <c r="F23" s="11">
        <f>SUM(F13:F21)</f>
        <v>0</v>
      </c>
      <c r="G23" s="11"/>
      <c r="H23" s="11">
        <f>SUM(H13:H21)</f>
        <v>10322.002</v>
      </c>
      <c r="J23" s="11">
        <f>SUM(J13:J21)</f>
        <v>3405.1050000000005</v>
      </c>
      <c r="L23" s="11">
        <f>SUM(L13:L21)</f>
        <v>990.40199999999993</v>
      </c>
      <c r="N23" s="11">
        <f>SUM(N13:N21)</f>
        <v>1187.8969999999999</v>
      </c>
      <c r="P23" s="11">
        <f>SUM(P13:P21)</f>
        <v>358.52800000000002</v>
      </c>
      <c r="R23" s="11">
        <f>SUM(R13:R21)</f>
        <v>668.65599999999995</v>
      </c>
      <c r="T23" s="11">
        <f>SUM(T13:T21)</f>
        <v>186.22400000000005</v>
      </c>
      <c r="V23" s="11">
        <f>SUM(V13:V21)</f>
        <v>92.414999999999992</v>
      </c>
      <c r="X23" s="11">
        <f>SUM(X13:X21)</f>
        <v>3207.2079999999996</v>
      </c>
      <c r="Z23" s="11">
        <f>SUM(Z13:Z21)</f>
        <v>10096.434999999999</v>
      </c>
      <c r="AB23" s="3">
        <f t="shared" si="2"/>
        <v>225.56700000000092</v>
      </c>
    </row>
    <row r="24" spans="1:28" x14ac:dyDescent="0.25">
      <c r="A24" s="3" t="s">
        <v>15</v>
      </c>
      <c r="B24" s="11">
        <v>6968.0619999999999</v>
      </c>
      <c r="C24" s="11"/>
      <c r="D24" s="31">
        <f>4904.7</f>
        <v>4904.7</v>
      </c>
      <c r="E24" s="11"/>
      <c r="F24" s="11"/>
      <c r="G24" s="11"/>
      <c r="H24" s="11">
        <f t="shared" si="0"/>
        <v>2063.3620000000001</v>
      </c>
      <c r="J24" s="3">
        <v>1271.2</v>
      </c>
      <c r="L24" s="3">
        <v>290.8</v>
      </c>
      <c r="N24" s="3">
        <f>318</f>
        <v>318</v>
      </c>
      <c r="P24" s="3">
        <f>0</f>
        <v>0</v>
      </c>
      <c r="R24" s="3">
        <f>0</f>
        <v>0</v>
      </c>
      <c r="T24" s="3">
        <v>56.887</v>
      </c>
      <c r="V24" s="3">
        <f>22.754</f>
        <v>22.754000000000001</v>
      </c>
      <c r="X24" s="3">
        <f>11.377+92.595-0.3</f>
        <v>103.672</v>
      </c>
      <c r="Z24" s="3">
        <f t="shared" si="1"/>
        <v>2063.3129999999996</v>
      </c>
      <c r="AB24" s="3">
        <f t="shared" si="2"/>
        <v>4.9000000000432919E-2</v>
      </c>
    </row>
    <row r="25" spans="1:28" x14ac:dyDescent="0.25">
      <c r="A25" s="3" t="s">
        <v>31</v>
      </c>
      <c r="B25" s="20">
        <f>SUM(B23:B24)</f>
        <v>17620.288999999997</v>
      </c>
      <c r="C25" s="11"/>
      <c r="D25" s="20">
        <f>SUM(D23:D24)</f>
        <v>5234.9250000000002</v>
      </c>
      <c r="E25" s="11"/>
      <c r="F25" s="20">
        <f>SUM(F23:F24)</f>
        <v>0</v>
      </c>
      <c r="G25" s="11"/>
      <c r="H25" s="20">
        <f>SUM(H23:H24)</f>
        <v>12385.364000000001</v>
      </c>
      <c r="J25" s="20">
        <f>SUM(J23:J24)</f>
        <v>4676.3050000000003</v>
      </c>
      <c r="L25" s="20">
        <f>SUM(L23:L24)</f>
        <v>1281.202</v>
      </c>
      <c r="N25" s="20">
        <f>SUM(N23:N24)</f>
        <v>1505.8969999999999</v>
      </c>
      <c r="P25" s="20">
        <f>SUM(P23:P24)</f>
        <v>358.52800000000002</v>
      </c>
      <c r="R25" s="20">
        <f>SUM(R23:R24)</f>
        <v>668.65599999999995</v>
      </c>
      <c r="T25" s="20">
        <f>SUM(T23:T24)</f>
        <v>243.11100000000005</v>
      </c>
      <c r="V25" s="20">
        <f>SUM(V23:V24)</f>
        <v>115.169</v>
      </c>
      <c r="X25" s="20">
        <f>SUM(X23:X24)</f>
        <v>3310.8799999999997</v>
      </c>
      <c r="Z25" s="20">
        <f>SUM(Z23:Z24)</f>
        <v>12159.748</v>
      </c>
      <c r="AB25" s="28">
        <f t="shared" si="2"/>
        <v>225.6160000000018</v>
      </c>
    </row>
    <row r="26" spans="1:28" x14ac:dyDescent="0.25">
      <c r="B26" s="11"/>
      <c r="C26" s="11"/>
      <c r="D26" s="11"/>
      <c r="E26" s="11"/>
      <c r="F26" s="11"/>
      <c r="G26" s="11"/>
      <c r="H26" s="11"/>
    </row>
    <row r="27" spans="1:28" x14ac:dyDescent="0.25">
      <c r="A27" s="3" t="s">
        <v>17</v>
      </c>
      <c r="B27" s="11"/>
      <c r="C27" s="11"/>
      <c r="D27" s="11"/>
      <c r="E27" s="11"/>
      <c r="F27" s="11"/>
      <c r="G27" s="11"/>
      <c r="H27" s="11"/>
    </row>
    <row r="28" spans="1:28" x14ac:dyDescent="0.25">
      <c r="A28" s="3" t="s">
        <v>13</v>
      </c>
      <c r="B28" s="11"/>
      <c r="C28" s="11"/>
      <c r="D28" s="11"/>
      <c r="E28" s="11"/>
      <c r="F28" s="11"/>
      <c r="G28" s="11"/>
      <c r="H28" s="11"/>
    </row>
    <row r="29" spans="1:28" x14ac:dyDescent="0.25">
      <c r="A29" s="17" t="s">
        <v>37</v>
      </c>
      <c r="B29" s="11">
        <v>188.672</v>
      </c>
      <c r="C29" s="11"/>
      <c r="D29" s="11"/>
      <c r="E29" s="11"/>
      <c r="F29" s="11"/>
      <c r="G29" s="11"/>
      <c r="H29" s="11">
        <f t="shared" si="0"/>
        <v>188.672</v>
      </c>
      <c r="J29" s="3">
        <v>103.76900000000001</v>
      </c>
      <c r="L29" s="3">
        <v>28.300999999999998</v>
      </c>
      <c r="N29" s="3">
        <v>28.300999999999998</v>
      </c>
      <c r="P29" s="3">
        <v>28.300999999999998</v>
      </c>
      <c r="Z29" s="3">
        <f>SUM(J29:X29)</f>
        <v>188.67199999999997</v>
      </c>
      <c r="AB29" s="3">
        <f>H29-Z29</f>
        <v>0</v>
      </c>
    </row>
    <row r="30" spans="1:28" x14ac:dyDescent="0.25">
      <c r="A30" s="17" t="s">
        <v>46</v>
      </c>
      <c r="B30" s="11">
        <v>289.154</v>
      </c>
      <c r="C30" s="11"/>
      <c r="D30" s="11"/>
      <c r="E30" s="11"/>
      <c r="F30" s="11"/>
      <c r="G30" s="11"/>
      <c r="H30" s="11">
        <f t="shared" si="0"/>
        <v>289.154</v>
      </c>
      <c r="J30" s="3">
        <v>57.8</v>
      </c>
      <c r="L30" s="3">
        <v>231.4</v>
      </c>
      <c r="N30" s="3">
        <f>0</f>
        <v>0</v>
      </c>
      <c r="P30" s="3">
        <f>0</f>
        <v>0</v>
      </c>
      <c r="R30" s="3">
        <f>0</f>
        <v>0</v>
      </c>
      <c r="T30" s="3">
        <f>0</f>
        <v>0</v>
      </c>
      <c r="V30" s="3">
        <f>0</f>
        <v>0</v>
      </c>
      <c r="X30" s="3">
        <f>0</f>
        <v>0</v>
      </c>
      <c r="Z30" s="3">
        <f>SUM(J30:X30)</f>
        <v>289.2</v>
      </c>
      <c r="AB30" s="3">
        <f>H30-Z30</f>
        <v>-4.5999999999992269E-2</v>
      </c>
    </row>
    <row r="31" spans="1:28" x14ac:dyDescent="0.25">
      <c r="A31" s="3" t="s">
        <v>18</v>
      </c>
      <c r="B31" s="20">
        <f>SUM(B29:B30)</f>
        <v>477.82600000000002</v>
      </c>
      <c r="C31" s="11"/>
      <c r="D31" s="20">
        <f>SUM(D29:D30)</f>
        <v>0</v>
      </c>
      <c r="E31" s="11"/>
      <c r="F31" s="20">
        <f>SUM(F29:F30)</f>
        <v>0</v>
      </c>
      <c r="G31" s="11"/>
      <c r="H31" s="20">
        <f>SUM(H29:H30)</f>
        <v>477.82600000000002</v>
      </c>
      <c r="J31" s="20">
        <f>SUM(J29:J30)</f>
        <v>161.56900000000002</v>
      </c>
      <c r="L31" s="20">
        <f>SUM(L29:L30)</f>
        <v>259.70100000000002</v>
      </c>
      <c r="N31" s="20">
        <f>SUM(N29:N30)</f>
        <v>28.300999999999998</v>
      </c>
      <c r="P31" s="20">
        <f>SUM(P29:P30)</f>
        <v>28.300999999999998</v>
      </c>
      <c r="R31" s="20">
        <f>SUM(R29:R30)</f>
        <v>0</v>
      </c>
      <c r="T31" s="20">
        <f>SUM(T29:T30)</f>
        <v>0</v>
      </c>
      <c r="V31" s="20">
        <f>SUM(V29:V30)</f>
        <v>0</v>
      </c>
      <c r="X31" s="20">
        <f>SUM(X29:X30)</f>
        <v>0</v>
      </c>
      <c r="Z31" s="20">
        <f>SUM(Z29:Z30)</f>
        <v>477.87199999999996</v>
      </c>
      <c r="AB31" s="28">
        <f>H31-Z31</f>
        <v>-4.5999999999935426E-2</v>
      </c>
    </row>
    <row r="32" spans="1:28" x14ac:dyDescent="0.25">
      <c r="B32" s="11"/>
      <c r="C32" s="11"/>
      <c r="D32" s="11"/>
      <c r="E32" s="11"/>
      <c r="F32" s="11"/>
      <c r="G32" s="11"/>
      <c r="H32" s="11"/>
    </row>
    <row r="33" spans="1:28" x14ac:dyDescent="0.25">
      <c r="A33" s="3" t="s">
        <v>45</v>
      </c>
      <c r="B33" s="11">
        <v>754.96400000000006</v>
      </c>
      <c r="C33" s="11"/>
      <c r="D33" s="11"/>
      <c r="E33" s="11"/>
      <c r="F33" s="11"/>
      <c r="G33" s="11"/>
      <c r="H33" s="11">
        <f>+B33-D33-F33</f>
        <v>754.96400000000006</v>
      </c>
      <c r="J33" s="3">
        <v>422.78</v>
      </c>
      <c r="L33" s="3">
        <v>60.396999999999998</v>
      </c>
      <c r="N33" s="3">
        <v>143.44300000000001</v>
      </c>
      <c r="P33" s="3">
        <v>22.649000000000001</v>
      </c>
      <c r="R33" s="3">
        <v>105.69499999999999</v>
      </c>
      <c r="Z33" s="3">
        <f>SUM(J33:X33)</f>
        <v>754.96399999999994</v>
      </c>
      <c r="AB33" s="3">
        <f>H33-Z33</f>
        <v>0</v>
      </c>
    </row>
    <row r="34" spans="1:28" x14ac:dyDescent="0.25">
      <c r="A34" s="3" t="s">
        <v>38</v>
      </c>
      <c r="B34" s="11">
        <v>2166.4639999999999</v>
      </c>
      <c r="C34" s="11"/>
      <c r="D34" s="11"/>
      <c r="E34" s="11"/>
      <c r="F34" s="11"/>
      <c r="G34" s="11"/>
      <c r="H34" s="11">
        <f>+B34-D34-F34</f>
        <v>2166.4639999999999</v>
      </c>
      <c r="J34" s="3">
        <f>H34*0.4726</f>
        <v>1023.8708864</v>
      </c>
      <c r="L34" s="3">
        <f>H34*0.14</f>
        <v>303.30495999999999</v>
      </c>
      <c r="N34" s="3">
        <f>H34*0.1799</f>
        <v>389.74687360000001</v>
      </c>
      <c r="P34" s="3">
        <f>H34*0.0499</f>
        <v>108.1065536</v>
      </c>
      <c r="R34" s="3">
        <f>H34*0.0515</f>
        <v>111.57289599999999</v>
      </c>
      <c r="T34" s="3">
        <f>H34*0.0234</f>
        <v>50.695257599999998</v>
      </c>
      <c r="V34" s="3">
        <f>H34*0.0235</f>
        <v>50.911904</v>
      </c>
      <c r="X34" s="3">
        <v>128.30000000000001</v>
      </c>
      <c r="Z34" s="3">
        <f>SUM(J34:X34)</f>
        <v>2166.5093312000004</v>
      </c>
      <c r="AB34" s="3">
        <f>H34-Z34</f>
        <v>-4.5331200000418903E-2</v>
      </c>
    </row>
    <row r="35" spans="1:28" x14ac:dyDescent="0.25">
      <c r="B35" s="11"/>
      <c r="C35" s="11"/>
      <c r="D35" s="11"/>
      <c r="E35" s="11"/>
      <c r="F35" s="11"/>
      <c r="G35" s="11"/>
      <c r="H35" s="11"/>
    </row>
    <row r="36" spans="1:28" s="5" customFormat="1" ht="17.399999999999999" x14ac:dyDescent="0.3">
      <c r="A36" s="29" t="s">
        <v>40</v>
      </c>
      <c r="B36" s="13">
        <f>B25+B31+SUM(B33:B34)</f>
        <v>21019.542999999998</v>
      </c>
      <c r="C36" s="13" t="s">
        <v>12</v>
      </c>
      <c r="D36" s="13">
        <f>D25+D31+SUM(D33:D34)</f>
        <v>5234.9250000000002</v>
      </c>
      <c r="E36" s="13">
        <f>SUM(E12:E27)</f>
        <v>0</v>
      </c>
      <c r="F36" s="13">
        <f>F25+F31+SUM(F33:F34)</f>
        <v>0</v>
      </c>
      <c r="G36" s="13" t="s">
        <v>12</v>
      </c>
      <c r="H36" s="13">
        <f>H25+H31+SUM(H33:H34)</f>
        <v>15784.618000000002</v>
      </c>
      <c r="J36" s="13">
        <f>J25+J31+SUM(J33:J34)</f>
        <v>6284.5248864000005</v>
      </c>
      <c r="L36" s="13">
        <f>L25+L31+SUM(L33:L34)</f>
        <v>1904.6049600000001</v>
      </c>
      <c r="N36" s="13">
        <f>N25+N31+SUM(N33:N34)</f>
        <v>2067.3878735999997</v>
      </c>
      <c r="P36" s="13">
        <f>P25+P31+SUM(P33:P34)</f>
        <v>517.58455359999994</v>
      </c>
      <c r="R36" s="13">
        <f>R25+R31+SUM(R33:R34)</f>
        <v>885.9238959999999</v>
      </c>
      <c r="T36" s="13">
        <f>T25+T31+SUM(T33:T34)</f>
        <v>293.80625760000004</v>
      </c>
      <c r="V36" s="13">
        <f>V25+V31+SUM(V33:V34)</f>
        <v>166.080904</v>
      </c>
      <c r="X36" s="13">
        <f>X25+X31+SUM(X33:X34)</f>
        <v>3439.18</v>
      </c>
      <c r="Z36" s="13">
        <f>Z25+Z31+SUM(Z33:Z34)</f>
        <v>15559.0933312</v>
      </c>
      <c r="AB36" s="13">
        <f>AB25+AB31+SUM(AB33:AB34)</f>
        <v>225.52466880000145</v>
      </c>
    </row>
    <row r="37" spans="1:28" s="5" customFormat="1" ht="17.399999999999999" x14ac:dyDescent="0.3">
      <c r="A37" s="9"/>
      <c r="B37" s="14"/>
      <c r="C37" s="14"/>
      <c r="D37" s="14"/>
      <c r="E37" s="14"/>
      <c r="F37" s="14"/>
      <c r="G37" s="14"/>
      <c r="H37" s="15"/>
    </row>
    <row r="38" spans="1:28" s="5" customFormat="1" ht="17.399999999999999" x14ac:dyDescent="0.3">
      <c r="A38" s="29" t="s">
        <v>42</v>
      </c>
      <c r="B38" s="14"/>
      <c r="C38" s="14"/>
      <c r="D38" s="14"/>
      <c r="E38" s="14"/>
      <c r="F38" s="14"/>
      <c r="G38" s="14"/>
      <c r="H38" s="14">
        <f>12001+2166.5</f>
        <v>14167.5</v>
      </c>
      <c r="J38" s="5">
        <f>4563.268+1023.9</f>
        <v>5587.1679999999997</v>
      </c>
      <c r="L38" s="5">
        <f>861.294+303.3</f>
        <v>1164.5940000000001</v>
      </c>
      <c r="N38" s="5">
        <f>1446.427+389.7</f>
        <v>1836.127</v>
      </c>
      <c r="P38" s="5">
        <f>280.007+108.1</f>
        <v>388.10699999999997</v>
      </c>
      <c r="R38" s="5">
        <f>754.675+111.6</f>
        <v>866.27499999999998</v>
      </c>
      <c r="T38" s="5">
        <f>685.44+50.7</f>
        <v>736.1400000000001</v>
      </c>
      <c r="V38" s="5">
        <f>127.459+50.9</f>
        <v>178.35900000000001</v>
      </c>
      <c r="X38" s="5">
        <f>3055.022+47.277+48.978+92.595+38.595+128.3</f>
        <v>3410.7669999999998</v>
      </c>
      <c r="Z38" s="5">
        <f>SUM(J38:X38)</f>
        <v>14167.536999999998</v>
      </c>
      <c r="AB38" s="5">
        <f>Z38-H38</f>
        <v>3.6999999998442945E-2</v>
      </c>
    </row>
    <row r="40" spans="1:28" ht="17.399999999999999" x14ac:dyDescent="0.3">
      <c r="A40" s="9" t="s">
        <v>41</v>
      </c>
      <c r="H40" s="30">
        <f>H36-H38</f>
        <v>1617.1180000000022</v>
      </c>
      <c r="J40" s="30">
        <f>J36-J38</f>
        <v>697.3568864000008</v>
      </c>
      <c r="K40" s="30"/>
      <c r="L40" s="30">
        <f>L36-L38</f>
        <v>740.01096000000007</v>
      </c>
      <c r="M40" s="30"/>
      <c r="N40" s="30">
        <f>N36-N38</f>
        <v>231.26087359999974</v>
      </c>
      <c r="O40" s="30"/>
      <c r="P40" s="30">
        <f>P36-P38</f>
        <v>129.47755359999996</v>
      </c>
      <c r="Q40" s="30"/>
      <c r="R40" s="30">
        <f>R36-R38</f>
        <v>19.648895999999922</v>
      </c>
      <c r="S40" s="30"/>
      <c r="T40" s="30">
        <f>T36-T38</f>
        <v>-442.33374240000006</v>
      </c>
      <c r="U40" s="30"/>
      <c r="V40" s="30">
        <f>V36-V38</f>
        <v>-12.278096000000005</v>
      </c>
      <c r="W40" s="30"/>
      <c r="X40" s="30">
        <f>X36-X38</f>
        <v>28.413000000000011</v>
      </c>
      <c r="Y40" s="30"/>
      <c r="Z40" s="30">
        <f>Z36-Z38</f>
        <v>1391.5563312000013</v>
      </c>
    </row>
  </sheetData>
  <printOptions horizontalCentered="1"/>
  <pageMargins left="0.32" right="0.33" top="0.94" bottom="0.51" header="0.68" footer="0.5"/>
  <pageSetup paperSize="5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Southeast</vt:lpstr>
      <vt:lpstr>Sheet2</vt:lpstr>
      <vt:lpstr>Sheet3</vt:lpstr>
      <vt:lpstr>Southeast!Print_Area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pgoradi</dc:creator>
  <cp:lastModifiedBy>Havlíček Jan</cp:lastModifiedBy>
  <cp:lastPrinted>2001-01-25T23:44:39Z</cp:lastPrinted>
  <dcterms:created xsi:type="dcterms:W3CDTF">2000-11-02T20:36:29Z</dcterms:created>
  <dcterms:modified xsi:type="dcterms:W3CDTF">2023-09-10T14:59:53Z</dcterms:modified>
</cp:coreProperties>
</file>