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4548"/>
  </bookViews>
  <sheets>
    <sheet name="EOTTC2" sheetId="1" r:id="rId1"/>
  </sheets>
  <definedNames>
    <definedName name="_Fill" localSheetId="0" hidden="1">EOTTC2!#REF!</definedName>
    <definedName name="_Regression_Int" localSheetId="0" hidden="1">1</definedName>
    <definedName name="_Table1_Out" localSheetId="0" hidden="1">EOTTC2!#REF!</definedName>
    <definedName name="AACFHDRCOL">EOTTC2!$A$1:$A$68</definedName>
    <definedName name="AACFHDRROW">EOTTC2!$A$1:$BI$5</definedName>
    <definedName name="AACFWKS">EOTTC2!$C$1:$BI$71</definedName>
    <definedName name="AACFWKS1">EOTTC2!$A$1</definedName>
    <definedName name="AACFWKS2">EOTTC2!$B$6</definedName>
    <definedName name="AAWSSIDEWAYS">EOTTC2!$A$1:$BH$70</definedName>
    <definedName name="ADJUSTMENTS">EOTTC2!#REF!</definedName>
    <definedName name="ASSETS">EOTTC2!#REF!</definedName>
    <definedName name="AWAACF">EOTTC2!$C$1:$BI$68</definedName>
    <definedName name="AWBALSHT">EOTTC2!#REF!</definedName>
    <definedName name="AWCFWKS">EOTTC2!#REF!</definedName>
    <definedName name="AWGRPCF">EOTTC2!#REF!</definedName>
    <definedName name="AWGRPCF_BRDR">EOTTC2!#REF!</definedName>
    <definedName name="BALSHT">EOTTC2!#REF!</definedName>
    <definedName name="BB">EOTTC2!#REF!</definedName>
    <definedName name="BBGROUP">EOTTC2!#REF!</definedName>
    <definedName name="BBGROUP1">EOTTC2!#REF!</definedName>
    <definedName name="BBK">EOTTC2!#REF!</definedName>
    <definedName name="_BBK1">EOTTC2!#REF!</definedName>
    <definedName name="BBTITLE">EOTTC2!#REF!</definedName>
    <definedName name="BLANK">EOTTC2!#REF!</definedName>
    <definedName name="BLANK1">EOTTC2!#REF!</definedName>
    <definedName name="BORDERC">EOTTC2!#REF!</definedName>
    <definedName name="BORDERC1">EOTTC2!#REF!</definedName>
    <definedName name="BORDERCAAWP">EOTTC2!$A$1:$B$68</definedName>
    <definedName name="BORDERNONCUR">EOTTC2!#REF!</definedName>
    <definedName name="BORDERR">EOTTC2!#REF!</definedName>
    <definedName name="BORDERR1">EOTTC2!#REF!</definedName>
    <definedName name="BORDERRAAWP">EOTTC2!$A$1:$A$5</definedName>
    <definedName name="BORDERRWWAP">EOTTC2!$A$1:$BI$5</definedName>
    <definedName name="BS_TitleRow">EOTTC2!#REF!</definedName>
    <definedName name="BSTITLE">EOTTC2!#REF!</definedName>
    <definedName name="BSTITLE1">EOTTC2!#REF!</definedName>
    <definedName name="CASHFLOW">EOTTC2!#REF!</definedName>
    <definedName name="CASHFLOW1">EOTTC2!#REF!</definedName>
    <definedName name="CATEGORY">EOTTC2!$C$2</definedName>
    <definedName name="CATEGORY2">EOTTC2!$C$3</definedName>
    <definedName name="CF">EOTTC2!#REF!</definedName>
    <definedName name="CF_WKS_TitleRow">EOTTC2!#REF!</definedName>
    <definedName name="CFTITLE">EOTTC2!#REF!</definedName>
    <definedName name="CFTITLE1">EOTTC2!#REF!</definedName>
    <definedName name="CHGNONCUR">EOTTC2!#REF!</definedName>
    <definedName name="CM">EOTTC2!#REF!</definedName>
    <definedName name="CO_NAME" localSheetId="0">EOTTC2!#REF!</definedName>
    <definedName name="DATE1">EOTTC2!#REF!</definedName>
    <definedName name="DATE2">EOTTC2!$D$2</definedName>
    <definedName name="DATE3">EOTTC2!#REF!</definedName>
    <definedName name="DATE4">EOTTC2!#REF!</definedName>
    <definedName name="DATE5">EOTTC2!#REF!</definedName>
    <definedName name="DATEPRYR">EOTTC2!$D$3</definedName>
    <definedName name="DESC">EOTTC2!#REF!</definedName>
    <definedName name="GROUP">EOTTC2!#REF!</definedName>
    <definedName name="GROUPYTD">EOTTC2!#REF!</definedName>
    <definedName name="GrpPrtRng">EOTTC2!#REF!</definedName>
    <definedName name="GRPTITLE">EOTTC2!#REF!</definedName>
    <definedName name="GRPTITLE1">EOTTC2!#REF!</definedName>
    <definedName name="GRPTITLE2">EOTTC2!#REF!</definedName>
    <definedName name="GrpTitleCol">EOTTC2!#REF!</definedName>
    <definedName name="ICGROUP">EOTTC2!#REF!</definedName>
    <definedName name="LIABILITIES">EOTTC2!#REF!</definedName>
    <definedName name="NAME1">EOTTC2!$C$1</definedName>
    <definedName name="OTHERBORDER">EOTTC2!#REF!</definedName>
    <definedName name="OTHERNC">EOTTC2!#REF!</definedName>
    <definedName name="OTHERTITLES">EOTTC2!#REF!</definedName>
    <definedName name="_xlnm.Print_Area" localSheetId="0">EOTTC2!$C$1:$BH$74</definedName>
    <definedName name="Print_Area_MI">EOTTC2!#REF!</definedName>
    <definedName name="_xlnm.Print_Titles" localSheetId="0">EOTTC2!$A:$A</definedName>
    <definedName name="Print_Titles_MI">EOTTC2!#REF!,EOTTC2!#REF!</definedName>
    <definedName name="PRIORBB">EOTTC2!#REF!</definedName>
    <definedName name="PRT_RNG_AA">EOTTC2!$C$6:$BI$71</definedName>
    <definedName name="REPORT">EOTTC2!#REF!</definedName>
    <definedName name="Titles_Rptg_Grp_Wks">EOTTC2!#REF!</definedName>
    <definedName name="YTDBB">EOTTC2!#REF!</definedName>
  </definedNames>
  <calcPr calcId="0" fullCalcOnLoad="1"/>
</workbook>
</file>

<file path=xl/calcChain.xml><?xml version="1.0" encoding="utf-8"?>
<calcChain xmlns="http://schemas.openxmlformats.org/spreadsheetml/2006/main">
  <c r="H1" i="1" l="1"/>
  <c r="H2" i="1"/>
  <c r="J2" i="1"/>
  <c r="C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C6" i="1"/>
  <c r="BD6" i="1"/>
  <c r="BE6" i="1"/>
  <c r="BF6" i="1"/>
  <c r="BG6" i="1"/>
  <c r="BH6" i="1"/>
  <c r="C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C7" i="1"/>
  <c r="BD7" i="1"/>
  <c r="BE7" i="1"/>
  <c r="BF7" i="1"/>
  <c r="BG7" i="1"/>
  <c r="BH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C12" i="1"/>
  <c r="C13" i="1"/>
  <c r="D13" i="1"/>
  <c r="BC13" i="1"/>
  <c r="C14" i="1"/>
  <c r="D14" i="1"/>
  <c r="AF14" i="1"/>
  <c r="C15" i="1"/>
  <c r="D15" i="1"/>
  <c r="AE15" i="1"/>
  <c r="C16" i="1"/>
  <c r="D16" i="1"/>
  <c r="AT16" i="1"/>
  <c r="C17" i="1"/>
  <c r="D17" i="1"/>
  <c r="AX17" i="1"/>
  <c r="D18" i="1"/>
  <c r="C19" i="1"/>
  <c r="D19" i="1"/>
  <c r="BC19" i="1"/>
  <c r="D20" i="1"/>
  <c r="Q20" i="1"/>
  <c r="Z20" i="1"/>
  <c r="AP20" i="1"/>
  <c r="AU20" i="1"/>
  <c r="D21" i="1"/>
  <c r="C22" i="1"/>
  <c r="D22" i="1"/>
  <c r="S22" i="1"/>
  <c r="C23" i="1"/>
  <c r="D23" i="1"/>
  <c r="S23" i="1"/>
  <c r="D24" i="1"/>
  <c r="S24" i="1"/>
  <c r="T24" i="1"/>
  <c r="U24" i="1"/>
  <c r="V24" i="1"/>
  <c r="X24" i="1"/>
  <c r="Y24" i="1"/>
  <c r="AA24" i="1"/>
  <c r="AB24" i="1"/>
  <c r="AC24" i="1"/>
  <c r="AD24" i="1"/>
  <c r="AE24" i="1"/>
  <c r="AF24" i="1"/>
  <c r="AG24" i="1"/>
  <c r="AT24" i="1"/>
  <c r="AV24" i="1"/>
  <c r="AW24" i="1"/>
  <c r="AX24" i="1"/>
  <c r="AY24" i="1"/>
  <c r="AZ24" i="1"/>
  <c r="BB24" i="1"/>
  <c r="BC24" i="1"/>
  <c r="BD24" i="1"/>
  <c r="BE24" i="1"/>
  <c r="BG24" i="1"/>
  <c r="BH24" i="1"/>
  <c r="C25" i="1"/>
  <c r="D27" i="1"/>
  <c r="H27" i="1"/>
  <c r="D28" i="1"/>
  <c r="J28" i="1"/>
  <c r="K28" i="1"/>
  <c r="AI28" i="1"/>
  <c r="AK28" i="1"/>
  <c r="D29" i="1"/>
  <c r="I29" i="1"/>
  <c r="AL29" i="1"/>
  <c r="D30" i="1"/>
  <c r="N30" i="1"/>
  <c r="D31" i="1"/>
  <c r="P31" i="1"/>
  <c r="D32" i="1"/>
  <c r="AJ32" i="1"/>
  <c r="D33" i="1"/>
  <c r="M33" i="1"/>
  <c r="AM33" i="1"/>
  <c r="D34" i="1"/>
  <c r="AN34" i="1"/>
  <c r="D35" i="1"/>
  <c r="AO35" i="1"/>
  <c r="D36" i="1"/>
  <c r="L36" i="1"/>
  <c r="O36" i="1"/>
  <c r="R36" i="1"/>
  <c r="AQ36" i="1"/>
  <c r="C37" i="1"/>
  <c r="C38" i="1"/>
  <c r="D41" i="1"/>
  <c r="D42" i="1"/>
  <c r="D43" i="1"/>
  <c r="D44" i="1"/>
  <c r="D45" i="1"/>
  <c r="D46" i="1"/>
  <c r="D47" i="1"/>
  <c r="D48" i="1"/>
  <c r="AE48" i="1"/>
  <c r="C49" i="1"/>
  <c r="D52" i="1"/>
  <c r="AH52" i="1"/>
  <c r="D53" i="1"/>
  <c r="AR53" i="1"/>
  <c r="D54" i="1"/>
  <c r="D55" i="1"/>
  <c r="D56" i="1"/>
  <c r="D57" i="1"/>
  <c r="D58" i="1"/>
  <c r="D59" i="1"/>
  <c r="D60" i="1"/>
  <c r="D61" i="1"/>
  <c r="D62" i="1"/>
  <c r="D63" i="1"/>
  <c r="AS63" i="1"/>
  <c r="BA63" i="1"/>
  <c r="D64" i="1"/>
  <c r="C65" i="1"/>
  <c r="C66" i="1"/>
  <c r="D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C67" i="1"/>
  <c r="C68" i="1"/>
  <c r="D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</calcChain>
</file>

<file path=xl/comments1.xml><?xml version="1.0" encoding="utf-8"?>
<comments xmlns="http://schemas.openxmlformats.org/spreadsheetml/2006/main">
  <authors>
    <author>Johnson M. Leo</author>
    <author>trainbo</author>
    <author>gvaughn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J24" authorId="1" shapeId="0">
      <text>
        <r>
          <rPr>
            <b/>
            <sz val="8"/>
            <color indexed="81"/>
            <rFont val="Tahoma"/>
          </rPr>
          <t>trainbo:</t>
        </r>
        <r>
          <rPr>
            <sz val="8"/>
            <color indexed="81"/>
            <rFont val="Tahoma"/>
          </rPr>
          <t xml:space="preserve">
cash with Company 827
</t>
        </r>
      </text>
    </comment>
    <comment ref="T47" authorId="2" shapeId="0">
      <text>
        <r>
          <rPr>
            <sz val="8"/>
            <color indexed="81"/>
            <rFont val="Tahoma"/>
          </rPr>
          <t xml:space="preserve">Purchased partnership units
</t>
        </r>
      </text>
    </comment>
    <comment ref="T64" authorId="2" shapeId="0">
      <text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<sst xmlns="http://schemas.openxmlformats.org/spreadsheetml/2006/main" count="197" uniqueCount="174">
  <si>
    <t>(In Thousands)</t>
  </si>
  <si>
    <t>ACTUAL</t>
  </si>
  <si>
    <t>PRIORYR</t>
  </si>
  <si>
    <t xml:space="preserve">    Oil and gas exploration expenses</t>
  </si>
  <si>
    <t>Equity Investments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</si>
  <si>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</si>
  <si>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</si>
  <si>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</si>
  <si>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</si>
  <si>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</si>
  <si>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</si>
  <si>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</si>
  <si>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</si>
  <si>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</si>
  <si>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</si>
  <si>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</si>
  <si>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</si>
  <si>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</si>
  <si>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</si>
  <si>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</si>
  <si>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</si>
  <si>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</si>
  <si>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</si>
  <si>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</si>
  <si>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</si>
  <si>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</si>
  <si>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</si>
  <si>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</si>
  <si>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</si>
  <si>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</si>
  <si>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</si>
  <si>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</si>
  <si>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</si>
  <si>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</si>
  <si>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</si>
  <si>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</si>
  <si>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</si>
  <si>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</si>
  <si>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</si>
  <si>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</si>
  <si>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</si>
  <si>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 xml:space="preserve"> CHECK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</si>
  <si>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</si>
  <si>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</si>
  <si>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</si>
  <si>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</si>
  <si>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</si>
  <si>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</si>
  <si>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</si>
  <si>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</si>
  <si>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</si>
  <si>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</si>
  <si>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</si>
  <si>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</si>
  <si>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</si>
  <si>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</si>
  <si>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</si>
  <si>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</si>
  <si>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</si>
  <si>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</si>
  <si>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</si>
  <si>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</si>
  <si>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</si>
  <si>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</si>
  <si>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</si>
  <si>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</si>
  <si>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</si>
  <si>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</si>
  <si>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</si>
  <si>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</si>
  <si>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</si>
  <si>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</si>
  <si>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</si>
  <si>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</si>
  <si>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</si>
  <si>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</si>
  <si>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</si>
  <si>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</si>
  <si>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</si>
  <si>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</si>
  <si>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</si>
  <si>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</si>
  <si>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</si>
  <si>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</si>
  <si>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</si>
  <si>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</si>
  <si>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</si>
  <si>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</si>
  <si>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</si>
  <si>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</si>
  <si>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</si>
  <si>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>Dividends paid</t>
  </si>
  <si>
    <t xml:space="preserve">  Net Cash Provided by Financing Activities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</si>
  <si>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</si>
  <si>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</si>
  <si>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</si>
  <si>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</si>
  <si>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</si>
  <si>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</si>
  <si>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</si>
  <si>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</si>
  <si>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</si>
  <si>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</si>
  <si>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</si>
  <si>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</si>
  <si>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</si>
  <si>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</si>
  <si>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</si>
  <si>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</si>
  <si>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</si>
  <si>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</si>
  <si>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</si>
  <si>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</si>
  <si>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</si>
  <si>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</si>
  <si>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</si>
  <si>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</si>
  <si>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</si>
  <si>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</si>
  <si>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Acquisition of subsidiary stock</t>
  </si>
  <si>
    <t>I/C CASH</t>
  </si>
  <si>
    <t>FROM CORP</t>
  </si>
  <si>
    <t>Balance, Beginning of Period - Cash</t>
  </si>
  <si>
    <t>Balance, Beginning of Period - I/C Cash Corp</t>
  </si>
  <si>
    <t>Beg Bal:</t>
  </si>
  <si>
    <t>End Bal: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</si>
  <si>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</si>
  <si>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</si>
  <si>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</si>
  <si>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</si>
  <si>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</si>
  <si>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</si>
  <si>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</si>
  <si>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</si>
  <si>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</si>
  <si>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</si>
  <si>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</si>
  <si>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</si>
  <si>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</si>
  <si>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</si>
  <si>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</si>
  <si>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</si>
  <si>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</si>
  <si>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</si>
  <si>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</si>
  <si>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</si>
  <si>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</si>
  <si>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</si>
  <si>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</si>
  <si>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</si>
  <si>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</si>
  <si>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</si>
  <si>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</si>
  <si>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</si>
  <si>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activities, net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</si>
  <si>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</si>
  <si>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</si>
  <si>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</si>
  <si>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</si>
  <si>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</si>
  <si>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Flexible equity trust receivable</t>
  </si>
  <si>
    <t>E15</t>
  </si>
  <si>
    <t>E31</t>
  </si>
  <si>
    <t xml:space="preserve"> NI after financing costs (excluding cons subs equity earn)</t>
  </si>
  <si>
    <t>Change in total obligations</t>
  </si>
  <si>
    <t>Change in other obligations</t>
  </si>
  <si>
    <t>Enron Corp. - (EOTT Companies)</t>
  </si>
  <si>
    <t>report date</t>
  </si>
  <si>
    <t>report time</t>
  </si>
  <si>
    <t>EOTTC2</t>
  </si>
  <si>
    <t>EOTT Advances</t>
  </si>
  <si>
    <t>12/31/99</t>
  </si>
  <si>
    <r>
      <t>For the</t>
    </r>
    <r>
      <rPr>
        <b/>
        <sz val="8"/>
        <color indexed="10"/>
        <rFont val="Arial"/>
        <family val="2"/>
      </rPr>
      <t xml:space="preserve"> 9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</si>
  <si>
    <t>09/30/00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</si>
</sst>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4" formatCode="mm/dd/yy"/>
  </numFmts>
  <fonts count="23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i/>
      <sz val="6"/>
      <name val="Arial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color indexed="8"/>
      <name val="Arial"/>
      <family val="2"/>
    </font>
    <font>
      <sz val="8"/>
      <color indexed="81"/>
      <name val="Tahoma"/>
    </font>
    <font>
      <b/>
      <sz val="8"/>
      <color indexed="12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86">
    <xf numFmtId="37" fontId="0" fillId="0" borderId="0" xfId="0"/>
    <xf numFmtId="37" fontId="0" fillId="0" borderId="0" xfId="0" applyFont="1"/>
    <xf numFmtId="49" fontId="8" fillId="0" borderId="1" xfId="0" quotePrefix="1" applyNumberFormat="1" applyFont="1" applyBorder="1" applyAlignment="1" applyProtection="1">
      <alignment horizontal="center"/>
    </xf>
    <xf numFmtId="37" fontId="8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10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11" fillId="0" borderId="3" xfId="0" applyFont="1" applyBorder="1" applyAlignment="1" applyProtection="1">
      <alignment horizontal="center"/>
    </xf>
    <xf numFmtId="37" fontId="11" fillId="0" borderId="3" xfId="0" applyFont="1" applyBorder="1"/>
    <xf numFmtId="37" fontId="11" fillId="0" borderId="4" xfId="0" quotePrefix="1" applyNumberFormat="1" applyFont="1" applyBorder="1" applyAlignment="1" applyProtection="1">
      <alignment horizontal="right"/>
    </xf>
    <xf numFmtId="37" fontId="12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11" fillId="0" borderId="2" xfId="0" applyFont="1" applyBorder="1" applyAlignment="1" applyProtection="1">
      <alignment horizontal="center"/>
    </xf>
    <xf numFmtId="37" fontId="11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3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8" fillId="0" borderId="0" xfId="0" applyNumberFormat="1" applyFont="1" applyProtection="1"/>
    <xf numFmtId="37" fontId="8" fillId="0" borderId="0" xfId="0" applyNumberFormat="1" applyFont="1" applyProtection="1">
      <protection locked="0"/>
    </xf>
    <xf numFmtId="37" fontId="8" fillId="0" borderId="2" xfId="0" applyFont="1" applyBorder="1"/>
    <xf numFmtId="37" fontId="8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4" fillId="0" borderId="0" xfId="0" applyNumberFormat="1" applyFont="1" applyProtection="1"/>
    <xf numFmtId="37" fontId="15" fillId="0" borderId="0" xfId="0" applyNumberFormat="1" applyFont="1" applyProtection="1"/>
    <xf numFmtId="37" fontId="14" fillId="0" borderId="2" xfId="0" applyNumberFormat="1" applyFont="1" applyBorder="1" applyProtection="1"/>
    <xf numFmtId="37" fontId="9" fillId="0" borderId="2" xfId="0" applyFont="1" applyBorder="1" applyAlignment="1" applyProtection="1">
      <alignment horizontal="center"/>
    </xf>
    <xf numFmtId="37" fontId="9" fillId="0" borderId="2" xfId="0" quotePrefix="1" applyFont="1" applyBorder="1" applyAlignment="1" applyProtection="1">
      <alignment horizontal="center"/>
    </xf>
    <xf numFmtId="37" fontId="9" fillId="0" borderId="3" xfId="0" applyFont="1" applyBorder="1" applyAlignment="1" applyProtection="1">
      <alignment horizontal="center"/>
    </xf>
    <xf numFmtId="37" fontId="9" fillId="0" borderId="3" xfId="0" quotePrefix="1" applyFont="1" applyBorder="1" applyAlignment="1">
      <alignment horizontal="center"/>
    </xf>
    <xf numFmtId="37" fontId="8" fillId="0" borderId="2" xfId="0" applyNumberFormat="1" applyFont="1" applyBorder="1" applyProtection="1"/>
    <xf numFmtId="37" fontId="0" fillId="0" borderId="0" xfId="0" applyFont="1" applyBorder="1"/>
    <xf numFmtId="37" fontId="8" fillId="0" borderId="0" xfId="0" applyFont="1" applyBorder="1"/>
    <xf numFmtId="37" fontId="9" fillId="0" borderId="3" xfId="0" quotePrefix="1" applyFont="1" applyBorder="1" applyAlignment="1" applyProtection="1">
      <alignment horizontal="center"/>
    </xf>
    <xf numFmtId="37" fontId="14" fillId="0" borderId="0" xfId="0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8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6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0" xfId="0" applyNumberFormat="1" applyAlignment="1" applyProtection="1">
      <alignment horizontal="right"/>
    </xf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49" fontId="6" fillId="0" borderId="0" xfId="0" applyNumberFormat="1" applyFont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11" xfId="0" applyNumberFormat="1" applyFont="1" applyBorder="1" applyProtection="1"/>
    <xf numFmtId="37" fontId="13" fillId="0" borderId="0" xfId="0" quotePrefix="1" applyFont="1" applyAlignment="1" applyProtection="1">
      <alignment horizontal="center"/>
    </xf>
    <xf numFmtId="37" fontId="16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7" fillId="3" borderId="12" xfId="0" applyFont="1" applyFill="1" applyBorder="1" applyAlignment="1" applyProtection="1">
      <alignment horizontal="center"/>
    </xf>
    <xf numFmtId="37" fontId="0" fillId="0" borderId="10" xfId="0" applyNumberFormat="1" applyFont="1" applyBorder="1" applyProtection="1"/>
    <xf numFmtId="37" fontId="19" fillId="3" borderId="12" xfId="0" applyFont="1" applyFill="1" applyBorder="1" applyAlignment="1" applyProtection="1">
      <alignment horizontal="center"/>
    </xf>
    <xf numFmtId="37" fontId="0" fillId="0" borderId="0" xfId="0" applyAlignment="1">
      <alignment horizontal="right"/>
    </xf>
    <xf numFmtId="17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37" fontId="10" fillId="0" borderId="0" xfId="0" quotePrefix="1" applyFont="1" applyAlignment="1" applyProtection="1">
      <alignment horizontal="left"/>
    </xf>
    <xf numFmtId="37" fontId="21" fillId="0" borderId="0" xfId="0" applyFont="1" applyProtection="1"/>
    <xf numFmtId="37" fontId="21" fillId="0" borderId="7" xfId="0" applyFont="1" applyBorder="1" applyProtection="1"/>
    <xf numFmtId="37" fontId="21" fillId="0" borderId="0" xfId="0" applyNumberFormat="1" applyFont="1" applyProtection="1"/>
    <xf numFmtId="37" fontId="21" fillId="0" borderId="0" xfId="0" applyFont="1" applyBorder="1"/>
    <xf numFmtId="37" fontId="21" fillId="0" borderId="2" xfId="0" applyFont="1" applyBorder="1"/>
    <xf numFmtId="37" fontId="21" fillId="0" borderId="0" xfId="0" applyFont="1"/>
    <xf numFmtId="37" fontId="14" fillId="4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J74"/>
  <sheetViews>
    <sheetView tabSelected="1" showOutlineSymbol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9" defaultRowHeight="10.199999999999999" outlineLevelRow="4" x14ac:dyDescent="0.2"/>
  <cols>
    <col min="1" max="1" width="52.85546875" style="1" customWidth="1"/>
    <col min="2" max="2" width="1.85546875" style="1" customWidth="1"/>
    <col min="3" max="3" width="12.85546875" style="1" customWidth="1"/>
    <col min="4" max="4" width="10.42578125" style="1" customWidth="1"/>
    <col min="5" max="5" width="1.85546875" style="1" customWidth="1"/>
    <col min="6" max="15" width="12.85546875" style="1" customWidth="1"/>
    <col min="16" max="16" width="11.140625" style="1" customWidth="1"/>
    <col min="17" max="17" width="11.28515625" style="1" customWidth="1"/>
    <col min="18" max="25" width="12.85546875" style="1" customWidth="1"/>
    <col min="26" max="26" width="11.28515625" style="1" customWidth="1"/>
    <col min="27" max="27" width="10.85546875" style="1" customWidth="1"/>
    <col min="28" max="29" width="11.42578125" style="1" customWidth="1"/>
    <col min="30" max="30" width="13.28515625" style="1" bestFit="1" customWidth="1"/>
    <col min="31" max="34" width="12.85546875" style="1" customWidth="1"/>
    <col min="35" max="35" width="13.7109375" style="1" customWidth="1"/>
    <col min="36" max="36" width="13.28515625" style="1" bestFit="1" customWidth="1"/>
    <col min="37" max="38" width="13.28515625" style="1" customWidth="1"/>
    <col min="39" max="41" width="12.85546875" style="1" customWidth="1"/>
    <col min="42" max="42" width="11.28515625" style="1" customWidth="1"/>
    <col min="43" max="46" width="12.85546875" style="1" customWidth="1"/>
    <col min="47" max="47" width="11.28515625" style="1" customWidth="1"/>
    <col min="48" max="53" width="12.85546875" style="1" customWidth="1"/>
    <col min="54" max="54" width="12.85546875" style="1" hidden="1" customWidth="1"/>
    <col min="55" max="56" width="12.85546875" style="1" customWidth="1"/>
    <col min="57" max="57" width="11.85546875" style="1" customWidth="1"/>
    <col min="58" max="60" width="12.85546875" style="1" customWidth="1"/>
    <col min="61" max="61" width="11.42578125" style="1" customWidth="1"/>
    <col min="62" max="62" width="9.85546875" style="1" bestFit="1" customWidth="1"/>
    <col min="63" max="16384" width="9" style="1"/>
  </cols>
  <sheetData>
    <row r="1" spans="1:61" x14ac:dyDescent="0.2">
      <c r="A1" s="12" t="s">
        <v>166</v>
      </c>
      <c r="C1" s="74" t="s">
        <v>169</v>
      </c>
      <c r="G1" s="75" t="s">
        <v>167</v>
      </c>
      <c r="H1" s="76">
        <f ca="1">NOW()</f>
        <v>36824.55417152778</v>
      </c>
      <c r="I1" s="62"/>
      <c r="J1" s="62"/>
      <c r="K1" s="62"/>
      <c r="L1" s="62"/>
      <c r="M1" s="62"/>
      <c r="N1" s="62"/>
      <c r="O1" s="63"/>
      <c r="P1" s="62"/>
      <c r="Q1" s="62"/>
      <c r="R1" s="64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  <c r="AD1" s="62"/>
      <c r="AE1" s="64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3"/>
      <c r="AQ1" s="62"/>
      <c r="AR1" s="64"/>
      <c r="AS1" s="64"/>
      <c r="AT1" s="62"/>
      <c r="AU1" s="62"/>
      <c r="AV1" s="62"/>
      <c r="AW1" s="62"/>
      <c r="AX1" s="62"/>
      <c r="AY1" s="63"/>
      <c r="AZ1" s="62"/>
      <c r="BA1" s="64"/>
      <c r="BB1" s="66"/>
      <c r="BC1" s="62"/>
      <c r="BD1" s="62"/>
      <c r="BE1" s="62"/>
      <c r="BF1" s="62"/>
      <c r="BG1" s="62"/>
      <c r="BH1" s="62"/>
      <c r="BI1" s="63"/>
    </row>
    <row r="2" spans="1:61" x14ac:dyDescent="0.2">
      <c r="A2" s="12" t="s">
        <v>5</v>
      </c>
      <c r="C2" s="72" t="s">
        <v>1</v>
      </c>
      <c r="D2" s="2" t="s">
        <v>173</v>
      </c>
      <c r="G2" s="75" t="s">
        <v>168</v>
      </c>
      <c r="H2" s="77">
        <f ca="1">NOW()</f>
        <v>36824.55417152778</v>
      </c>
      <c r="I2" s="62"/>
      <c r="J2" s="1" t="str">
        <f ca="1">CELL("filename")</f>
        <v>O:\Corporate\GPGFin\gpgPLAN\GENACTG\Year2000\Sep_2000\[CF_EPLGR2.xls]ELQSV2</v>
      </c>
      <c r="K2" s="62"/>
      <c r="L2" s="65"/>
      <c r="M2" s="62"/>
      <c r="N2" s="62"/>
      <c r="O2" s="62"/>
      <c r="P2" s="62"/>
      <c r="Q2" s="62"/>
      <c r="R2" s="64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4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64"/>
      <c r="AS2" s="64"/>
      <c r="AT2" s="62"/>
      <c r="AU2" s="62"/>
      <c r="AV2" s="62"/>
      <c r="AW2" s="62"/>
      <c r="AX2" s="62"/>
      <c r="AY2" s="63"/>
      <c r="AZ2" s="62"/>
      <c r="BA2" s="64"/>
      <c r="BB2" s="67"/>
      <c r="BC2" s="62"/>
      <c r="BD2" s="62"/>
      <c r="BE2" s="62"/>
      <c r="BF2" s="62"/>
      <c r="BG2" s="62"/>
      <c r="BH2" s="62"/>
      <c r="BI2" s="62"/>
    </row>
    <row r="3" spans="1:61" x14ac:dyDescent="0.2">
      <c r="A3" s="78" t="s">
        <v>172</v>
      </c>
      <c r="B3" s="50"/>
      <c r="C3" s="72" t="s">
        <v>2</v>
      </c>
      <c r="D3" s="3" t="s">
        <v>171</v>
      </c>
      <c r="F3" s="52"/>
      <c r="G3" s="52"/>
      <c r="H3" s="53" t="s">
        <v>110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111</v>
      </c>
      <c r="S3" s="53" t="s">
        <v>112</v>
      </c>
      <c r="T3" s="52"/>
      <c r="U3" s="52"/>
      <c r="V3" s="52"/>
      <c r="W3" s="52"/>
      <c r="X3" s="52"/>
      <c r="Y3" s="52"/>
      <c r="Z3" s="52"/>
      <c r="AA3" s="52"/>
      <c r="AB3" s="53" t="s">
        <v>113</v>
      </c>
      <c r="AC3" s="53" t="s">
        <v>114</v>
      </c>
      <c r="AD3" s="52"/>
      <c r="AE3" s="53" t="s">
        <v>109</v>
      </c>
      <c r="AF3" s="70" t="s">
        <v>109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115</v>
      </c>
      <c r="AR3" s="53" t="s">
        <v>116</v>
      </c>
      <c r="AS3" s="52"/>
      <c r="AT3" s="52"/>
      <c r="AU3" s="52"/>
      <c r="AV3" s="53" t="s">
        <v>117</v>
      </c>
      <c r="AW3" s="52"/>
      <c r="AX3" s="70" t="s">
        <v>161</v>
      </c>
      <c r="AY3" s="52"/>
      <c r="AZ3" s="52"/>
      <c r="BA3" s="52"/>
      <c r="BB3" s="52"/>
      <c r="BC3" s="70" t="s">
        <v>162</v>
      </c>
      <c r="BD3" s="52"/>
      <c r="BE3" s="52"/>
      <c r="BF3" s="52"/>
      <c r="BG3" s="52"/>
      <c r="BH3" s="52"/>
      <c r="BI3" s="52"/>
    </row>
    <row r="4" spans="1:61" x14ac:dyDescent="0.2">
      <c r="A4" s="14"/>
      <c r="B4" s="51"/>
      <c r="C4" s="16" t="s">
        <v>6</v>
      </c>
      <c r="D4" s="17"/>
      <c r="E4" s="18"/>
      <c r="F4" s="16" t="s">
        <v>7</v>
      </c>
      <c r="G4" s="16" t="s">
        <v>120</v>
      </c>
      <c r="H4" s="41" t="s">
        <v>8</v>
      </c>
      <c r="I4" s="41" t="s">
        <v>94</v>
      </c>
      <c r="J4" s="41" t="s">
        <v>94</v>
      </c>
      <c r="K4" s="16" t="s">
        <v>99</v>
      </c>
      <c r="L4" s="16" t="s">
        <v>9</v>
      </c>
      <c r="M4" s="42" t="s">
        <v>10</v>
      </c>
      <c r="N4" s="17"/>
      <c r="O4" s="41" t="s">
        <v>11</v>
      </c>
      <c r="P4" s="17"/>
      <c r="Q4" s="41" t="s">
        <v>12</v>
      </c>
      <c r="R4" s="41" t="s">
        <v>13</v>
      </c>
      <c r="S4" s="41" t="s">
        <v>14</v>
      </c>
      <c r="T4" s="41" t="s">
        <v>14</v>
      </c>
      <c r="U4" s="16" t="s">
        <v>103</v>
      </c>
      <c r="V4" s="41" t="s">
        <v>15</v>
      </c>
      <c r="W4" s="41" t="s">
        <v>16</v>
      </c>
      <c r="X4" s="41" t="s">
        <v>17</v>
      </c>
      <c r="Y4" s="41" t="s">
        <v>18</v>
      </c>
      <c r="Z4" s="41" t="s">
        <v>12</v>
      </c>
      <c r="AA4" s="41" t="s">
        <v>106</v>
      </c>
      <c r="AB4" s="41" t="s">
        <v>19</v>
      </c>
      <c r="AC4" s="41" t="s">
        <v>104</v>
      </c>
      <c r="AD4" s="41" t="s">
        <v>105</v>
      </c>
      <c r="AE4" s="41"/>
      <c r="AF4" s="41" t="s">
        <v>20</v>
      </c>
      <c r="AG4" s="41" t="s">
        <v>21</v>
      </c>
      <c r="AH4" s="41" t="s">
        <v>22</v>
      </c>
      <c r="AI4" s="41" t="s">
        <v>95</v>
      </c>
      <c r="AJ4" s="41" t="s">
        <v>23</v>
      </c>
      <c r="AK4" s="41" t="s">
        <v>96</v>
      </c>
      <c r="AL4" s="41" t="s">
        <v>96</v>
      </c>
      <c r="AM4" s="41" t="s">
        <v>24</v>
      </c>
      <c r="AN4" s="41" t="s">
        <v>25</v>
      </c>
      <c r="AO4" s="41" t="s">
        <v>25</v>
      </c>
      <c r="AP4" s="41" t="s">
        <v>12</v>
      </c>
      <c r="AQ4" s="41" t="s">
        <v>13</v>
      </c>
      <c r="AR4" s="41" t="s">
        <v>26</v>
      </c>
      <c r="AS4" s="41" t="s">
        <v>100</v>
      </c>
      <c r="AT4" s="41" t="s">
        <v>27</v>
      </c>
      <c r="AU4" s="41" t="s">
        <v>12</v>
      </c>
      <c r="AV4" s="41" t="s">
        <v>28</v>
      </c>
      <c r="AW4" s="41" t="s">
        <v>29</v>
      </c>
      <c r="AX4" s="41" t="s">
        <v>30</v>
      </c>
      <c r="AY4" s="46" t="s">
        <v>31</v>
      </c>
      <c r="AZ4" s="41" t="s">
        <v>32</v>
      </c>
      <c r="BA4" s="41" t="s">
        <v>33</v>
      </c>
      <c r="BB4" s="41" t="s">
        <v>131</v>
      </c>
      <c r="BC4" s="41" t="s">
        <v>34</v>
      </c>
      <c r="BD4" s="41" t="s">
        <v>35</v>
      </c>
      <c r="BE4" s="41" t="s">
        <v>36</v>
      </c>
      <c r="BF4" s="41" t="s">
        <v>37</v>
      </c>
      <c r="BG4" s="41" t="s">
        <v>38</v>
      </c>
      <c r="BH4" s="41" t="s">
        <v>39</v>
      </c>
      <c r="BI4" s="16"/>
    </row>
    <row r="5" spans="1:61" x14ac:dyDescent="0.2">
      <c r="A5" s="19" t="s">
        <v>0</v>
      </c>
      <c r="B5" s="20"/>
      <c r="C5" s="21" t="s">
        <v>40</v>
      </c>
      <c r="D5" s="21"/>
      <c r="E5" s="22"/>
      <c r="F5" s="21" t="s">
        <v>42</v>
      </c>
      <c r="G5" s="21" t="s">
        <v>121</v>
      </c>
      <c r="H5" s="39" t="s">
        <v>43</v>
      </c>
      <c r="I5" s="39" t="s">
        <v>98</v>
      </c>
      <c r="J5" s="39" t="s">
        <v>75</v>
      </c>
      <c r="K5" s="21" t="s">
        <v>75</v>
      </c>
      <c r="L5" s="21" t="s">
        <v>44</v>
      </c>
      <c r="M5" s="39" t="s">
        <v>45</v>
      </c>
      <c r="N5" s="39" t="s">
        <v>46</v>
      </c>
      <c r="O5" s="39" t="s">
        <v>47</v>
      </c>
      <c r="P5" s="40" t="s">
        <v>93</v>
      </c>
      <c r="Q5" s="39" t="s">
        <v>48</v>
      </c>
      <c r="R5" s="39" t="s">
        <v>49</v>
      </c>
      <c r="S5" s="39" t="s">
        <v>50</v>
      </c>
      <c r="T5" s="39" t="s">
        <v>75</v>
      </c>
      <c r="U5" s="21" t="s">
        <v>98</v>
      </c>
      <c r="V5" s="39" t="s">
        <v>44</v>
      </c>
      <c r="W5" s="39" t="s">
        <v>51</v>
      </c>
      <c r="X5" s="39" t="s">
        <v>52</v>
      </c>
      <c r="Y5" s="39" t="s">
        <v>53</v>
      </c>
      <c r="Z5" s="39" t="s">
        <v>54</v>
      </c>
      <c r="AA5" s="39" t="s">
        <v>107</v>
      </c>
      <c r="AB5" s="39" t="s">
        <v>55</v>
      </c>
      <c r="AC5" s="39" t="s">
        <v>105</v>
      </c>
      <c r="AD5" s="39" t="s">
        <v>108</v>
      </c>
      <c r="AE5" s="39" t="s">
        <v>56</v>
      </c>
      <c r="AF5" s="39" t="s">
        <v>57</v>
      </c>
      <c r="AG5" s="39" t="s">
        <v>58</v>
      </c>
      <c r="AH5" s="39" t="s">
        <v>59</v>
      </c>
      <c r="AI5" s="39" t="s">
        <v>75</v>
      </c>
      <c r="AJ5" s="39" t="s">
        <v>59</v>
      </c>
      <c r="AK5" s="39" t="s">
        <v>75</v>
      </c>
      <c r="AL5" s="39" t="s">
        <v>98</v>
      </c>
      <c r="AM5" s="39" t="s">
        <v>60</v>
      </c>
      <c r="AN5" s="39" t="s">
        <v>61</v>
      </c>
      <c r="AO5" s="39" t="s">
        <v>62</v>
      </c>
      <c r="AP5" s="39" t="s">
        <v>63</v>
      </c>
      <c r="AQ5" s="39" t="s">
        <v>64</v>
      </c>
      <c r="AR5" s="39" t="s">
        <v>65</v>
      </c>
      <c r="AS5" s="39" t="s">
        <v>101</v>
      </c>
      <c r="AT5" s="39" t="s">
        <v>61</v>
      </c>
      <c r="AU5" s="39" t="s">
        <v>54</v>
      </c>
      <c r="AV5" s="39" t="s">
        <v>66</v>
      </c>
      <c r="AW5" s="39" t="s">
        <v>67</v>
      </c>
      <c r="AX5" s="39" t="s">
        <v>62</v>
      </c>
      <c r="AY5" s="39" t="s">
        <v>68</v>
      </c>
      <c r="AZ5" s="39" t="s">
        <v>68</v>
      </c>
      <c r="BA5" s="39" t="s">
        <v>69</v>
      </c>
      <c r="BB5" s="39" t="s">
        <v>132</v>
      </c>
      <c r="BC5" s="39" t="s">
        <v>70</v>
      </c>
      <c r="BD5" s="39" t="s">
        <v>71</v>
      </c>
      <c r="BE5" s="39" t="s">
        <v>72</v>
      </c>
      <c r="BF5" s="39" t="s">
        <v>73</v>
      </c>
      <c r="BG5" s="39" t="s">
        <v>68</v>
      </c>
      <c r="BH5" s="39" t="s">
        <v>74</v>
      </c>
      <c r="BI5" s="21"/>
    </row>
    <row r="6" spans="1:61" ht="12.9" customHeight="1" outlineLevel="2" x14ac:dyDescent="0.2">
      <c r="A6" s="13" t="s">
        <v>122</v>
      </c>
      <c r="B6" s="15"/>
      <c r="C6" s="34">
        <f>F6</f>
        <v>-3808</v>
      </c>
      <c r="D6" s="59" t="s">
        <v>124</v>
      </c>
      <c r="E6" s="20"/>
      <c r="F6" s="5">
        <f>ROUND((_xll.HPVAL($C$1,$C$3,"TOT_CASH_WF",$D$3,"YTD","CORP")+_xll.HPVAL($C$1,$C$3,"0025",$D$3,"YTD","CORP"))/1000,0)</f>
        <v>-3808</v>
      </c>
      <c r="G6" s="5">
        <f>-ROUND((_xll.HPVAL($C$1,$C$3,"0660",$D$3,"YTD","CORP"))/1000,0)</f>
        <v>-4910</v>
      </c>
      <c r="H6" s="24">
        <f>ROUND((_xll.HPVAL($C$1,$C$3,"TOT_AR_OTHER",$D$3,"YTD","CORP")+_xll.HPVAL($C$1,$C$3,"0070",$D$3,"YTD","CORP")+_xll.HPVAL($C$1,$C$3,"0077",$D$3,"YTD","CORP")+_xll.HPVAL($C$1,$C$3,"TOT_NR_TRADE",$D$3,"YTD","CORP"))/1000,0)</f>
        <v>16873</v>
      </c>
      <c r="I6" s="24">
        <f>ROUND((_xll.HPVAL($C$1,$C$3,"0052",$D$3,"YTD","CORP")+_xll.HPVAL($C$1,$C$3,"0038",$D$3,"YTD","CORP"))/1000,0)</f>
        <v>0</v>
      </c>
      <c r="J6" s="24">
        <f>ROUND((_xll.HPVAL($C$1,$C$3,"0051",$D$3,"YTD","CORP"))/1000,0)</f>
        <v>0</v>
      </c>
      <c r="K6" s="24">
        <f>ROUND((_xll.HPVAL($C$1,$C$3,"0037",$D$3,"YTD","CORP"))/1000,0)</f>
        <v>3007</v>
      </c>
      <c r="L6" s="24">
        <f>ROUND((_xll.HPVAL($C$1,$C$3,"0030",$D$3,"YTD","CORP"))/1000,0)</f>
        <v>0</v>
      </c>
      <c r="M6" s="24">
        <f>ROUND((_xll.HPVAL($C$1,$C$3,"0185",$D$3,"YTD","CORP"))/1000,0)</f>
        <v>0</v>
      </c>
      <c r="N6" s="24">
        <f>ROUND((_xll.HPVAL($C$1,$C$3,"TOT_INVENTORY",$D$3,"YTD","CORP"))/1000,0)</f>
        <v>0</v>
      </c>
      <c r="O6" s="5">
        <f>ROUND((_xll.HPVAL($C$1,$C$3,"0120",$D$3,"YTD","CORP"))/1000,0)</f>
        <v>0</v>
      </c>
      <c r="P6" s="5">
        <f>ROUND((_xll.HPVAL($C$1,$C$3,"TOT_PREPYMT",$D$3,"YTD","CORP"))/1000,0)</f>
        <v>0</v>
      </c>
      <c r="Q6" s="5">
        <f>ROUND((_xll.HPVAL($C$1,$C$3,"0183",$D$3,"YTD","CORP"))/1000,0)</f>
        <v>0</v>
      </c>
      <c r="R6" s="24">
        <f>ROUND((_xll.HPVAL($C$1,$C$3,"TOT_OTH_CA",$D$3,"YTD","CORP")+_xll.HPVAL($C$1,$C$3,"0140",$D$3,"YTD","CORP")+_xll.HPVAL($C$1,$C$3,"0181",$D$3,"YTD","CORP"))/1000,0)</f>
        <v>0</v>
      </c>
      <c r="S6" s="24">
        <f>ROUND((_xll.HPVAL($C$1,$C$3,"TOT_INVEST_SUBS",$D$3,"YTD","CORP"))/1000,0)</f>
        <v>38960</v>
      </c>
      <c r="T6" s="24">
        <f>ROUND((_xll.HPVAL($C$1,$C$3,"TOT_INV_CONSUB",$D$3,"YTD","CORP")-_xll.HPVAL($C$1,$C$3,"0218",$D$3,"YTD","CORP"))/1000,0)</f>
        <v>0</v>
      </c>
      <c r="U6" s="24">
        <f>ROUND((_xll.HPVAL($C$1,$C$3,"0218",$D$3,"YTD","CORP"))/1000,0)</f>
        <v>0</v>
      </c>
      <c r="V6" s="24">
        <f>ROUND((_xll.HPVAL($C$1,$C$3,"TOT_MKT_SEC",$D$3,"YTD","CORP"))/1000,0)</f>
        <v>0</v>
      </c>
      <c r="W6" s="36" t="e">
        <f>ROUND(_xll.HPVAL($C$1,$C$3,"0255",$D$3,"YTD","CORP")/1000,0)</f>
        <v>#VALUE!</v>
      </c>
      <c r="X6" s="24">
        <f>ROUND((_xll.HPVAL($C$1,$C$3,"0260",$D$3,"YTD","CORP"))/1000,0)</f>
        <v>0</v>
      </c>
      <c r="Y6" s="24">
        <f>ROUND((_xll.HPVAL($C$1,$C$3,"0350",$D$3,"YTD","CORP"))/1000,0)</f>
        <v>0</v>
      </c>
      <c r="Z6" s="24">
        <f>ROUND((_xll.HPVAL($C$1,$C$3,"0358",$D$3,"YTD","CORP"))/1000,0)</f>
        <v>0</v>
      </c>
      <c r="AA6" s="36">
        <f>ROUND((_xll.HPVAL($C$1,$C$3,"0265",$D$3,"YTD","CORP"))/1000,0)</f>
        <v>0</v>
      </c>
      <c r="AB6" s="36">
        <f>ROUND((_xll.HPVAL($C$1,$C$3,"TOT_INV_OTHER",$D$3,"YTD","CORP"))/1000,0)</f>
        <v>0</v>
      </c>
      <c r="AC6" s="36">
        <f>ROUND((_xll.HPVAL($C$1,$C$3,"TOT_DEF_CHGS_OTH",$D$3,"YTD","CORP"))/1000,0)</f>
        <v>0</v>
      </c>
      <c r="AD6" s="36">
        <f>ROUND((_xll.HPVAL($C$1,$C$3,"0341",$D$3,"YTD","CORP"))/1000,0)</f>
        <v>0</v>
      </c>
      <c r="AE6" s="24">
        <f>ROUND((_xll.HPVAL($C$1,$C$3,"TOT_PPE",$D$3,"YTD","CORP"))/1000,0)</f>
        <v>0</v>
      </c>
      <c r="AF6" s="24">
        <f>ROUND((_xll.HPVAL($C$1,$C$3,"TOT_ACCUM_DDA",$D$3,"YTD","CORP"))/1000,0)</f>
        <v>0</v>
      </c>
      <c r="AG6" s="24">
        <f>ROUND((_xll.HPVAL($C$1,$C$3,"0340",$D$3,"YTD","CORP"))/1000,0)</f>
        <v>0</v>
      </c>
      <c r="AH6" s="24">
        <f>-ROUND(_xll.HPVAL($C$1,$C$3,"TOT_NP_OTHER",$D$3,"YTD","CORP")/1000,0)</f>
        <v>0</v>
      </c>
      <c r="AI6" s="24">
        <f>-ROUND((_xll.HPVAL($C$1,$C$3,"0486",$D$3,"YTD","CORP"))/1000,0)</f>
        <v>0</v>
      </c>
      <c r="AJ6" s="36">
        <f>-ROUND(_xll.HPVAL($C$1,$C$3,"TOT_AP_OTHER",$D$3,"YTD","CORP")/1000,0)</f>
        <v>-40</v>
      </c>
      <c r="AK6" s="36">
        <f>-ROUND((_xll.HPVAL($C$1,$C$3,"0516",$D$3,"YTD","CORP"))/1000,0)</f>
        <v>0</v>
      </c>
      <c r="AL6" s="36">
        <f>-ROUND((_xll.HPVAL($C$1,$C$3,"0517",$D$3,"YTD","CORP"))/1000,0)</f>
        <v>0</v>
      </c>
      <c r="AM6" s="24">
        <f>-ROUND((_xll.HPVAL($C$1,$C$3,"0632",$D$3,"YTD","CORP"))/1000,0)</f>
        <v>0</v>
      </c>
      <c r="AN6" s="24">
        <f>-ROUND((_xll.HPVAL($C$1,$C$3,"TOT_ACCR_INCTAX",$D$3,"YTD","CORP")+_xll.HPVAL($C$1,$C$3,"0560",$D$3,"YTD","CORP"))/1000,0)</f>
        <v>266</v>
      </c>
      <c r="AO6" s="24">
        <f>-ROUND((_xll.HPVAL($C$1,$C$3,"TOT_ACCR_INT_OTH",$D$3,"YTD","CORP"))/1000,0)</f>
        <v>0</v>
      </c>
      <c r="AP6" s="24">
        <f>-ROUND((_xll.HPVAL($C$1,$C$3,"0653",$D$3,"YTD","CORP"))/1000,0)</f>
        <v>0</v>
      </c>
      <c r="AQ6" s="24">
        <f>-ROUND((_xll.HPVAL($C$1,$C$3,"0641",$D$3,"YTD","CORP")+_xll.HPVAL($C$1,$C$3,"TOT_OTHER_CL",$D$3,"YTD","CORP"))/1000,0)</f>
        <v>-818</v>
      </c>
      <c r="AR6" s="24">
        <f>-ROUND((_xll.HPVAL($C$1,$C$3,"TOT_OTH_LT_DEBT",$D$3,"YTD","CORP")+_xll.HPVAL($C$1,$C$3,"0450",$D$3,"YTD","CORP")+_xll.HPVAL($C$1,$C$3,"0775",$D$3,"YTD","CORP"))/1000,0)</f>
        <v>0</v>
      </c>
      <c r="AS6" s="24">
        <f>-ROUND((_xll.HPVAL($C$1,$C$3,"0661",$D$3,"YTD","CORP"))/1000,0)</f>
        <v>0</v>
      </c>
      <c r="AT6" s="24">
        <f>-ROUND((_xll.HPVAL($C$1,$C$3,"TOT_DEF_INCTAX",$D$3,"YTD","CORP")+_xll.HPVAL($C$1,$C$3,"TOT_DEF_TAX",$D$3,"YTD","CORP"))/1000,0)</f>
        <v>-715</v>
      </c>
      <c r="AU6" s="24">
        <f>-ROUND((_xll.HPVAL($C$1,$C$3,"0853",$D$3,"YTD","CORP"))/1000,0)</f>
        <v>0</v>
      </c>
      <c r="AV6" s="24">
        <f>-ROUND((_xll.HPVAL($C$1,$C$3,"0815",$D$3,"YTD","CORP")+_xll.HPVAL($C$1,$C$3,"TOT_OTH_DEF_CR",$D$3,"YTD","CORP"))/1000,0)</f>
        <v>0</v>
      </c>
      <c r="AW6" s="24">
        <f>-ROUND((_xll.HPVAL($C$1,$C$3,"0870",$D$3,"YTD","CORP")+_xll.HPVAL($C$1,$C$3,"0645",$D$3,"YTD","CORP"))/1000,0)</f>
        <v>0</v>
      </c>
      <c r="AX6" s="24">
        <f>-ROUND((_xll.HPVAL($C$1,$C$3,"0855",$D$3,"YTD","CORP"))/1000,0)</f>
        <v>0</v>
      </c>
      <c r="AY6" s="24">
        <f>-ROUND((_xll.HPVAL($C$1,$C$3,"TOT_REDM_PSTK",$D$3,"YTD","CORP")+_xll.HPVAL($C$1,$C$3,"TOT_CONV_PSTK",$D$3,"YTD","CORP"))/1000,0)</f>
        <v>0</v>
      </c>
      <c r="AZ6" s="24">
        <f>-ROUND(_xll.HPVAL($C$1,$C$3,"TOT_COMMON_STK",$D$3,"YTD","CORP")/1000,0)</f>
        <v>-101</v>
      </c>
      <c r="BA6" s="24">
        <f>-ROUND(_xll.HPVAL($C$1,$C$3,"TOT_PREM_C_STK",$D$3,"YTD","CORP")/1000,0)</f>
        <v>-17942</v>
      </c>
      <c r="BB6" s="24">
        <v>0</v>
      </c>
      <c r="BC6" s="24">
        <f>-ROUND(_xll.HPVAL($C$1,$C$3,"TOT_RET_EARN",$D$3,"YTD","CORP")/1000,0)</f>
        <v>-30773</v>
      </c>
      <c r="BD6" s="24">
        <f>-ROUND((_xll.HPVAL($C$1,$C$3,"0948",$D$3,"YTD","CORP"))/1000,0)</f>
        <v>0</v>
      </c>
      <c r="BE6" s="24">
        <f>-ROUND((_xll.HPVAL($C$1,$C$3,"0951",$D$3,"YTD","CORP"))/1000,0)</f>
        <v>0</v>
      </c>
      <c r="BF6" s="24" t="e">
        <f>-ROUND((_xll.HPVAL($C$1,$C$3,"0950",$D$3,"YTD","CORP"))/1000,0)</f>
        <v>#VALUE!</v>
      </c>
      <c r="BG6" s="24">
        <f>-ROUND((_xll.HPVAL($C$1,$C$3,"0953",$D$3,"YTD","CORP"))/1000,0)</f>
        <v>0</v>
      </c>
      <c r="BH6" s="24">
        <f>-ROUND((_xll.HPVAL($C$1,$C$3,"0958",$D$3,"YTD","CORP"))/1000,0)</f>
        <v>0</v>
      </c>
      <c r="BI6" s="24"/>
    </row>
    <row r="7" spans="1:61" ht="12.9" customHeight="1" outlineLevel="2" x14ac:dyDescent="0.2">
      <c r="A7" s="13" t="s">
        <v>123</v>
      </c>
      <c r="B7" s="20"/>
      <c r="C7" s="61">
        <f>G6</f>
        <v>-4910</v>
      </c>
      <c r="D7" s="59" t="s">
        <v>125</v>
      </c>
      <c r="E7" s="20"/>
      <c r="F7" s="35">
        <f>ROUND((_xll.HPVAL($C$1,$C$2,"TOT_CASH_WF",$D$2,"YTD","CORP")+_xll.HPVAL($C$1,$C$2,"0025",$D$2,"YTD","CORP"))/1000,0)</f>
        <v>-550</v>
      </c>
      <c r="G7" s="57">
        <f>-ROUND((_xll.HPVAL($C$1,$C$2,"0660",$D$2,"YTD","CORP"))/1000,0)</f>
        <v>-6546</v>
      </c>
      <c r="H7" s="23">
        <f>ROUND((_xll.HPVAL($C$1,$C$2,"TOT_AR_OTHER",$D$2,"YTD","CORP")+_xll.HPVAL($C$1,$C$2,"0070",$D$2,"YTD","CORP")+_xll.HPVAL($C$1,$C$2,"0077",$D$2,"YTD","CORP")+_xll.HPVAL($C$1,$C$2,"TOT_NR_TRADE",$D$2,"YTD","CORP"))/1000,0)</f>
        <v>14298</v>
      </c>
      <c r="I7" s="23">
        <f>ROUND((_xll.HPVAL($C$1,$C$2,"0052",$D$2,"YTD","CORP")+_xll.HPVAL($C$1,$C$2,"0038",$D$2,"YTD","CORP"))/1000,0)</f>
        <v>0</v>
      </c>
      <c r="J7" s="23">
        <f>ROUND((_xll.HPVAL($C$1,$C$2,"0051",$D$2,"YTD","CORP"))/1000,0)</f>
        <v>178</v>
      </c>
      <c r="K7" s="23">
        <f>ROUND((_xll.HPVAL($C$1,$C$2,"0037",$D$2,"YTD","CORP"))/1000,0)</f>
        <v>3007</v>
      </c>
      <c r="L7" s="23">
        <f>ROUND((_xll.HPVAL($C$1,$C$2,"0030",$D$2,"YTD","CORP"))/1000,0)</f>
        <v>0</v>
      </c>
      <c r="M7" s="23">
        <f>ROUND((_xll.HPVAL($C$1,$C$2,"0185",$D$2,"YTD","CORP"))/1000,0)</f>
        <v>0</v>
      </c>
      <c r="N7" s="23">
        <f>ROUND((_xll.HPVAL($C$1,$C$2,"TOT_INVENTORY",$D$2,"YTD","CORP"))/1000,0)</f>
        <v>0</v>
      </c>
      <c r="O7" s="10">
        <f>ROUND((_xll.HPVAL($C$1,$C$2,"0120",$D$2,"YTD","CORP"))/1000,0)</f>
        <v>0</v>
      </c>
      <c r="P7" s="10">
        <f>ROUND((_xll.HPVAL($C$1,$C$2,"TOT_PREPYMT",$D$2,"YTD","CORP"))/1000,0)</f>
        <v>0</v>
      </c>
      <c r="Q7" s="10">
        <f>ROUND((_xll.HPVAL($C$1,$C$2,"0183",$D$2,"YTD","CORP"))/1000,0)</f>
        <v>0</v>
      </c>
      <c r="R7" s="23">
        <f>ROUND((_xll.HPVAL($C$1,$C$2,"TOT_OTH_CA",$D$2,"YTD","CORP")+_xll.HPVAL($C$1,$C$2,"0140",$D$2,"YTD","CORP")+_xll.HPVAL($C$1,$C$2,"0181",$D$2,"YTD","CORP"))/1000,0)</f>
        <v>0</v>
      </c>
      <c r="S7" s="23">
        <f>ROUND((_xll.HPVAL($C$1,$C$2,"TOT_INVEST_SUBS",$D$2,"YTD","CORP"))/1000,0)</f>
        <v>38537</v>
      </c>
      <c r="T7" s="23">
        <f>ROUND((_xll.HPVAL($C$1,$C$2,"TOT_INV_CONSUB",$D$2,"YTD","CORP")-_xll.HPVAL($C$1,$C$2,"0218",$D$2,"YTD","CORP"))/1000,0)</f>
        <v>0</v>
      </c>
      <c r="U7" s="23">
        <f>ROUND((_xll.HPVAL($C$1,$C$2,"0218",$D$2,"YTD","CORP"))/1000,0)</f>
        <v>0</v>
      </c>
      <c r="V7" s="23">
        <f>ROUND((_xll.HPVAL($C$1,$C$2,"TOT_MKT_SEC",$D$2,"YTD","CORP"))/1000,0)</f>
        <v>0</v>
      </c>
      <c r="W7" s="38" t="e">
        <f>ROUND(_xll.HPVAL($C$1,$C$2,"0255",$D$2,"YTD","CORP")/1000,0)</f>
        <v>#VALUE!</v>
      </c>
      <c r="X7" s="23">
        <f>ROUND((_xll.HPVAL($C$1,$C$2,"0260",$D$2,"YTD","CORP"))/1000,0)</f>
        <v>0</v>
      </c>
      <c r="Y7" s="23">
        <f>ROUND((_xll.HPVAL($C$1,$C$2,"0350",$D$2,"YTD","CORP"))/1000,0)</f>
        <v>0</v>
      </c>
      <c r="Z7" s="23">
        <f>ROUND((_xll.HPVAL($C$1,$C$2,"0358",$D$2,"YTD","CORP"))/1000,0)</f>
        <v>0</v>
      </c>
      <c r="AA7" s="38">
        <f>ROUND((_xll.HPVAL($C$1,$C$2,"0265",$D$2,"YTD","CORP"))/1000,0)</f>
        <v>0</v>
      </c>
      <c r="AB7" s="38">
        <f>ROUND((_xll.HPVAL($C$1,$C$2,"TOT_INV_OTHER",$D$2,"YTD","CORP"))/1000,0)</f>
        <v>0</v>
      </c>
      <c r="AC7" s="38">
        <f>ROUND((_xll.HPVAL($C$1,$C$2,"TOT_DEF_CHGS_OTH",$D$2,"YTD","CORP"))/1000,0)</f>
        <v>0</v>
      </c>
      <c r="AD7" s="38">
        <f>ROUND((_xll.HPVAL($C$1,$C$2,"0341",$D$2,"YTD","CORP"))/1000,0)</f>
        <v>0</v>
      </c>
      <c r="AE7" s="23">
        <f>ROUND((_xll.HPVAL($C$1,$C$2,"TOT_PPE",$D$2,"YTD","CORP"))/1000,0)</f>
        <v>0</v>
      </c>
      <c r="AF7" s="23">
        <f>ROUND((_xll.HPVAL($C$1,$C$2,"TOT_ACCUM_DDA",$D$2,"YTD","CORP"))/1000,0)</f>
        <v>0</v>
      </c>
      <c r="AG7" s="23">
        <f>ROUND((_xll.HPVAL($C$1,$C$2,"0340",$D$2,"YTD","CORP"))/1000,0)</f>
        <v>0</v>
      </c>
      <c r="AH7" s="23">
        <f>-ROUND(_xll.HPVAL($C$1,$C$2,"TOT_NP_OTHER",$D$2,"YTD","CORP")/1000,0)</f>
        <v>0</v>
      </c>
      <c r="AI7" s="23">
        <f>-ROUND((_xll.HPVAL($C$1,$C$2,"0486",$D$2,"YTD","CORP"))/1000,0)</f>
        <v>0</v>
      </c>
      <c r="AJ7" s="38">
        <f>-ROUND(_xll.HPVAL($C$1,$C$2,"TOT_AP_OTHER",$D$2,"YTD","CORP")/1000,0)</f>
        <v>-61</v>
      </c>
      <c r="AK7" s="38">
        <f>-ROUND((+_xll.HPVAL($C$1,$C$2,"0516",$D$2,"YTD","CORP"))/1000,0)</f>
        <v>0</v>
      </c>
      <c r="AL7" s="38">
        <f>-ROUND((_xll.HPVAL($C$1,$C$2,"0517",$D$2,"YTD","CORP"))/1000,0)</f>
        <v>0</v>
      </c>
      <c r="AM7" s="23">
        <f>-ROUND((_xll.HPVAL($C$1,$C$2,"0632",$D$2,"YTD","CORP"))/1000,0)</f>
        <v>0</v>
      </c>
      <c r="AN7" s="23">
        <f>-ROUND((_xll.HPVAL($C$1,$C$2,"TOT_ACCR_INCTAX",$D$2,"YTD","CORP")+_xll.HPVAL($C$1,$C$2,"0560",$D$2,"YTD","CORP"))/1000,0)</f>
        <v>254</v>
      </c>
      <c r="AO7" s="23">
        <f>-ROUND((_xll.HPVAL($C$1,$C$2,"TOT_ACCR_INT_OTH",$D$2,"YTD","CORP"))/1000,0)</f>
        <v>0</v>
      </c>
      <c r="AP7" s="23">
        <f>-ROUND((_xll.HPVAL($C$1,$C$2,"0653",$D$2,"YTD","CORP"))/1000,0)</f>
        <v>0</v>
      </c>
      <c r="AQ7" s="23">
        <f>-ROUND((_xll.HPVAL($C$1,$C$2,"0641",$D$2,"YTD","CORP")+_xll.HPVAL($C$1,$C$2,"TOT_OTHER_CL",$D$2,"YTD","CORP"))/1000,0)</f>
        <v>-818</v>
      </c>
      <c r="AR7" s="23">
        <f>-ROUND((_xll.HPVAL($C$1,$C$2,"TOT_OTH_LT_DEBT",$D$2,"YTD","CORP")+_xll.HPVAL($C$1,$C$2,"0450",$D$2,"YTD","CORP")+_xll.HPVAL($C$1,$C$2,"0775",$D$2,"YTD","CORP"))/1000,0)</f>
        <v>0</v>
      </c>
      <c r="AS7" s="23">
        <f>-ROUND((_xll.HPVAL($C$1,$C$2,"0661",$D$2,"YTD","CORP"))/1000,0)</f>
        <v>0</v>
      </c>
      <c r="AT7" s="23">
        <f>-ROUND((_xll.HPVAL($C$1,$C$2,"TOT_DEF_INCTAX",$D$2,"YTD","CORP")+_xll.HPVAL($C$1,$C$2,"TOT_DEF_TAX",$D$2,"YTD","CORP"))/1000,0)</f>
        <v>-25</v>
      </c>
      <c r="AU7" s="23">
        <f>-ROUND((_xll.HPVAL($C$1,$C$2,"0853",$D$2,"YTD","CORP"))/1000,0)</f>
        <v>0</v>
      </c>
      <c r="AV7" s="23">
        <f>-ROUND((_xll.HPVAL($C$1,$C$2,"0815",$D$2,"YTD","CORP")+_xll.HPVAL($C$1,$C$2,"TOT_OTH_DEF_CR",$D$2,"YTD","CORP"))/1000,0)</f>
        <v>0</v>
      </c>
      <c r="AW7" s="23">
        <f>-ROUND((_xll.HPVAL($C$1,$C$2,"0870",$D$2,"YTD","CORP")+_xll.HPVAL($C$1,$C$2,"0645",$D$2,"YTD","CORP"))/1000,0)</f>
        <v>0</v>
      </c>
      <c r="AX7" s="23">
        <f>-ROUND((_xll.HPVAL($C$1,$C$2,"0855",$D$2,"YTD","CORP"))/1000,0)</f>
        <v>0</v>
      </c>
      <c r="AY7" s="23">
        <f>-ROUND((_xll.HPVAL($C$1,$C$2,"TOT_REDM_PSTK",$D$2,"YTD","CORP")+_xll.HPVAL($C$1,$C$2,"TOT_CONV_PSTK",$D$2,"YTD","CORP"))/1000,0)</f>
        <v>0</v>
      </c>
      <c r="AZ7" s="23">
        <f>-ROUND(_xll.HPVAL($C$1,$C$2,"TOT_COMMON_STK",$D$2,"YTD","CORP")/1000,0)</f>
        <v>-101</v>
      </c>
      <c r="BA7" s="23">
        <f>-ROUND(_xll.HPVAL($C$1,$C$2,"TOT_PREM_C_STK",$D$2,"YTD","CORP")/1000,0)</f>
        <v>-17942</v>
      </c>
      <c r="BB7" s="23">
        <v>0</v>
      </c>
      <c r="BC7" s="23">
        <f>-ROUND(_xll.HPVAL($C$1,$C$2,"TOT_RET_EARN",$D$2,"YTD","CORP")/1000,0)</f>
        <v>-30232</v>
      </c>
      <c r="BD7" s="23">
        <f>-ROUND((_xll.HPVAL($C$1,$C$2,"0948",$D$2,"YTD","CORP"))/1000,0)</f>
        <v>0</v>
      </c>
      <c r="BE7" s="23">
        <f>-ROUND((_xll.HPVAL($C$1,$C$2,"0951",$D$2,"YTD","CORP"))/1000,0)</f>
        <v>0</v>
      </c>
      <c r="BF7" s="23" t="e">
        <f>-ROUND((_xll.HPVAL($C$1,$C$2,"0950",$D$2,"YTD","CORP"))/1000,0)</f>
        <v>#VALUE!</v>
      </c>
      <c r="BG7" s="23">
        <f>-ROUND((_xll.HPVAL($C$1,$C$2,"0953",$D$2,"YTD","CORP"))/1000,0)</f>
        <v>0</v>
      </c>
      <c r="BH7" s="23">
        <f>-ROUND((_xll.HPVAL($C$1,$C$2,"0958",$D$2,"YTD","CORP"))/1000,0)</f>
        <v>0</v>
      </c>
      <c r="BI7" s="23"/>
    </row>
    <row r="8" spans="1:61" ht="12.9" customHeight="1" outlineLevel="2" x14ac:dyDescent="0.2">
      <c r="A8" s="11" t="s">
        <v>128</v>
      </c>
      <c r="B8" s="20"/>
      <c r="C8" s="34">
        <f>C6+C7</f>
        <v>-8718</v>
      </c>
      <c r="D8" s="6"/>
      <c r="E8" s="20"/>
      <c r="F8" s="5">
        <f>F7-F6</f>
        <v>3258</v>
      </c>
      <c r="G8" s="5">
        <f>G7-G6</f>
        <v>-1636</v>
      </c>
      <c r="H8" s="5">
        <f t="shared" ref="H8:BH8" si="0">H7-H6</f>
        <v>-2575</v>
      </c>
      <c r="I8" s="5">
        <f t="shared" si="0"/>
        <v>0</v>
      </c>
      <c r="J8" s="5">
        <f t="shared" si="0"/>
        <v>178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-423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 t="e">
        <f t="shared" si="0"/>
        <v>#VALUE!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>AA7-AA6</f>
        <v>0</v>
      </c>
      <c r="AB8" s="5">
        <f>AB7-AB6</f>
        <v>0</v>
      </c>
      <c r="AC8" s="5">
        <f>AC7-AC6</f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-21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-12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690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0</v>
      </c>
      <c r="BC8" s="5">
        <f t="shared" si="0"/>
        <v>541</v>
      </c>
      <c r="BD8" s="5">
        <f t="shared" si="0"/>
        <v>0</v>
      </c>
      <c r="BE8" s="5">
        <f t="shared" si="0"/>
        <v>0</v>
      </c>
      <c r="BF8" s="5" t="e">
        <f t="shared" si="0"/>
        <v>#VALUE!</v>
      </c>
      <c r="BG8" s="5">
        <f t="shared" si="0"/>
        <v>0</v>
      </c>
      <c r="BH8" s="5">
        <f t="shared" si="0"/>
        <v>0</v>
      </c>
      <c r="BI8" s="28"/>
    </row>
    <row r="9" spans="1:61" ht="9.9" customHeight="1" outlineLevel="2" x14ac:dyDescent="0.2">
      <c r="A9" s="7"/>
      <c r="B9" s="20"/>
      <c r="C9" s="34"/>
      <c r="D9" s="39" t="s">
        <v>41</v>
      </c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37"/>
    </row>
    <row r="10" spans="1:61" ht="10.5" customHeight="1" outlineLevel="4" x14ac:dyDescent="0.2">
      <c r="A10" s="25" t="s">
        <v>76</v>
      </c>
      <c r="B10" s="20"/>
      <c r="E10" s="20"/>
      <c r="AF10" s="37"/>
      <c r="AG10" s="24"/>
    </row>
    <row r="11" spans="1:61" ht="10.5" customHeight="1" outlineLevel="4" x14ac:dyDescent="0.2">
      <c r="A11" s="11" t="s">
        <v>133</v>
      </c>
      <c r="B11" s="20"/>
      <c r="C11" s="81">
        <v>-285</v>
      </c>
      <c r="D11" s="6"/>
      <c r="E11" s="20"/>
    </row>
    <row r="12" spans="1:61" ht="10.5" customHeight="1" outlineLevel="4" x14ac:dyDescent="0.2">
      <c r="A12" s="13" t="s">
        <v>134</v>
      </c>
      <c r="B12" s="20"/>
      <c r="C12" s="61">
        <f>C11-C13</f>
        <v>0</v>
      </c>
      <c r="D12" s="6"/>
      <c r="E12" s="20"/>
    </row>
    <row r="13" spans="1:61" ht="10.5" customHeight="1" outlineLevel="4" x14ac:dyDescent="0.2">
      <c r="A13" s="11" t="s">
        <v>163</v>
      </c>
      <c r="B13" s="20"/>
      <c r="C13" s="1">
        <f>ROUND((_xll.HPVAL($C$1,$C$2,"NET_INCOME",$D$2,"YTD","CORP")-_xll.HPVAL($C$1,$C$2,"1505",$D$2,"YTD","CORP"))/1000,0)</f>
        <v>-285</v>
      </c>
      <c r="D13" s="6">
        <f>SUM(F13:BH13)-C13</f>
        <v>0</v>
      </c>
      <c r="E13" s="20"/>
      <c r="BC13" s="1">
        <f>ROUND((_xll.HPVAL($C$1,$C$2,"NET_INCOME",$D$2,"YTD","CORP")-_xll.HPVAL($C$1,$C$2,"1505",$D$2,"YTD","CORP"))/1000,0)</f>
        <v>-285</v>
      </c>
    </row>
    <row r="14" spans="1:61" ht="9.9" customHeight="1" outlineLevel="4" x14ac:dyDescent="0.2">
      <c r="A14" s="47" t="s">
        <v>77</v>
      </c>
      <c r="B14" s="20"/>
      <c r="C14" s="24">
        <f>ROUND((_xll.HPVAL($C$1,$C$2,"TOT_DEPR_AMORT",$D$2,"YTD","CORP"))/1000,0)</f>
        <v>0</v>
      </c>
      <c r="D14" s="6">
        <f t="shared" ref="D14:D21" si="1">SUM(F14:BH14)-C14</f>
        <v>0</v>
      </c>
      <c r="E14" s="20"/>
      <c r="G14" s="71"/>
      <c r="AF14" s="44">
        <f>ROUND((_xll.HPVAL($C$1,$C$2,"1415",$D$2,"YTD","CORP")+_xll.HPVAL($C$1,$C$2,"1416",$D$2,"YTD","CORP"))/1000,0)</f>
        <v>0</v>
      </c>
      <c r="AG14" s="26"/>
    </row>
    <row r="15" spans="1:61" ht="9.9" customHeight="1" outlineLevel="4" x14ac:dyDescent="0.2">
      <c r="A15" s="47" t="s">
        <v>3</v>
      </c>
      <c r="B15" s="20"/>
      <c r="C15" s="24">
        <f>ROUND((_xll.HPVAL($C$1,$C$2,"TOT_LSE_IMPRMT",$D$2,"YTD","CORP")+_xll.HPVAL($C$1,$C$2,"1405",$D$2,"YTD","CORP")+_xll.HPVAL($C$1,$C$2,"1406",$D$2,"YTD","CORP"))/1000,0)</f>
        <v>0</v>
      </c>
      <c r="D15" s="6">
        <f t="shared" si="1"/>
        <v>0</v>
      </c>
      <c r="E15" s="20"/>
      <c r="AD15" s="6"/>
      <c r="AE15" s="44">
        <f>ROUND((_xll.HPVAL($C$1,$C$2,"TOT_LSE_IMPRMT",$D$2,"YTD","CORP")+_xll.HPVAL($C$1,$C$2,"1405",$D$2,"YTD","CORP")+_xll.HPVAL($C$1,$C$2,"1406",$D$2,"YTD","CORP"))/1000,0)</f>
        <v>0</v>
      </c>
    </row>
    <row r="16" spans="1:61" ht="9.9" customHeight="1" outlineLevel="4" x14ac:dyDescent="0.2">
      <c r="A16" s="47" t="s">
        <v>78</v>
      </c>
      <c r="B16" s="20"/>
      <c r="C16" s="24">
        <f>ROUND((_xll.HPVAL($C$1,$C$2,"TOT_INC_TX_DEF",$D$2,"YTD","CORP"))/1000,0)</f>
        <v>-691</v>
      </c>
      <c r="D16" s="6">
        <f t="shared" si="1"/>
        <v>0</v>
      </c>
      <c r="E16" s="20"/>
      <c r="AT16" s="31">
        <f>ROUND((_xll.HPVAL($C$1,$C$2,"TOT_INC_TX_DEF",$D$2,"YTD","CORP"))/1000,0)</f>
        <v>-691</v>
      </c>
      <c r="AU16" s="24"/>
    </row>
    <row r="17" spans="1:61" ht="9.9" customHeight="1" outlineLevel="4" x14ac:dyDescent="0.2">
      <c r="A17" s="48" t="s">
        <v>141</v>
      </c>
      <c r="B17" s="20"/>
      <c r="C17" s="24">
        <f>ROUND((_xll.HPVAL($C$1,$C$2,"1765",$D$2,"YTD","CORP"))/1000,0)</f>
        <v>0</v>
      </c>
      <c r="D17" s="6">
        <f t="shared" si="1"/>
        <v>0</v>
      </c>
      <c r="E17" s="20"/>
      <c r="AT17" s="31"/>
      <c r="AU17" s="24"/>
      <c r="AX17" s="1">
        <f>ROUND((_xll.HPVAL($C$1,$C$2,"1765",$D$2,"YTD","CORP"))/1000,0)</f>
        <v>0</v>
      </c>
    </row>
    <row r="18" spans="1:61" ht="9.9" customHeight="1" outlineLevel="4" x14ac:dyDescent="0.2">
      <c r="A18" s="11" t="s">
        <v>118</v>
      </c>
      <c r="B18" s="20"/>
      <c r="C18" s="79">
        <v>0</v>
      </c>
      <c r="D18" s="6">
        <f t="shared" si="1"/>
        <v>0</v>
      </c>
      <c r="E18" s="20"/>
      <c r="AJ18" s="6"/>
      <c r="AK18" s="6"/>
      <c r="AL18" s="6"/>
    </row>
    <row r="19" spans="1:61" ht="9.9" customHeight="1" outlineLevel="4" x14ac:dyDescent="0.2">
      <c r="A19" s="11" t="s">
        <v>142</v>
      </c>
      <c r="B19" s="20"/>
      <c r="C19" s="6">
        <f>ROUND((_xll.HPVAL($C$1,$C$2,"1760",$D$2,"YTD","CORP"))/1000,0)</f>
        <v>0</v>
      </c>
      <c r="D19" s="6">
        <f t="shared" si="1"/>
        <v>0</v>
      </c>
      <c r="E19" s="20"/>
      <c r="AJ19" s="6"/>
      <c r="AK19" s="6"/>
      <c r="AL19" s="6"/>
      <c r="BC19" s="1">
        <f>ROUND((_xll.HPVAL($C$1,$C$2,"1760",$D$2,"YTD","CORP"))/1000,0)</f>
        <v>0</v>
      </c>
    </row>
    <row r="20" spans="1:61" ht="9.9" customHeight="1" outlineLevel="4" x14ac:dyDescent="0.2">
      <c r="A20" s="48" t="s">
        <v>139</v>
      </c>
      <c r="B20" s="20"/>
      <c r="C20" s="79">
        <v>0</v>
      </c>
      <c r="D20" s="6">
        <f t="shared" si="1"/>
        <v>0</v>
      </c>
      <c r="E20" s="20"/>
      <c r="H20" s="6"/>
      <c r="I20" s="6"/>
      <c r="J20" s="6"/>
      <c r="K20" s="6"/>
      <c r="Q20" s="28">
        <f>-Q$8-SUM(Q$13:Q18,Q26:Q$64)</f>
        <v>0</v>
      </c>
      <c r="R20" s="5"/>
      <c r="Z20" s="49">
        <f>-Z$8-SUM(Z$13:Z18,Z26:Z$64)</f>
        <v>0</v>
      </c>
      <c r="AA20" s="49"/>
      <c r="AB20" s="49"/>
      <c r="AC20" s="49"/>
      <c r="AD20" s="6"/>
      <c r="AP20" s="49">
        <f>-AP$8-SUM(AP$13:AP18,AP26:AP$64)</f>
        <v>0</v>
      </c>
      <c r="AQ20" s="5"/>
      <c r="AU20" s="49">
        <f>-AU$8-SUM(AU$13:AU18,AU26:AU$64)</f>
        <v>0</v>
      </c>
      <c r="AV20" s="6"/>
    </row>
    <row r="21" spans="1:61" ht="9" customHeight="1" outlineLevel="4" x14ac:dyDescent="0.2">
      <c r="A21" s="11" t="s">
        <v>140</v>
      </c>
      <c r="B21" s="20"/>
      <c r="C21" s="79">
        <v>0</v>
      </c>
      <c r="D21" s="6">
        <f t="shared" si="1"/>
        <v>0</v>
      </c>
      <c r="E21" s="20"/>
      <c r="AV21" s="6"/>
    </row>
    <row r="22" spans="1:61" ht="9.9" customHeight="1" outlineLevel="4" x14ac:dyDescent="0.2">
      <c r="A22" s="11" t="s">
        <v>143</v>
      </c>
      <c r="B22" s="20"/>
      <c r="C22" s="6">
        <f>-ROUND((_xll.HPVAL($C$1,$C$2,"TOT_EQEARN_OTH",$D$2,"YTD","CORP"))/1000,0)</f>
        <v>-43</v>
      </c>
      <c r="D22" s="6">
        <f>SUM(F22:BH22)-C22</f>
        <v>0</v>
      </c>
      <c r="E22" s="20"/>
      <c r="S22" s="1">
        <f>-ROUND((_xll.HPVAL($C$1,$C$2,"TOT_EQEARN_OTH",$D$2,"YTD","CORP"))/1000,0)</f>
        <v>-43</v>
      </c>
      <c r="AJ22" s="6"/>
      <c r="AK22" s="6"/>
      <c r="AL22" s="6"/>
    </row>
    <row r="23" spans="1:61" ht="9.9" customHeight="1" outlineLevel="4" x14ac:dyDescent="0.2">
      <c r="A23" s="11" t="s">
        <v>144</v>
      </c>
      <c r="B23" s="20"/>
      <c r="C23" s="79">
        <f>109+178+1+178</f>
        <v>466</v>
      </c>
      <c r="D23" s="6">
        <f>SUM(F23:BH23)-C23</f>
        <v>0</v>
      </c>
      <c r="E23" s="20"/>
      <c r="S23" s="1">
        <f>109+178+1+178</f>
        <v>466</v>
      </c>
      <c r="AJ23" s="6"/>
      <c r="AK23" s="6"/>
      <c r="AL23" s="6"/>
    </row>
    <row r="24" spans="1:61" ht="9.9" customHeight="1" outlineLevel="4" x14ac:dyDescent="0.2">
      <c r="A24" s="11" t="s">
        <v>137</v>
      </c>
      <c r="B24" s="20"/>
      <c r="C24" s="43">
        <v>-255</v>
      </c>
      <c r="D24" s="8">
        <f>SUM(F24:BH24)-C24</f>
        <v>0</v>
      </c>
      <c r="E24" s="20"/>
      <c r="F24" s="8"/>
      <c r="G24" s="8"/>
      <c r="H24" s="30">
        <v>178</v>
      </c>
      <c r="I24" s="30"/>
      <c r="J24" s="30">
        <v>-178</v>
      </c>
      <c r="K24" s="30"/>
      <c r="L24" s="9"/>
      <c r="M24" s="9"/>
      <c r="N24" s="9"/>
      <c r="O24" s="9"/>
      <c r="P24" s="9"/>
      <c r="Q24" s="9"/>
      <c r="R24" s="43"/>
      <c r="S24" s="43">
        <f>-S$8-SUM(S$13:S23,S26:S$64)</f>
        <v>0</v>
      </c>
      <c r="T24" s="43">
        <f>-T$8-SUM(T$13:T23,T26:T$64)</f>
        <v>0</v>
      </c>
      <c r="U24" s="43">
        <f>-U$8-SUM(U$13:U23,U26:U$64)</f>
        <v>0</v>
      </c>
      <c r="V24" s="43">
        <f>-V$8-SUM(V$13:V23,V26:V$64)</f>
        <v>0</v>
      </c>
      <c r="W24" s="43"/>
      <c r="X24" s="43">
        <f>-X$8-SUM(X$13:X23,X26:X$64)</f>
        <v>0</v>
      </c>
      <c r="Y24" s="43">
        <f>-Y$8-SUM(Y$13:Y23,Y26:Y$64)</f>
        <v>0</v>
      </c>
      <c r="Z24" s="43"/>
      <c r="AA24" s="43">
        <f>-AA$8-SUM(AA$13:AA23,AA26:AA$64)</f>
        <v>0</v>
      </c>
      <c r="AB24" s="43">
        <f>-AB$8-SUM(AB$13:AB23,AB26:AB$64)</f>
        <v>0</v>
      </c>
      <c r="AC24" s="43">
        <f>-AC$8-SUM(AC$13:AC23,AC26:AC$64)</f>
        <v>0</v>
      </c>
      <c r="AD24" s="43">
        <f>-AD$8-SUM(AD$13:AD23,AD26:AD$64)</f>
        <v>0</v>
      </c>
      <c r="AE24" s="43">
        <f>-AE$8-SUM(AE$13:AE23,AE26:AE$64)</f>
        <v>0</v>
      </c>
      <c r="AF24" s="43">
        <f>-AF$8-SUM(AF$13:AF23,AF26:AF$64)</f>
        <v>0</v>
      </c>
      <c r="AG24" s="43">
        <f>-AG$8-SUM(AG$13:AG23,AG26:AG$64)</f>
        <v>0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30"/>
      <c r="AS24" s="30"/>
      <c r="AT24" s="43">
        <f>-AT$8-SUM(AT$13:AT23,AT38:AT$64)</f>
        <v>1</v>
      </c>
      <c r="AU24" s="43"/>
      <c r="AV24" s="43">
        <f>-AV$8-SUM(AV$13:AV23,AV38:AV$64)</f>
        <v>0</v>
      </c>
      <c r="AW24" s="43">
        <f>-AW$8-SUM(AW$13:AW23,AW38:AW$64)</f>
        <v>0</v>
      </c>
      <c r="AX24" s="43">
        <f>-AX$8-SUM(AX$13:AX23,AX38:AX$64)</f>
        <v>0</v>
      </c>
      <c r="AY24" s="43">
        <f>-AY$8-SUM(AY$13:AY23,AY38:AY$64)</f>
        <v>0</v>
      </c>
      <c r="AZ24" s="43">
        <f>-AZ$8-SUM(AZ$13:AZ23,AZ38:AZ$64)</f>
        <v>0</v>
      </c>
      <c r="BA24" s="43"/>
      <c r="BB24" s="43">
        <f>-BB$8-SUM(BB$13:BB23,BB38:BB$64)</f>
        <v>0</v>
      </c>
      <c r="BC24" s="43">
        <f>-BC$8-SUM(BC$13:BC23,BC38:BC$64)</f>
        <v>-256</v>
      </c>
      <c r="BD24" s="43">
        <f>-BD$8-SUM(BD$13:BD23,BD38:BD$64)</f>
        <v>0</v>
      </c>
      <c r="BE24" s="43">
        <f>-BE$8-SUM(BE$13:BE23,BE38:BE$64)</f>
        <v>0</v>
      </c>
      <c r="BF24" s="43">
        <v>0</v>
      </c>
      <c r="BG24" s="43">
        <f>-BG$8-SUM(BG$13:BG23,BG38:BG$64)</f>
        <v>0</v>
      </c>
      <c r="BH24" s="43">
        <f>-BH$8-SUM(BH$13:BH23,BH38:BH$64)</f>
        <v>0</v>
      </c>
      <c r="BI24" s="23"/>
    </row>
    <row r="25" spans="1:61" ht="9.9" customHeight="1" outlineLevel="4" x14ac:dyDescent="0.2">
      <c r="A25" s="13" t="s">
        <v>136</v>
      </c>
      <c r="B25" s="20"/>
      <c r="C25" s="68">
        <f>SUM(C13:C24)</f>
        <v>-808</v>
      </c>
      <c r="D25" s="54"/>
      <c r="E25" s="20"/>
      <c r="F25" s="54"/>
      <c r="G25" s="54"/>
      <c r="H25" s="45"/>
      <c r="I25" s="45"/>
      <c r="J25" s="45"/>
      <c r="K25" s="45"/>
      <c r="L25" s="44"/>
      <c r="M25" s="44"/>
      <c r="N25" s="44"/>
      <c r="O25" s="44"/>
      <c r="P25" s="44"/>
      <c r="Q25" s="4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5"/>
      <c r="AS25" s="45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34"/>
    </row>
    <row r="26" spans="1:61" outlineLevel="4" x14ac:dyDescent="0.2">
      <c r="A26" s="47" t="s">
        <v>79</v>
      </c>
      <c r="B26" s="20"/>
      <c r="E26" s="20"/>
    </row>
    <row r="27" spans="1:61" ht="9.6" customHeight="1" outlineLevel="4" x14ac:dyDescent="0.2">
      <c r="A27" s="48" t="s">
        <v>80</v>
      </c>
      <c r="B27" s="20"/>
      <c r="C27" s="79">
        <v>2397</v>
      </c>
      <c r="D27" s="6">
        <f t="shared" ref="D27:D36" si="2">SUM(F27:BH27)-C27</f>
        <v>0</v>
      </c>
      <c r="E27" s="20"/>
      <c r="H27" s="1">
        <f>-H$8-SUM(H$11:H26,H28:H$64)</f>
        <v>2397</v>
      </c>
      <c r="I27" s="28"/>
      <c r="J27" s="28"/>
      <c r="K27" s="28"/>
    </row>
    <row r="28" spans="1:61" ht="9.6" customHeight="1" outlineLevel="4" x14ac:dyDescent="0.2">
      <c r="A28" s="48" t="s">
        <v>97</v>
      </c>
      <c r="B28" s="20"/>
      <c r="C28" s="79">
        <v>0</v>
      </c>
      <c r="D28" s="6">
        <f t="shared" si="2"/>
        <v>0</v>
      </c>
      <c r="E28" s="20"/>
      <c r="H28" s="28"/>
      <c r="I28" s="28"/>
      <c r="J28" s="28">
        <f>-J$8-SUM(J$11:J27,J29:J$64)</f>
        <v>0</v>
      </c>
      <c r="K28" s="28">
        <f>-K$8-SUM(K$11:K27,K29:K$64)</f>
        <v>0</v>
      </c>
      <c r="AI28" s="1">
        <f>-AI$8-SUM(AI$13:AI27,AI29:AI$64)</f>
        <v>0</v>
      </c>
      <c r="AK28" s="28">
        <f>-AK$8-SUM(AK$11:AK27,AK29:AK$64)</f>
        <v>0</v>
      </c>
    </row>
    <row r="29" spans="1:61" ht="9.6" customHeight="1" outlineLevel="4" x14ac:dyDescent="0.2">
      <c r="A29" s="48" t="s">
        <v>102</v>
      </c>
      <c r="B29" s="20"/>
      <c r="C29" s="79">
        <v>0</v>
      </c>
      <c r="D29" s="6">
        <f t="shared" si="2"/>
        <v>0</v>
      </c>
      <c r="E29" s="20"/>
      <c r="I29" s="1">
        <f>-I$8-SUM(I$11:I28,I30:I$64)</f>
        <v>0</v>
      </c>
      <c r="P29" s="28"/>
      <c r="Q29" s="6"/>
      <c r="AL29" s="1">
        <f>-AL$8-SUM(AL$11:AL28,AL30:AL$64)</f>
        <v>0</v>
      </c>
    </row>
    <row r="30" spans="1:61" ht="9.6" customHeight="1" outlineLevel="4" x14ac:dyDescent="0.2">
      <c r="A30" s="48" t="s">
        <v>81</v>
      </c>
      <c r="B30" s="20"/>
      <c r="C30" s="79">
        <v>0</v>
      </c>
      <c r="D30" s="6">
        <f t="shared" si="2"/>
        <v>0</v>
      </c>
      <c r="E30" s="20"/>
      <c r="M30" s="24"/>
      <c r="N30" s="28">
        <f>-N$8-SUM(N$11:N29,N31:N$64)</f>
        <v>0</v>
      </c>
      <c r="O30"/>
      <c r="AE30" s="28"/>
    </row>
    <row r="31" spans="1:61" ht="9.6" customHeight="1" outlineLevel="4" x14ac:dyDescent="0.2">
      <c r="A31" s="48" t="s">
        <v>82</v>
      </c>
      <c r="B31" s="20"/>
      <c r="C31" s="79">
        <v>0</v>
      </c>
      <c r="D31" s="6">
        <f t="shared" si="2"/>
        <v>0</v>
      </c>
      <c r="E31" s="20"/>
      <c r="P31" s="28">
        <f>-P$8-SUM(P$11:P30,P32:P$64)</f>
        <v>0</v>
      </c>
      <c r="Q31" s="6"/>
    </row>
    <row r="32" spans="1:61" ht="9.6" customHeight="1" outlineLevel="4" x14ac:dyDescent="0.2">
      <c r="A32" s="48" t="s">
        <v>83</v>
      </c>
      <c r="B32" s="20"/>
      <c r="C32" s="79">
        <v>21</v>
      </c>
      <c r="D32" s="6">
        <f t="shared" si="2"/>
        <v>0</v>
      </c>
      <c r="E32" s="20"/>
      <c r="AJ32" s="85">
        <f>-AJ$8-SUM(AJ$11:AJ31,AJ33:AJ$64)</f>
        <v>21</v>
      </c>
      <c r="AK32" s="29"/>
      <c r="AL32" s="29"/>
    </row>
    <row r="33" spans="1:62" ht="9.6" customHeight="1" outlineLevel="4" x14ac:dyDescent="0.2">
      <c r="A33" s="47" t="s">
        <v>84</v>
      </c>
      <c r="B33" s="20"/>
      <c r="C33" s="79">
        <v>0</v>
      </c>
      <c r="D33" s="6">
        <f t="shared" si="2"/>
        <v>0</v>
      </c>
      <c r="E33" s="20"/>
      <c r="M33" s="28">
        <f>-M$8-SUM(M$11:M32,M34:M$64)</f>
        <v>0</v>
      </c>
      <c r="AJ33" s="29"/>
      <c r="AK33" s="29"/>
      <c r="AL33" s="29"/>
      <c r="AM33" s="28">
        <f>-AM$8-SUM(AM$11:AM32,AM34:AM$64)</f>
        <v>0</v>
      </c>
    </row>
    <row r="34" spans="1:62" ht="9.6" customHeight="1" outlineLevel="4" x14ac:dyDescent="0.2">
      <c r="A34" s="48" t="s">
        <v>85</v>
      </c>
      <c r="B34" s="20"/>
      <c r="C34" s="79">
        <v>12</v>
      </c>
      <c r="D34" s="6">
        <f t="shared" si="2"/>
        <v>0</v>
      </c>
      <c r="E34" s="20"/>
      <c r="AM34" s="26"/>
      <c r="AN34" s="36">
        <f>-AN$8-SUM(AN$11:AN33,AN35:AN$64)</f>
        <v>12</v>
      </c>
    </row>
    <row r="35" spans="1:62" ht="9.6" customHeight="1" outlineLevel="4" x14ac:dyDescent="0.2">
      <c r="A35" s="48" t="s">
        <v>86</v>
      </c>
      <c r="B35" s="20"/>
      <c r="C35" s="79">
        <v>0</v>
      </c>
      <c r="D35" s="6">
        <f t="shared" si="2"/>
        <v>0</v>
      </c>
      <c r="E35" s="20"/>
      <c r="AO35" s="28">
        <f>-AO$8-SUM(AO$11:AO34,AO36:AO$64)</f>
        <v>0</v>
      </c>
      <c r="AP35" s="24"/>
    </row>
    <row r="36" spans="1:62" ht="9.6" customHeight="1" outlineLevel="4" x14ac:dyDescent="0.2">
      <c r="A36" s="48" t="s">
        <v>135</v>
      </c>
      <c r="B36" s="20"/>
      <c r="C36" s="79">
        <v>0</v>
      </c>
      <c r="D36" s="6">
        <f t="shared" si="2"/>
        <v>0</v>
      </c>
      <c r="E36" s="20"/>
      <c r="L36" s="1">
        <f>-L$8-SUM(L$11:L35,L37:L$64)</f>
        <v>0</v>
      </c>
      <c r="O36" s="1">
        <f>-O$8-SUM(O$11:O35,O37:O$64)</f>
        <v>0</v>
      </c>
      <c r="P36" s="28"/>
      <c r="Q36" s="6"/>
      <c r="R36" s="1">
        <f>-R$8-SUM(R$11:R35,R37:R$64)</f>
        <v>0</v>
      </c>
      <c r="AQ36" s="1">
        <f>-AQ$8-SUM(AQ$11:AQ35,AQ37:AQ$64)</f>
        <v>0</v>
      </c>
    </row>
    <row r="37" spans="1:62" ht="9.9" customHeight="1" outlineLevel="4" x14ac:dyDescent="0.2">
      <c r="A37" s="11" t="s">
        <v>138</v>
      </c>
      <c r="B37" s="20"/>
      <c r="C37" s="68">
        <f>SUM(C26:C36)</f>
        <v>2430</v>
      </c>
      <c r="D37" s="8"/>
      <c r="E37" s="20"/>
      <c r="F37" s="8"/>
      <c r="G37" s="8"/>
      <c r="H37" s="30"/>
      <c r="I37" s="30"/>
      <c r="J37" s="30"/>
      <c r="K37" s="30"/>
      <c r="L37" s="9"/>
      <c r="M37" s="9"/>
      <c r="N37" s="9"/>
      <c r="O37" s="9"/>
      <c r="P37" s="9"/>
      <c r="Q37" s="9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0"/>
      <c r="AS37" s="30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3"/>
    </row>
    <row r="38" spans="1:62" ht="12.9" customHeight="1" outlineLevel="3" x14ac:dyDescent="0.2">
      <c r="A38" s="7" t="s">
        <v>87</v>
      </c>
      <c r="B38" s="20"/>
      <c r="C38" s="23">
        <f>C25+C37</f>
        <v>1622</v>
      </c>
      <c r="E38" s="20"/>
      <c r="BJ38" s="24"/>
    </row>
    <row r="39" spans="1:62" ht="7.5" customHeight="1" outlineLevel="3" x14ac:dyDescent="0.2">
      <c r="B39" s="20"/>
      <c r="C39" s="4"/>
      <c r="D39" s="4"/>
      <c r="E39" s="20"/>
    </row>
    <row r="40" spans="1:62" ht="9" customHeight="1" outlineLevel="3" x14ac:dyDescent="0.2">
      <c r="A40" s="25" t="s">
        <v>88</v>
      </c>
      <c r="B40" s="20"/>
      <c r="E40" s="20"/>
    </row>
    <row r="41" spans="1:62" ht="9.6" customHeight="1" outlineLevel="4" x14ac:dyDescent="0.2">
      <c r="A41" s="13" t="s">
        <v>126</v>
      </c>
      <c r="B41" s="20"/>
      <c r="C41" s="79">
        <v>0</v>
      </c>
      <c r="D41" s="6">
        <f t="shared" ref="D41:D48" si="3">SUM(F41:BH41)-C41</f>
        <v>0</v>
      </c>
      <c r="E41" s="20"/>
      <c r="F41" s="5"/>
      <c r="G41" s="5"/>
      <c r="H41" s="5"/>
      <c r="I41" s="5"/>
      <c r="J41" s="5"/>
      <c r="K41" s="5"/>
      <c r="L41" s="5"/>
      <c r="R41" s="6"/>
      <c r="V41" s="6"/>
      <c r="AE41" s="6"/>
      <c r="AQ41" s="31"/>
      <c r="AX41" s="31"/>
      <c r="BI41"/>
    </row>
    <row r="42" spans="1:62" ht="9.6" customHeight="1" outlineLevel="4" x14ac:dyDescent="0.2">
      <c r="A42" s="13" t="s">
        <v>89</v>
      </c>
      <c r="B42" s="20"/>
      <c r="C42" s="79">
        <v>0</v>
      </c>
      <c r="D42" s="6">
        <f t="shared" si="3"/>
        <v>0</v>
      </c>
      <c r="E42" s="20"/>
      <c r="AE42" s="24"/>
    </row>
    <row r="43" spans="1:62" ht="9.6" customHeight="1" outlineLevel="4" x14ac:dyDescent="0.2">
      <c r="A43" s="48" t="s">
        <v>119</v>
      </c>
      <c r="B43" s="20"/>
      <c r="C43" s="79">
        <v>0</v>
      </c>
      <c r="D43" s="6">
        <f t="shared" si="3"/>
        <v>0</v>
      </c>
      <c r="E43" s="20"/>
      <c r="P43" s="28"/>
      <c r="Q43" s="6"/>
    </row>
    <row r="44" spans="1:62" ht="9.6" customHeight="1" outlineLevel="4" x14ac:dyDescent="0.2">
      <c r="A44" s="11" t="s">
        <v>145</v>
      </c>
      <c r="B44" s="20"/>
      <c r="C44" s="79">
        <v>0</v>
      </c>
      <c r="D44" s="6">
        <f t="shared" si="3"/>
        <v>0</v>
      </c>
      <c r="E44" s="20"/>
      <c r="AD44" s="6"/>
      <c r="AE44" s="6"/>
      <c r="AV44" s="6"/>
    </row>
    <row r="45" spans="1:62" ht="9.6" customHeight="1" outlineLevel="4" x14ac:dyDescent="0.2">
      <c r="A45" s="13" t="s">
        <v>4</v>
      </c>
      <c r="B45" s="20"/>
      <c r="C45" s="79">
        <v>0</v>
      </c>
      <c r="D45" s="6">
        <f>SUM(F45:BH45)-C45</f>
        <v>0</v>
      </c>
      <c r="E45" s="20"/>
      <c r="AD45" s="6"/>
      <c r="AE45" s="6"/>
      <c r="AV45" s="6"/>
    </row>
    <row r="46" spans="1:62" ht="9.6" customHeight="1" outlineLevel="4" x14ac:dyDescent="0.2">
      <c r="A46" s="13" t="s">
        <v>170</v>
      </c>
      <c r="B46" s="20"/>
      <c r="C46" s="79">
        <v>0</v>
      </c>
      <c r="D46" s="6">
        <f t="shared" si="3"/>
        <v>0</v>
      </c>
      <c r="E46" s="20"/>
      <c r="AD46" s="6"/>
      <c r="AE46" s="6"/>
      <c r="AV46" s="6"/>
    </row>
    <row r="47" spans="1:62" ht="9.6" customHeight="1" outlineLevel="4" x14ac:dyDescent="0.2">
      <c r="A47" s="11" t="s">
        <v>147</v>
      </c>
      <c r="B47" s="20"/>
      <c r="C47" s="79"/>
      <c r="D47" s="6">
        <f t="shared" si="3"/>
        <v>0</v>
      </c>
      <c r="E47" s="20"/>
      <c r="S47" s="84"/>
      <c r="T47" s="82"/>
      <c r="AD47" s="6"/>
      <c r="AE47" s="6"/>
      <c r="AV47" s="6"/>
    </row>
    <row r="48" spans="1:62" ht="9.6" customHeight="1" outlineLevel="4" x14ac:dyDescent="0.2">
      <c r="A48" s="11" t="s">
        <v>146</v>
      </c>
      <c r="B48" s="20"/>
      <c r="C48" s="80">
        <v>0</v>
      </c>
      <c r="D48" s="8">
        <f t="shared" si="3"/>
        <v>0</v>
      </c>
      <c r="E48" s="20"/>
      <c r="F48" s="9"/>
      <c r="G48" s="9"/>
      <c r="H48" s="10"/>
      <c r="I48" s="10"/>
      <c r="J48" s="10"/>
      <c r="K48" s="10"/>
      <c r="L48" s="9"/>
      <c r="M48" s="9"/>
      <c r="N48" s="9"/>
      <c r="O48" s="9"/>
      <c r="P48" s="9"/>
      <c r="Q48" s="9"/>
      <c r="R48" s="30">
        <v>0</v>
      </c>
      <c r="S48" s="30">
        <v>0</v>
      </c>
      <c r="T48" s="8"/>
      <c r="U48" s="8"/>
      <c r="V48" s="30"/>
      <c r="W48" s="9"/>
      <c r="X48" s="9"/>
      <c r="Y48" s="9"/>
      <c r="Z48" s="9"/>
      <c r="AA48" s="9"/>
      <c r="AB48" s="9"/>
      <c r="AC48" s="9"/>
      <c r="AD48" s="10"/>
      <c r="AE48" s="9">
        <f>-ROUND((_xll.HPVAL($C$1,$C$2,"1405",$D$2,"YTD","CORP")+_xll.HPVAL($C$1,$C$2,"1406",$D$2,"YTD","CORP"))/1000,0)</f>
        <v>0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2" ht="12.9" customHeight="1" outlineLevel="3" x14ac:dyDescent="0.2">
      <c r="A49" s="7" t="s">
        <v>90</v>
      </c>
      <c r="B49" s="20"/>
      <c r="C49" s="23">
        <f>SUM(C41:C48)</f>
        <v>0</v>
      </c>
      <c r="D49" s="34"/>
      <c r="E49" s="20"/>
      <c r="BJ49" s="24"/>
    </row>
    <row r="50" spans="1:62" ht="9" customHeight="1" outlineLevel="3" x14ac:dyDescent="0.2">
      <c r="B50" s="20"/>
      <c r="C50" s="4"/>
      <c r="D50" s="4"/>
      <c r="E50" s="20"/>
    </row>
    <row r="51" spans="1:62" ht="9" customHeight="1" outlineLevel="3" x14ac:dyDescent="0.2">
      <c r="A51" s="69" t="s">
        <v>148</v>
      </c>
      <c r="B51" s="20"/>
      <c r="E51" s="20"/>
    </row>
    <row r="52" spans="1:62" ht="9.6" customHeight="1" outlineLevel="4" x14ac:dyDescent="0.2">
      <c r="A52" s="11" t="s">
        <v>149</v>
      </c>
      <c r="B52" s="20"/>
      <c r="C52" s="79">
        <v>0</v>
      </c>
      <c r="D52" s="6">
        <f t="shared" ref="D52:D64" si="4">SUM(F52:BH52)-C52</f>
        <v>0</v>
      </c>
      <c r="E52" s="20"/>
      <c r="AH52" s="26">
        <f>-AH$8-SUM(AH$13:AH51,AH53:AH$64)</f>
        <v>0</v>
      </c>
      <c r="AI52" s="26"/>
    </row>
    <row r="53" spans="1:62" ht="9.6" customHeight="1" outlineLevel="4" x14ac:dyDescent="0.2">
      <c r="A53" s="11" t="s">
        <v>150</v>
      </c>
      <c r="B53" s="20"/>
      <c r="C53" s="79">
        <v>0</v>
      </c>
      <c r="D53" s="6">
        <f t="shared" si="4"/>
        <v>0</v>
      </c>
      <c r="E53" s="20"/>
      <c r="H53" s="24"/>
      <c r="I53" s="24"/>
      <c r="J53" s="24"/>
      <c r="K53" s="24"/>
      <c r="L53" s="24"/>
      <c r="AQ53" s="26"/>
      <c r="AR53" s="1">
        <f>-AR$8-SUM(AR$13:AR52,AR54:AR$64)</f>
        <v>0</v>
      </c>
      <c r="BI53" s="5"/>
    </row>
    <row r="54" spans="1:62" ht="9.6" customHeight="1" outlineLevel="4" x14ac:dyDescent="0.2">
      <c r="A54" s="11" t="s">
        <v>151</v>
      </c>
      <c r="B54" s="20"/>
      <c r="C54" s="79">
        <v>0</v>
      </c>
      <c r="D54" s="6">
        <f t="shared" si="4"/>
        <v>0</v>
      </c>
      <c r="E54" s="20"/>
      <c r="AH54" s="26"/>
      <c r="AI54" s="26"/>
      <c r="AR54" s="24"/>
      <c r="AS54" s="24"/>
    </row>
    <row r="55" spans="1:62" ht="9.6" customHeight="1" outlineLevel="4" x14ac:dyDescent="0.2">
      <c r="A55" s="11" t="s">
        <v>152</v>
      </c>
      <c r="B55" s="20"/>
      <c r="C55" s="79">
        <v>0</v>
      </c>
      <c r="D55" s="6">
        <f>SUM(F55:BH55)-C55</f>
        <v>0</v>
      </c>
      <c r="E55" s="20"/>
      <c r="H55" s="24"/>
      <c r="I55" s="24"/>
      <c r="J55" s="24"/>
      <c r="K55" s="24"/>
      <c r="L55" s="24"/>
      <c r="AQ55" s="26"/>
      <c r="BI55" s="5"/>
    </row>
    <row r="56" spans="1:62" ht="9.6" customHeight="1" outlineLevel="4" x14ac:dyDescent="0.2">
      <c r="A56" s="11" t="s">
        <v>159</v>
      </c>
      <c r="B56" s="20"/>
      <c r="C56" s="79">
        <v>0</v>
      </c>
      <c r="D56" s="6">
        <f t="shared" si="4"/>
        <v>0</v>
      </c>
      <c r="E56" s="20"/>
      <c r="AZ56" s="6"/>
      <c r="BA56"/>
      <c r="BB56"/>
    </row>
    <row r="57" spans="1:62" ht="9.6" customHeight="1" outlineLevel="4" x14ac:dyDescent="0.2">
      <c r="A57" s="48" t="s">
        <v>91</v>
      </c>
      <c r="B57" s="20"/>
      <c r="C57" s="79">
        <v>0</v>
      </c>
      <c r="D57" s="6">
        <f>SUM(F57:BH57)-C57</f>
        <v>0</v>
      </c>
      <c r="E57" s="20"/>
      <c r="P57" s="28"/>
      <c r="Q57" s="6"/>
    </row>
    <row r="58" spans="1:62" ht="9.6" customHeight="1" outlineLevel="4" x14ac:dyDescent="0.2">
      <c r="A58" s="11" t="s">
        <v>158</v>
      </c>
      <c r="B58" s="20"/>
      <c r="C58" s="79">
        <v>0</v>
      </c>
      <c r="D58" s="6">
        <f>SUM(F58:BH58)-C58</f>
        <v>0</v>
      </c>
      <c r="E58" s="20"/>
      <c r="H58" s="24"/>
      <c r="I58" s="24"/>
      <c r="J58" s="24"/>
      <c r="K58" s="24"/>
      <c r="L58" s="24"/>
      <c r="AQ58"/>
      <c r="BC58" s="26"/>
    </row>
    <row r="59" spans="1:62" ht="9.6" customHeight="1" outlineLevel="4" x14ac:dyDescent="0.2">
      <c r="A59" s="11" t="s">
        <v>157</v>
      </c>
      <c r="B59" s="20"/>
      <c r="C59" s="79">
        <v>0</v>
      </c>
      <c r="D59" s="6">
        <f>SUM(F59:BH59)-C59</f>
        <v>0</v>
      </c>
      <c r="E59" s="20"/>
      <c r="BG59" s="6"/>
    </row>
    <row r="60" spans="1:62" ht="9.6" customHeight="1" outlineLevel="4" x14ac:dyDescent="0.2">
      <c r="A60" s="11" t="s">
        <v>156</v>
      </c>
      <c r="B60" s="20"/>
      <c r="C60" s="79">
        <v>0</v>
      </c>
      <c r="D60" s="6">
        <f t="shared" si="4"/>
        <v>0</v>
      </c>
      <c r="E60" s="20"/>
      <c r="AZ60" s="6"/>
      <c r="BA60"/>
      <c r="BB60" s="27"/>
    </row>
    <row r="61" spans="1:62" ht="9.6" customHeight="1" outlineLevel="4" x14ac:dyDescent="0.2">
      <c r="A61" s="11" t="s">
        <v>153</v>
      </c>
      <c r="B61" s="20"/>
      <c r="C61" s="79">
        <v>0</v>
      </c>
      <c r="D61" s="6">
        <f t="shared" si="4"/>
        <v>0</v>
      </c>
      <c r="E61" s="20"/>
      <c r="BG61" s="6"/>
    </row>
    <row r="62" spans="1:62" ht="9.6" customHeight="1" outlineLevel="4" x14ac:dyDescent="0.2">
      <c r="A62" s="11" t="s">
        <v>160</v>
      </c>
      <c r="B62" s="20"/>
      <c r="C62" s="79">
        <v>0</v>
      </c>
      <c r="D62" s="6">
        <f t="shared" si="4"/>
        <v>0</v>
      </c>
      <c r="E62" s="20"/>
      <c r="H62" s="24"/>
      <c r="I62" s="24"/>
      <c r="J62" s="24"/>
      <c r="K62" s="24"/>
      <c r="L62" s="24"/>
      <c r="AQ62" s="26"/>
    </row>
    <row r="63" spans="1:62" ht="9.6" customHeight="1" outlineLevel="4" x14ac:dyDescent="0.2">
      <c r="A63" s="11" t="s">
        <v>155</v>
      </c>
      <c r="B63" s="20"/>
      <c r="C63" s="79">
        <v>0</v>
      </c>
      <c r="D63" s="6">
        <f t="shared" si="4"/>
        <v>0</v>
      </c>
      <c r="E63" s="20"/>
      <c r="AH63" s="26"/>
      <c r="AI63" s="26"/>
      <c r="AR63" s="24"/>
      <c r="AS63" s="28">
        <f>-AS$8-SUM(AS$13:AS62,AS$64)</f>
        <v>0</v>
      </c>
      <c r="BA63" s="43">
        <f>-BA$8-SUM(BA$13:BA62,BA69:BA$69)</f>
        <v>0</v>
      </c>
    </row>
    <row r="64" spans="1:62" ht="9.6" customHeight="1" outlineLevel="4" x14ac:dyDescent="0.2">
      <c r="A64" s="11" t="s">
        <v>154</v>
      </c>
      <c r="B64" s="20"/>
      <c r="C64" s="79">
        <v>0</v>
      </c>
      <c r="D64" s="8">
        <f t="shared" si="4"/>
        <v>0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3">
        <v>0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8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2" ht="14.1" customHeight="1" outlineLevel="3" x14ac:dyDescent="0.2">
      <c r="A65" s="7" t="s">
        <v>92</v>
      </c>
      <c r="B65" s="20"/>
      <c r="C65" s="60">
        <f>SUM(C52:C64)</f>
        <v>0</v>
      </c>
      <c r="D65" s="34"/>
      <c r="E65" s="20"/>
      <c r="BJ65" s="24"/>
    </row>
    <row r="66" spans="1:62" ht="16.5" customHeight="1" outlineLevel="2" x14ac:dyDescent="0.2">
      <c r="A66" s="11" t="s">
        <v>127</v>
      </c>
      <c r="B66" s="20"/>
      <c r="C66" s="34">
        <f>C38+C49+C65</f>
        <v>1622</v>
      </c>
      <c r="D66" s="8">
        <f>SUM(F66:BH66)-C66</f>
        <v>0</v>
      </c>
      <c r="E66" s="20"/>
      <c r="F66" s="56"/>
      <c r="G66" s="9"/>
      <c r="H66" s="9">
        <f>SUM(H13:H64)</f>
        <v>2575</v>
      </c>
      <c r="I66" s="9">
        <f t="shared" ref="I66:BH66" si="5">SUM(I13:I64)</f>
        <v>0</v>
      </c>
      <c r="J66" s="9">
        <f t="shared" si="5"/>
        <v>-178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9">
        <f t="shared" si="5"/>
        <v>423</v>
      </c>
      <c r="T66" s="9">
        <f t="shared" si="5"/>
        <v>0</v>
      </c>
      <c r="U66" s="9">
        <f t="shared" si="5"/>
        <v>0</v>
      </c>
      <c r="V66" s="9">
        <f t="shared" si="5"/>
        <v>0</v>
      </c>
      <c r="W66" s="9">
        <f t="shared" si="5"/>
        <v>0</v>
      </c>
      <c r="X66" s="9">
        <f t="shared" si="5"/>
        <v>0</v>
      </c>
      <c r="Y66" s="9">
        <f t="shared" si="5"/>
        <v>0</v>
      </c>
      <c r="Z66" s="9">
        <f t="shared" si="5"/>
        <v>0</v>
      </c>
      <c r="AA66" s="9">
        <f t="shared" si="5"/>
        <v>0</v>
      </c>
      <c r="AB66" s="9">
        <f t="shared" si="5"/>
        <v>0</v>
      </c>
      <c r="AC66" s="9">
        <f t="shared" si="5"/>
        <v>0</v>
      </c>
      <c r="AD66" s="9">
        <f t="shared" si="5"/>
        <v>0</v>
      </c>
      <c r="AE66" s="9">
        <f t="shared" si="5"/>
        <v>0</v>
      </c>
      <c r="AF66" s="9">
        <f t="shared" si="5"/>
        <v>0</v>
      </c>
      <c r="AG66" s="9">
        <f t="shared" si="5"/>
        <v>0</v>
      </c>
      <c r="AH66" s="9">
        <f t="shared" si="5"/>
        <v>0</v>
      </c>
      <c r="AI66" s="9">
        <f t="shared" si="5"/>
        <v>0</v>
      </c>
      <c r="AJ66" s="9">
        <f t="shared" si="5"/>
        <v>21</v>
      </c>
      <c r="AK66" s="9">
        <f t="shared" si="5"/>
        <v>0</v>
      </c>
      <c r="AL66" s="9">
        <f t="shared" si="5"/>
        <v>0</v>
      </c>
      <c r="AM66" s="9">
        <f t="shared" si="5"/>
        <v>0</v>
      </c>
      <c r="AN66" s="9">
        <f t="shared" si="5"/>
        <v>12</v>
      </c>
      <c r="AO66" s="9">
        <f t="shared" si="5"/>
        <v>0</v>
      </c>
      <c r="AP66" s="9">
        <f t="shared" si="5"/>
        <v>0</v>
      </c>
      <c r="AQ66" s="9">
        <f t="shared" si="5"/>
        <v>0</v>
      </c>
      <c r="AR66" s="9">
        <f t="shared" si="5"/>
        <v>0</v>
      </c>
      <c r="AS66" s="9">
        <f t="shared" si="5"/>
        <v>0</v>
      </c>
      <c r="AT66" s="9">
        <f t="shared" si="5"/>
        <v>-690</v>
      </c>
      <c r="AU66" s="9">
        <f t="shared" si="5"/>
        <v>0</v>
      </c>
      <c r="AV66" s="9">
        <f t="shared" si="5"/>
        <v>0</v>
      </c>
      <c r="AW66" s="9">
        <f t="shared" si="5"/>
        <v>0</v>
      </c>
      <c r="AX66" s="9">
        <f t="shared" si="5"/>
        <v>0</v>
      </c>
      <c r="AY66" s="9">
        <f t="shared" si="5"/>
        <v>0</v>
      </c>
      <c r="AZ66" s="9">
        <f t="shared" si="5"/>
        <v>0</v>
      </c>
      <c r="BA66" s="9">
        <f t="shared" si="5"/>
        <v>0</v>
      </c>
      <c r="BB66" s="9">
        <f t="shared" si="5"/>
        <v>0</v>
      </c>
      <c r="BC66" s="9">
        <f t="shared" si="5"/>
        <v>-541</v>
      </c>
      <c r="BD66" s="9">
        <f t="shared" si="5"/>
        <v>0</v>
      </c>
      <c r="BE66" s="9">
        <f t="shared" si="5"/>
        <v>0</v>
      </c>
      <c r="BF66" s="9">
        <f t="shared" si="5"/>
        <v>0</v>
      </c>
      <c r="BG66" s="9">
        <f t="shared" si="5"/>
        <v>0</v>
      </c>
      <c r="BH66" s="9">
        <f t="shared" si="5"/>
        <v>0</v>
      </c>
      <c r="BI66" s="9"/>
    </row>
    <row r="67" spans="1:62" ht="15.6" customHeight="1" outlineLevel="2" x14ac:dyDescent="0.2">
      <c r="A67" s="11" t="s">
        <v>129</v>
      </c>
      <c r="B67" s="20"/>
      <c r="C67" s="61">
        <f>F8</f>
        <v>3258</v>
      </c>
      <c r="D67" s="54"/>
      <c r="E67" s="2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</row>
    <row r="68" spans="1:62" ht="17.25" customHeight="1" outlineLevel="1" thickBot="1" x14ac:dyDescent="0.25">
      <c r="A68" s="11" t="s">
        <v>130</v>
      </c>
      <c r="B68" s="20"/>
      <c r="C68" s="32">
        <f>C66-C67</f>
        <v>-1636</v>
      </c>
      <c r="D68" s="32"/>
      <c r="E68" s="20"/>
      <c r="F68" s="55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4"/>
    </row>
    <row r="69" spans="1:62" ht="6.75" customHeight="1" outlineLevel="1" thickTop="1" x14ac:dyDescent="0.2"/>
    <row r="70" spans="1:62" x14ac:dyDescent="0.2">
      <c r="B70" s="7"/>
      <c r="C70" s="33"/>
      <c r="D70" s="6">
        <f>SUM(F70:BI70)</f>
        <v>0</v>
      </c>
      <c r="F70" s="6"/>
      <c r="G70" s="6"/>
      <c r="H70" s="6">
        <f t="shared" ref="H70:Z70" si="6">SUM(H13:H64)-H66</f>
        <v>0</v>
      </c>
      <c r="I70" s="6">
        <f t="shared" si="6"/>
        <v>0</v>
      </c>
      <c r="J70" s="6">
        <f t="shared" si="6"/>
        <v>0</v>
      </c>
      <c r="K70" s="6">
        <f t="shared" si="6"/>
        <v>0</v>
      </c>
      <c r="L70" s="6">
        <f t="shared" si="6"/>
        <v>0</v>
      </c>
      <c r="M70" s="6">
        <f t="shared" si="6"/>
        <v>0</v>
      </c>
      <c r="N70" s="6">
        <f t="shared" si="6"/>
        <v>0</v>
      </c>
      <c r="O70" s="6">
        <f t="shared" si="6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6"/>
        <v>0</v>
      </c>
      <c r="T70" s="6">
        <f t="shared" si="6"/>
        <v>0</v>
      </c>
      <c r="U70" s="6">
        <f t="shared" si="6"/>
        <v>0</v>
      </c>
      <c r="V70" s="6">
        <f t="shared" si="6"/>
        <v>0</v>
      </c>
      <c r="W70" s="6">
        <f t="shared" si="6"/>
        <v>0</v>
      </c>
      <c r="X70" s="6">
        <f t="shared" si="6"/>
        <v>0</v>
      </c>
      <c r="Y70" s="6">
        <f t="shared" si="6"/>
        <v>0</v>
      </c>
      <c r="Z70" s="6">
        <f t="shared" si="6"/>
        <v>0</v>
      </c>
      <c r="AA70" s="6"/>
      <c r="AB70" s="6"/>
      <c r="AC70" s="6"/>
      <c r="AD70" s="6">
        <f t="shared" ref="AD70:BH70" si="7">SUM(AD13:AD64)-AD66</f>
        <v>0</v>
      </c>
      <c r="AE70" s="6">
        <f t="shared" si="7"/>
        <v>0</v>
      </c>
      <c r="AF70" s="6">
        <f t="shared" si="7"/>
        <v>0</v>
      </c>
      <c r="AG70" s="6">
        <f t="shared" si="7"/>
        <v>0</v>
      </c>
      <c r="AH70" s="6">
        <f t="shared" si="7"/>
        <v>0</v>
      </c>
      <c r="AI70" s="6">
        <f t="shared" si="7"/>
        <v>0</v>
      </c>
      <c r="AJ70" s="6">
        <f t="shared" si="7"/>
        <v>0</v>
      </c>
      <c r="AK70" s="6">
        <f t="shared" si="7"/>
        <v>0</v>
      </c>
      <c r="AL70" s="6">
        <f t="shared" si="7"/>
        <v>0</v>
      </c>
      <c r="AM70" s="6">
        <f t="shared" si="7"/>
        <v>0</v>
      </c>
      <c r="AN70" s="6">
        <f t="shared" si="7"/>
        <v>0</v>
      </c>
      <c r="AO70" s="6">
        <f t="shared" si="7"/>
        <v>0</v>
      </c>
      <c r="AP70" s="6">
        <f t="shared" si="7"/>
        <v>0</v>
      </c>
      <c r="AQ70" s="6">
        <f t="shared" si="7"/>
        <v>0</v>
      </c>
      <c r="AR70" s="6">
        <f t="shared" si="7"/>
        <v>0</v>
      </c>
      <c r="AS70" s="6">
        <f t="shared" si="7"/>
        <v>0</v>
      </c>
      <c r="AT70" s="6">
        <f t="shared" si="7"/>
        <v>0</v>
      </c>
      <c r="AU70" s="6">
        <f t="shared" si="7"/>
        <v>0</v>
      </c>
      <c r="AV70" s="6">
        <f t="shared" si="7"/>
        <v>0</v>
      </c>
      <c r="AW70" s="6">
        <f t="shared" si="7"/>
        <v>0</v>
      </c>
      <c r="AX70" s="6">
        <f t="shared" si="7"/>
        <v>0</v>
      </c>
      <c r="AY70" s="6">
        <f t="shared" si="7"/>
        <v>0</v>
      </c>
      <c r="AZ70" s="6">
        <f t="shared" si="7"/>
        <v>0</v>
      </c>
      <c r="BA70" s="6">
        <f t="shared" si="7"/>
        <v>0</v>
      </c>
      <c r="BB70" s="6">
        <f t="shared" si="7"/>
        <v>0</v>
      </c>
      <c r="BC70" s="6">
        <f t="shared" si="7"/>
        <v>0</v>
      </c>
      <c r="BD70" s="6">
        <f t="shared" si="7"/>
        <v>0</v>
      </c>
      <c r="BE70" s="6">
        <f t="shared" si="7"/>
        <v>0</v>
      </c>
      <c r="BF70" s="6">
        <f t="shared" si="7"/>
        <v>0</v>
      </c>
      <c r="BG70" s="6">
        <f t="shared" si="7"/>
        <v>0</v>
      </c>
      <c r="BH70" s="6">
        <f t="shared" si="7"/>
        <v>0</v>
      </c>
      <c r="BI70" s="6"/>
    </row>
    <row r="71" spans="1:62" x14ac:dyDescent="0.2">
      <c r="A71" t="s">
        <v>165</v>
      </c>
      <c r="C71" s="61">
        <v>0</v>
      </c>
    </row>
    <row r="73" spans="1:62" ht="10.8" thickBot="1" x14ac:dyDescent="0.25">
      <c r="A73" t="s">
        <v>164</v>
      </c>
      <c r="C73" s="73">
        <v>0</v>
      </c>
    </row>
    <row r="74" spans="1:62" ht="2.25" customHeight="1" thickTop="1" x14ac:dyDescent="0.2"/>
  </sheetData>
  <printOptions gridLines="1"/>
  <pageMargins left="0.75" right="0.25" top="0.75" bottom="0.2" header="0.5" footer="0"/>
  <pageSetup scale="68" fitToWidth="4" orientation="landscape" useFirstPageNumber="1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EOTTC2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EOTTC2!Print_Area</vt:lpstr>
      <vt:lpstr>EOTTC2!Print_Titles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Havlíček Jan</cp:lastModifiedBy>
  <cp:lastPrinted>2000-10-17T20:33:29Z</cp:lastPrinted>
  <dcterms:created xsi:type="dcterms:W3CDTF">1998-10-22T20:33:21Z</dcterms:created>
  <dcterms:modified xsi:type="dcterms:W3CDTF">2023-09-10T15:00:00Z</dcterms:modified>
</cp:coreProperties>
</file>