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4320" windowWidth="12120" windowHeight="4380" firstSheet="18" activeTab="18"/>
  </bookViews>
  <sheets>
    <sheet name="info for DPR" sheetId="53057" r:id="rId1"/>
    <sheet name="Report" sheetId="53070" r:id="rId2"/>
    <sheet name="AndyJeff" sheetId="2" r:id="rId3"/>
    <sheet name="Input" sheetId="53059" r:id="rId4"/>
    <sheet name="JEDI MTM" sheetId="3" r:id="rId5"/>
    <sheet name="MLCO 6-29 (2)" sheetId="53074" r:id="rId6"/>
    <sheet name="MLCO 6-29" sheetId="53072" r:id="rId7"/>
    <sheet name="MLCO 6-28" sheetId="53071" r:id="rId8"/>
    <sheet name="CFSB 6-27" sheetId="53073" r:id="rId9"/>
    <sheet name="Bear Stearns 5-24" sheetId="53069" r:id="rId10"/>
    <sheet name="Credit Suisse 4-17" sheetId="53067" r:id="rId11"/>
    <sheet name="Credit Suisse 4-6" sheetId="53066" r:id="rId12"/>
    <sheet name="Credit Suisse 4-5" sheetId="53065" r:id="rId13"/>
    <sheet name="DWR 1304771" sheetId="53063" r:id="rId14"/>
    <sheet name="DWR 1305741" sheetId="53060" r:id="rId15"/>
    <sheet name="DWR 1304563" sheetId="53062" r:id="rId16"/>
    <sheet name="Credit Suisse 5-8" sheetId="53068" r:id="rId17"/>
    <sheet name="JEDI Dilution" sheetId="53053" r:id="rId18"/>
    <sheet name="Outstanding" sheetId="53061" r:id="rId19"/>
    <sheet name="EOG Options" sheetId="53064" r:id="rId20"/>
    <sheet name="SBC Warburg" sheetId="95" r:id="rId21"/>
    <sheet name="UBS Forward" sheetId="53052" r:id="rId22"/>
    <sheet name="Put Options" sheetId="4924" r:id="rId23"/>
    <sheet name="Premium" sheetId="53056" r:id="rId24"/>
    <sheet name="VaR" sheetId="53054" r:id="rId25"/>
  </sheets>
  <externalReferences>
    <externalReference r:id="rId26"/>
    <externalReference r:id="rId27"/>
    <externalReference r:id="rId28"/>
  </externalReferences>
  <definedNames>
    <definedName name="ECT_Swap_1">'JEDI MTM'!$Z$68</definedName>
    <definedName name="ECT_Swap_2">'JEDI MTM'!$Z$75</definedName>
    <definedName name="Expiry_date">#REF!</definedName>
    <definedName name="LTD">AndyJeff!$K$13:$K$43</definedName>
    <definedName name="LTDCopy">AndyJeff!$M$13</definedName>
    <definedName name="mat">#REF!</definedName>
    <definedName name="_Nd1">#REF!</definedName>
    <definedName name="_Nd2">#REF!</definedName>
    <definedName name="Premium">'JEDI MTM'!$Z$65</definedName>
    <definedName name="price">#REF!</definedName>
    <definedName name="_xlnm.Print_Area" localSheetId="2">AndyJeff!$A$7:$K$92</definedName>
    <definedName name="_xlnm.Print_Area" localSheetId="9">'Bear Stearns 5-24'!$A$2:$AB$41</definedName>
    <definedName name="_xlnm.Print_Area" localSheetId="8">'CFSB 6-27'!$A$2:$AB$41</definedName>
    <definedName name="_xlnm.Print_Area" localSheetId="10">'Credit Suisse 4-17'!$A$2:$AB$41</definedName>
    <definedName name="_xlnm.Print_Area" localSheetId="12">'Credit Suisse 4-5'!$A$2:$AB$40</definedName>
    <definedName name="_xlnm.Print_Area" localSheetId="11">'Credit Suisse 4-6'!$A$2:$AB$40</definedName>
    <definedName name="_xlnm.Print_Area" localSheetId="16">'Credit Suisse 5-8'!$A$2:$AB$41</definedName>
    <definedName name="_xlnm.Print_Area" localSheetId="13">'DWR 1304771'!$A$2:$X$55</definedName>
    <definedName name="_xlnm.Print_Area" localSheetId="14">'DWR 1305741'!$A$3:$K$31</definedName>
    <definedName name="_xlnm.Print_Area" localSheetId="19">'EOG Options'!$A$3:$F$16</definedName>
    <definedName name="_xlnm.Print_Area" localSheetId="0">'info for DPR'!$A$2:$G$8</definedName>
    <definedName name="_xlnm.Print_Area" localSheetId="4">'JEDI MTM'!$A$21:$Z$111</definedName>
    <definedName name="_xlnm.Print_Area" localSheetId="7">'MLCO 6-28'!$A$2:$AB$41</definedName>
    <definedName name="_xlnm.Print_Area" localSheetId="6">'MLCO 6-29'!$A$2:$AB$41</definedName>
    <definedName name="_xlnm.Print_Area" localSheetId="5">'MLCO 6-29 (2)'!$A$2:$AB$41</definedName>
    <definedName name="_xlnm.Print_Area" localSheetId="18">Outstanding!$A$3:$J$38</definedName>
    <definedName name="_xlnm.Print_Area" localSheetId="23">Premium!$A$1:$H$58</definedName>
    <definedName name="_xlnm.Print_Area" localSheetId="22">'Put Options'!$A$53:$P$71</definedName>
    <definedName name="_xlnm.Print_Area" localSheetId="1">Report!$A$3:$K$68</definedName>
    <definedName name="_xlnm.Print_Titles" localSheetId="4">'JEDI MTM'!$A:$B,'JEDI MTM'!$18:$20</definedName>
    <definedName name="Put">'JEDI MTM'!$Z$97</definedName>
    <definedName name="Put_1">'JEDI MTM'!$Z$95</definedName>
    <definedName name="Put_2">'JEDI MTM'!$Z$97</definedName>
    <definedName name="rate">#REF!</definedName>
    <definedName name="Stock">'JEDI MTM'!$Z$32</definedName>
    <definedName name="Stock10">'JEDI MTM'!$Z$45</definedName>
    <definedName name="Stock11">'JEDI MTM'!$Z$51</definedName>
    <definedName name="strike">#REF!</definedName>
    <definedName name="Summarys">AndyJeff!$A$7:$K$92</definedName>
    <definedName name="Swap">'JEDI MTM'!$Z$38</definedName>
    <definedName name="Swap11">'JEDI MTM'!$Z$57</definedName>
    <definedName name="SX_1">#REF!</definedName>
    <definedName name="value_date">#REF!</definedName>
    <definedName name="vol">#REF!</definedName>
    <definedName name="WDR1304771">#REF!</definedName>
    <definedName name="yld">#REF!</definedName>
  </definedNames>
  <calcPr calcId="0" fullCalcOnLoad="1"/>
</workbook>
</file>

<file path=xl/calcChain.xml><?xml version="1.0" encoding="utf-8"?>
<calcChain xmlns="http://schemas.openxmlformats.org/spreadsheetml/2006/main">
  <c r="B9" i="2" l="1"/>
  <c r="B10" i="2"/>
  <c r="D13" i="2"/>
  <c r="E13" i="2"/>
  <c r="G13" i="2"/>
  <c r="H13" i="2"/>
  <c r="D14" i="2"/>
  <c r="E14" i="2"/>
  <c r="G14" i="2"/>
  <c r="H14" i="2"/>
  <c r="C16" i="2"/>
  <c r="D16" i="2"/>
  <c r="E16" i="2"/>
  <c r="G16" i="2"/>
  <c r="H16" i="2"/>
  <c r="I16" i="2"/>
  <c r="J16" i="2"/>
  <c r="K16" i="2"/>
  <c r="P16" i="2"/>
  <c r="Q16" i="2"/>
  <c r="C17" i="2"/>
  <c r="D17" i="2"/>
  <c r="E17" i="2"/>
  <c r="G17" i="2"/>
  <c r="H17" i="2"/>
  <c r="I17" i="2"/>
  <c r="J17" i="2"/>
  <c r="K17" i="2"/>
  <c r="C18" i="2"/>
  <c r="D18" i="2"/>
  <c r="E18" i="2"/>
  <c r="G18" i="2"/>
  <c r="H18" i="2"/>
  <c r="I18" i="2"/>
  <c r="J18" i="2"/>
  <c r="K18" i="2"/>
  <c r="C19" i="2"/>
  <c r="D19" i="2"/>
  <c r="E19" i="2"/>
  <c r="G19" i="2"/>
  <c r="H19" i="2"/>
  <c r="I19" i="2"/>
  <c r="J19" i="2"/>
  <c r="K19" i="2"/>
  <c r="C20" i="2"/>
  <c r="D20" i="2"/>
  <c r="E20" i="2"/>
  <c r="G20" i="2"/>
  <c r="H20" i="2"/>
  <c r="I20" i="2"/>
  <c r="J20" i="2"/>
  <c r="K20" i="2"/>
  <c r="Q20" i="2"/>
  <c r="D22" i="2"/>
  <c r="J22" i="2"/>
  <c r="K22" i="2"/>
  <c r="C25" i="2"/>
  <c r="D25" i="2"/>
  <c r="E25" i="2"/>
  <c r="G25" i="2"/>
  <c r="H25" i="2"/>
  <c r="I25" i="2"/>
  <c r="J25" i="2"/>
  <c r="K25" i="2"/>
  <c r="C26" i="2"/>
  <c r="D26" i="2"/>
  <c r="E26" i="2"/>
  <c r="G26" i="2"/>
  <c r="H26" i="2"/>
  <c r="I26" i="2"/>
  <c r="J26" i="2"/>
  <c r="K26" i="2"/>
  <c r="C27" i="2"/>
  <c r="D27" i="2"/>
  <c r="E27" i="2"/>
  <c r="G27" i="2"/>
  <c r="H27" i="2"/>
  <c r="I27" i="2"/>
  <c r="J27" i="2"/>
  <c r="K27" i="2"/>
  <c r="C28" i="2"/>
  <c r="D28" i="2"/>
  <c r="E28" i="2"/>
  <c r="G28" i="2"/>
  <c r="H28" i="2"/>
  <c r="I28" i="2"/>
  <c r="J28" i="2"/>
  <c r="K28" i="2"/>
  <c r="D29" i="2"/>
  <c r="E29" i="2"/>
  <c r="G29" i="2"/>
  <c r="H29" i="2"/>
  <c r="I29" i="2"/>
  <c r="J29" i="2"/>
  <c r="K29" i="2"/>
  <c r="C32" i="2"/>
  <c r="D32" i="2"/>
  <c r="E32" i="2"/>
  <c r="G32" i="2"/>
  <c r="H32" i="2"/>
  <c r="I32" i="2"/>
  <c r="J32" i="2"/>
  <c r="K32" i="2"/>
  <c r="C33" i="2"/>
  <c r="D33" i="2"/>
  <c r="E33" i="2"/>
  <c r="G33" i="2"/>
  <c r="H33" i="2"/>
  <c r="I33" i="2"/>
  <c r="J33" i="2"/>
  <c r="K33" i="2"/>
  <c r="C34" i="2"/>
  <c r="D34" i="2"/>
  <c r="E34" i="2"/>
  <c r="G34" i="2"/>
  <c r="H34" i="2"/>
  <c r="I34" i="2"/>
  <c r="J34" i="2"/>
  <c r="K34" i="2"/>
  <c r="C35" i="2"/>
  <c r="D35" i="2"/>
  <c r="E35" i="2"/>
  <c r="G35" i="2"/>
  <c r="H35" i="2"/>
  <c r="I35" i="2"/>
  <c r="J35" i="2"/>
  <c r="K35" i="2"/>
  <c r="C36" i="2"/>
  <c r="D36" i="2"/>
  <c r="E36" i="2"/>
  <c r="G36" i="2"/>
  <c r="H36" i="2"/>
  <c r="I36" i="2"/>
  <c r="J36" i="2"/>
  <c r="K36" i="2"/>
  <c r="D38" i="2"/>
  <c r="E38" i="2"/>
  <c r="G38" i="2"/>
  <c r="H38" i="2"/>
  <c r="I38" i="2"/>
  <c r="J38" i="2"/>
  <c r="K38" i="2"/>
  <c r="C40" i="2"/>
  <c r="E40" i="2"/>
  <c r="G40" i="2"/>
  <c r="H40" i="2"/>
  <c r="I40" i="2"/>
  <c r="J40" i="2"/>
  <c r="K40" i="2"/>
  <c r="C42" i="2"/>
  <c r="D42" i="2"/>
  <c r="E42" i="2"/>
  <c r="G42" i="2"/>
  <c r="H42" i="2"/>
  <c r="I42" i="2"/>
  <c r="J42" i="2"/>
  <c r="K42" i="2"/>
  <c r="K53" i="2"/>
  <c r="K56" i="2"/>
  <c r="C61" i="2"/>
  <c r="B63" i="2"/>
  <c r="D65" i="2"/>
  <c r="E65" i="2"/>
  <c r="G65" i="2"/>
  <c r="H65" i="2"/>
  <c r="C67" i="2"/>
  <c r="D67" i="2"/>
  <c r="E67" i="2"/>
  <c r="G67" i="2"/>
  <c r="H67" i="2"/>
  <c r="I67" i="2"/>
  <c r="J67" i="2"/>
  <c r="K67" i="2"/>
  <c r="C69" i="2"/>
  <c r="D69" i="2"/>
  <c r="E69" i="2"/>
  <c r="G69" i="2"/>
  <c r="H69" i="2"/>
  <c r="I69" i="2"/>
  <c r="J69" i="2"/>
  <c r="K69" i="2"/>
  <c r="C71" i="2"/>
  <c r="D71" i="2"/>
  <c r="E71" i="2"/>
  <c r="G71" i="2"/>
  <c r="H71" i="2"/>
  <c r="I71" i="2"/>
  <c r="J71" i="2"/>
  <c r="K71" i="2"/>
  <c r="C73" i="2"/>
  <c r="D73" i="2"/>
  <c r="E73" i="2"/>
  <c r="G73" i="2"/>
  <c r="H73" i="2"/>
  <c r="I73" i="2"/>
  <c r="J73" i="2"/>
  <c r="K73" i="2"/>
  <c r="K83" i="2"/>
  <c r="K84" i="2"/>
  <c r="K86" i="2"/>
  <c r="K87" i="2"/>
  <c r="D2" i="53069"/>
  <c r="G2" i="53069"/>
  <c r="H2" i="53069"/>
  <c r="K2" i="53069"/>
  <c r="L2" i="53069"/>
  <c r="Q2" i="53069"/>
  <c r="R2" i="53069"/>
  <c r="U2" i="53069"/>
  <c r="V2" i="53069"/>
  <c r="D3" i="53069"/>
  <c r="G3" i="53069"/>
  <c r="H3" i="53069"/>
  <c r="K3" i="53069"/>
  <c r="L3" i="53069"/>
  <c r="Q3" i="53069"/>
  <c r="R3" i="53069"/>
  <c r="U3" i="53069"/>
  <c r="V3" i="53069"/>
  <c r="D4" i="53069"/>
  <c r="G4" i="53069"/>
  <c r="H4" i="53069"/>
  <c r="K4" i="53069"/>
  <c r="L4" i="53069"/>
  <c r="Q4" i="53069"/>
  <c r="R4" i="53069"/>
  <c r="U4" i="53069"/>
  <c r="V4" i="53069"/>
  <c r="D5" i="53069"/>
  <c r="G5" i="53069"/>
  <c r="H5" i="53069"/>
  <c r="K5" i="53069"/>
  <c r="L5" i="53069"/>
  <c r="Q5" i="53069"/>
  <c r="R5" i="53069"/>
  <c r="U5" i="53069"/>
  <c r="V5" i="53069"/>
  <c r="D6" i="53069"/>
  <c r="G6" i="53069"/>
  <c r="H6" i="53069"/>
  <c r="K6" i="53069"/>
  <c r="L6" i="53069"/>
  <c r="Q6" i="53069"/>
  <c r="R6" i="53069"/>
  <c r="U6" i="53069"/>
  <c r="V6" i="53069"/>
  <c r="A11" i="53069"/>
  <c r="E14" i="53069"/>
  <c r="G14" i="53069"/>
  <c r="H14" i="53069"/>
  <c r="I14" i="53069"/>
  <c r="K14" i="53069"/>
  <c r="L14" i="53069"/>
  <c r="M14" i="53069"/>
  <c r="Q14" i="53069"/>
  <c r="R14" i="53069"/>
  <c r="S14" i="53069"/>
  <c r="U14" i="53069"/>
  <c r="V14" i="53069"/>
  <c r="W14" i="53069"/>
  <c r="B17" i="53069"/>
  <c r="D21" i="53069"/>
  <c r="E21" i="53069"/>
  <c r="G21" i="53069"/>
  <c r="H21" i="53069"/>
  <c r="I21" i="53069"/>
  <c r="K21" i="53069"/>
  <c r="L21" i="53069"/>
  <c r="M21" i="53069"/>
  <c r="Q21" i="53069"/>
  <c r="R21" i="53069"/>
  <c r="S21" i="53069"/>
  <c r="U21" i="53069"/>
  <c r="V21" i="53069"/>
  <c r="W21" i="53069"/>
  <c r="D22" i="53069"/>
  <c r="E22" i="53069"/>
  <c r="G22" i="53069"/>
  <c r="H22" i="53069"/>
  <c r="I22" i="53069"/>
  <c r="K22" i="53069"/>
  <c r="L22" i="53069"/>
  <c r="M22" i="53069"/>
  <c r="Q22" i="53069"/>
  <c r="R22" i="53069"/>
  <c r="S22" i="53069"/>
  <c r="U22" i="53069"/>
  <c r="V22" i="53069"/>
  <c r="W22" i="53069"/>
  <c r="D23" i="53069"/>
  <c r="E23" i="53069"/>
  <c r="G23" i="53069"/>
  <c r="H23" i="53069"/>
  <c r="I23" i="53069"/>
  <c r="K23" i="53069"/>
  <c r="L23" i="53069"/>
  <c r="M23" i="53069"/>
  <c r="O23" i="53069"/>
  <c r="Q23" i="53069"/>
  <c r="R23" i="53069"/>
  <c r="S23" i="53069"/>
  <c r="U23" i="53069"/>
  <c r="V23" i="53069"/>
  <c r="W23" i="53069"/>
  <c r="Y23" i="53069"/>
  <c r="AA23" i="53069"/>
  <c r="D27" i="53069"/>
  <c r="E27" i="53069"/>
  <c r="G27" i="53069"/>
  <c r="I27" i="53069"/>
  <c r="K27" i="53069"/>
  <c r="M27" i="53069"/>
  <c r="O27" i="53069"/>
  <c r="Q27" i="53069"/>
  <c r="S27" i="53069"/>
  <c r="U27" i="53069"/>
  <c r="W27" i="53069"/>
  <c r="Y27" i="53069"/>
  <c r="AA27" i="53069"/>
  <c r="G30" i="53069"/>
  <c r="K30" i="53069"/>
  <c r="Q30" i="53069"/>
  <c r="U30" i="53069"/>
  <c r="D32" i="53069"/>
  <c r="G32" i="53069"/>
  <c r="H32" i="53069"/>
  <c r="K32" i="53069"/>
  <c r="L32" i="53069"/>
  <c r="Q32" i="53069"/>
  <c r="R32" i="53069"/>
  <c r="U32" i="53069"/>
  <c r="V32" i="53069"/>
  <c r="D34" i="53069"/>
  <c r="G34" i="53069"/>
  <c r="H34" i="53069"/>
  <c r="K34" i="53069"/>
  <c r="L34" i="53069"/>
  <c r="Q34" i="53069"/>
  <c r="R34" i="53069"/>
  <c r="U34" i="53069"/>
  <c r="V34" i="53069"/>
  <c r="D35" i="53069"/>
  <c r="G35" i="53069"/>
  <c r="H35" i="53069"/>
  <c r="K35" i="53069"/>
  <c r="L35" i="53069"/>
  <c r="Q35" i="53069"/>
  <c r="R35" i="53069"/>
  <c r="U35" i="53069"/>
  <c r="V35" i="53069"/>
  <c r="D36" i="53069"/>
  <c r="G36" i="53069"/>
  <c r="H36" i="53069"/>
  <c r="K36" i="53069"/>
  <c r="L36" i="53069"/>
  <c r="Q36" i="53069"/>
  <c r="R36" i="53069"/>
  <c r="U36" i="53069"/>
  <c r="V36" i="53069"/>
  <c r="D37" i="53069"/>
  <c r="E37" i="53069"/>
  <c r="G37" i="53069"/>
  <c r="H37" i="53069"/>
  <c r="I37" i="53069"/>
  <c r="K37" i="53069"/>
  <c r="L37" i="53069"/>
  <c r="M37" i="53069"/>
  <c r="O37" i="53069"/>
  <c r="Q37" i="53069"/>
  <c r="R37" i="53069"/>
  <c r="S37" i="53069"/>
  <c r="U37" i="53069"/>
  <c r="V37" i="53069"/>
  <c r="W37" i="53069"/>
  <c r="Y37" i="53069"/>
  <c r="AA37" i="53069"/>
  <c r="D39" i="53069"/>
  <c r="E39" i="53069"/>
  <c r="G39" i="53069"/>
  <c r="H39" i="53069"/>
  <c r="I39" i="53069"/>
  <c r="K39" i="53069"/>
  <c r="L39" i="53069"/>
  <c r="M39" i="53069"/>
  <c r="O39" i="53069"/>
  <c r="Q39" i="53069"/>
  <c r="R39" i="53069"/>
  <c r="S39" i="53069"/>
  <c r="U39" i="53069"/>
  <c r="V39" i="53069"/>
  <c r="W39" i="53069"/>
  <c r="Y39" i="53069"/>
  <c r="AA39" i="53069"/>
  <c r="D2" i="53073"/>
  <c r="G2" i="53073"/>
  <c r="H2" i="53073"/>
  <c r="K2" i="53073"/>
  <c r="L2" i="53073"/>
  <c r="Q2" i="53073"/>
  <c r="R2" i="53073"/>
  <c r="U2" i="53073"/>
  <c r="V2" i="53073"/>
  <c r="D3" i="53073"/>
  <c r="G3" i="53073"/>
  <c r="H3" i="53073"/>
  <c r="K3" i="53073"/>
  <c r="L3" i="53073"/>
  <c r="Q3" i="53073"/>
  <c r="R3" i="53073"/>
  <c r="U3" i="53073"/>
  <c r="V3" i="53073"/>
  <c r="D4" i="53073"/>
  <c r="G4" i="53073"/>
  <c r="H4" i="53073"/>
  <c r="K4" i="53073"/>
  <c r="L4" i="53073"/>
  <c r="Q4" i="53073"/>
  <c r="R4" i="53073"/>
  <c r="U4" i="53073"/>
  <c r="V4" i="53073"/>
  <c r="D5" i="53073"/>
  <c r="G5" i="53073"/>
  <c r="H5" i="53073"/>
  <c r="K5" i="53073"/>
  <c r="L5" i="53073"/>
  <c r="Q5" i="53073"/>
  <c r="R5" i="53073"/>
  <c r="U5" i="53073"/>
  <c r="V5" i="53073"/>
  <c r="D6" i="53073"/>
  <c r="G6" i="53073"/>
  <c r="H6" i="53073"/>
  <c r="K6" i="53073"/>
  <c r="L6" i="53073"/>
  <c r="Q6" i="53073"/>
  <c r="R6" i="53073"/>
  <c r="U6" i="53073"/>
  <c r="V6" i="53073"/>
  <c r="A11" i="53073"/>
  <c r="D14" i="53073"/>
  <c r="E14" i="53073"/>
  <c r="G14" i="53073"/>
  <c r="H14" i="53073"/>
  <c r="I14" i="53073"/>
  <c r="K14" i="53073"/>
  <c r="L14" i="53073"/>
  <c r="M14" i="53073"/>
  <c r="Q14" i="53073"/>
  <c r="R14" i="53073"/>
  <c r="S14" i="53073"/>
  <c r="U14" i="53073"/>
  <c r="V14" i="53073"/>
  <c r="W14" i="53073"/>
  <c r="B17" i="53073"/>
  <c r="D21" i="53073"/>
  <c r="E21" i="53073"/>
  <c r="G21" i="53073"/>
  <c r="H21" i="53073"/>
  <c r="I21" i="53073"/>
  <c r="K21" i="53073"/>
  <c r="L21" i="53073"/>
  <c r="M21" i="53073"/>
  <c r="Q21" i="53073"/>
  <c r="R21" i="53073"/>
  <c r="S21" i="53073"/>
  <c r="U21" i="53073"/>
  <c r="V21" i="53073"/>
  <c r="W21" i="53073"/>
  <c r="D22" i="53073"/>
  <c r="E22" i="53073"/>
  <c r="G22" i="53073"/>
  <c r="H22" i="53073"/>
  <c r="I22" i="53073"/>
  <c r="K22" i="53073"/>
  <c r="L22" i="53073"/>
  <c r="M22" i="53073"/>
  <c r="Q22" i="53073"/>
  <c r="R22" i="53073"/>
  <c r="S22" i="53073"/>
  <c r="U22" i="53073"/>
  <c r="V22" i="53073"/>
  <c r="W22" i="53073"/>
  <c r="D23" i="53073"/>
  <c r="E23" i="53073"/>
  <c r="G23" i="53073"/>
  <c r="H23" i="53073"/>
  <c r="I23" i="53073"/>
  <c r="K23" i="53073"/>
  <c r="L23" i="53073"/>
  <c r="M23" i="53073"/>
  <c r="O23" i="53073"/>
  <c r="Q23" i="53073"/>
  <c r="R23" i="53073"/>
  <c r="S23" i="53073"/>
  <c r="U23" i="53073"/>
  <c r="V23" i="53073"/>
  <c r="W23" i="53073"/>
  <c r="Y23" i="53073"/>
  <c r="AA23" i="53073"/>
  <c r="D27" i="53073"/>
  <c r="E27" i="53073"/>
  <c r="G27" i="53073"/>
  <c r="I27" i="53073"/>
  <c r="K27" i="53073"/>
  <c r="M27" i="53073"/>
  <c r="O27" i="53073"/>
  <c r="Q27" i="53073"/>
  <c r="S27" i="53073"/>
  <c r="U27" i="53073"/>
  <c r="W27" i="53073"/>
  <c r="Y27" i="53073"/>
  <c r="AA27" i="53073"/>
  <c r="G30" i="53073"/>
  <c r="K30" i="53073"/>
  <c r="Q30" i="53073"/>
  <c r="U30" i="53073"/>
  <c r="G31" i="53073"/>
  <c r="H31" i="53073"/>
  <c r="K31" i="53073"/>
  <c r="L31" i="53073"/>
  <c r="Q31" i="53073"/>
  <c r="R31" i="53073"/>
  <c r="U31" i="53073"/>
  <c r="V31" i="53073"/>
  <c r="D32" i="53073"/>
  <c r="G32" i="53073"/>
  <c r="H32" i="53073"/>
  <c r="K32" i="53073"/>
  <c r="L32" i="53073"/>
  <c r="Q32" i="53073"/>
  <c r="R32" i="53073"/>
  <c r="U32" i="53073"/>
  <c r="V32" i="53073"/>
  <c r="D34" i="53073"/>
  <c r="G34" i="53073"/>
  <c r="H34" i="53073"/>
  <c r="K34" i="53073"/>
  <c r="L34" i="53073"/>
  <c r="Q34" i="53073"/>
  <c r="R34" i="53073"/>
  <c r="U34" i="53073"/>
  <c r="V34" i="53073"/>
  <c r="D35" i="53073"/>
  <c r="G35" i="53073"/>
  <c r="H35" i="53073"/>
  <c r="K35" i="53073"/>
  <c r="L35" i="53073"/>
  <c r="Q35" i="53073"/>
  <c r="R35" i="53073"/>
  <c r="U35" i="53073"/>
  <c r="V35" i="53073"/>
  <c r="D36" i="53073"/>
  <c r="G36" i="53073"/>
  <c r="H36" i="53073"/>
  <c r="K36" i="53073"/>
  <c r="L36" i="53073"/>
  <c r="Q36" i="53073"/>
  <c r="R36" i="53073"/>
  <c r="U36" i="53073"/>
  <c r="V36" i="53073"/>
  <c r="D37" i="53073"/>
  <c r="E37" i="53073"/>
  <c r="G37" i="53073"/>
  <c r="H37" i="53073"/>
  <c r="I37" i="53073"/>
  <c r="K37" i="53073"/>
  <c r="L37" i="53073"/>
  <c r="M37" i="53073"/>
  <c r="O37" i="53073"/>
  <c r="Q37" i="53073"/>
  <c r="R37" i="53073"/>
  <c r="S37" i="53073"/>
  <c r="U37" i="53073"/>
  <c r="V37" i="53073"/>
  <c r="W37" i="53073"/>
  <c r="Y37" i="53073"/>
  <c r="AA37" i="53073"/>
  <c r="D39" i="53073"/>
  <c r="E39" i="53073"/>
  <c r="G39" i="53073"/>
  <c r="H39" i="53073"/>
  <c r="I39" i="53073"/>
  <c r="K39" i="53073"/>
  <c r="L39" i="53073"/>
  <c r="M39" i="53073"/>
  <c r="O39" i="53073"/>
  <c r="Q39" i="53073"/>
  <c r="R39" i="53073"/>
  <c r="S39" i="53073"/>
  <c r="U39" i="53073"/>
  <c r="V39" i="53073"/>
  <c r="W39" i="53073"/>
  <c r="Y39" i="53073"/>
  <c r="AA39" i="53073"/>
  <c r="D2" i="53067"/>
  <c r="G2" i="53067"/>
  <c r="H2" i="53067"/>
  <c r="K2" i="53067"/>
  <c r="L2" i="53067"/>
  <c r="Q2" i="53067"/>
  <c r="R2" i="53067"/>
  <c r="U2" i="53067"/>
  <c r="V2" i="53067"/>
  <c r="D3" i="53067"/>
  <c r="G3" i="53067"/>
  <c r="H3" i="53067"/>
  <c r="K3" i="53067"/>
  <c r="L3" i="53067"/>
  <c r="Q3" i="53067"/>
  <c r="R3" i="53067"/>
  <c r="U3" i="53067"/>
  <c r="V3" i="53067"/>
  <c r="D4" i="53067"/>
  <c r="G4" i="53067"/>
  <c r="H4" i="53067"/>
  <c r="K4" i="53067"/>
  <c r="L4" i="53067"/>
  <c r="Q4" i="53067"/>
  <c r="R4" i="53067"/>
  <c r="U4" i="53067"/>
  <c r="V4" i="53067"/>
  <c r="D5" i="53067"/>
  <c r="G5" i="53067"/>
  <c r="H5" i="53067"/>
  <c r="K5" i="53067"/>
  <c r="L5" i="53067"/>
  <c r="Q5" i="53067"/>
  <c r="R5" i="53067"/>
  <c r="U5" i="53067"/>
  <c r="V5" i="53067"/>
  <c r="D6" i="53067"/>
  <c r="G6" i="53067"/>
  <c r="H6" i="53067"/>
  <c r="K6" i="53067"/>
  <c r="L6" i="53067"/>
  <c r="Q6" i="53067"/>
  <c r="R6" i="53067"/>
  <c r="U6" i="53067"/>
  <c r="V6" i="53067"/>
  <c r="A11" i="53067"/>
  <c r="E14" i="53067"/>
  <c r="G14" i="53067"/>
  <c r="H14" i="53067"/>
  <c r="I14" i="53067"/>
  <c r="K14" i="53067"/>
  <c r="L14" i="53067"/>
  <c r="M14" i="53067"/>
  <c r="Q14" i="53067"/>
  <c r="R14" i="53067"/>
  <c r="S14" i="53067"/>
  <c r="U14" i="53067"/>
  <c r="V14" i="53067"/>
  <c r="W14" i="53067"/>
  <c r="B17" i="53067"/>
  <c r="D21" i="53067"/>
  <c r="E21" i="53067"/>
  <c r="G21" i="53067"/>
  <c r="H21" i="53067"/>
  <c r="I21" i="53067"/>
  <c r="K21" i="53067"/>
  <c r="L21" i="53067"/>
  <c r="M21" i="53067"/>
  <c r="Q21" i="53067"/>
  <c r="R21" i="53067"/>
  <c r="S21" i="53067"/>
  <c r="U21" i="53067"/>
  <c r="V21" i="53067"/>
  <c r="W21" i="53067"/>
  <c r="D22" i="53067"/>
  <c r="E22" i="53067"/>
  <c r="G22" i="53067"/>
  <c r="H22" i="53067"/>
  <c r="I22" i="53067"/>
  <c r="K22" i="53067"/>
  <c r="L22" i="53067"/>
  <c r="M22" i="53067"/>
  <c r="Q22" i="53067"/>
  <c r="R22" i="53067"/>
  <c r="S22" i="53067"/>
  <c r="U22" i="53067"/>
  <c r="V22" i="53067"/>
  <c r="W22" i="53067"/>
  <c r="D23" i="53067"/>
  <c r="E23" i="53067"/>
  <c r="G23" i="53067"/>
  <c r="H23" i="53067"/>
  <c r="I23" i="53067"/>
  <c r="K23" i="53067"/>
  <c r="L23" i="53067"/>
  <c r="M23" i="53067"/>
  <c r="O23" i="53067"/>
  <c r="Q23" i="53067"/>
  <c r="R23" i="53067"/>
  <c r="S23" i="53067"/>
  <c r="U23" i="53067"/>
  <c r="V23" i="53067"/>
  <c r="W23" i="53067"/>
  <c r="Y23" i="53067"/>
  <c r="AA23" i="53067"/>
  <c r="D27" i="53067"/>
  <c r="E27" i="53067"/>
  <c r="G27" i="53067"/>
  <c r="I27" i="53067"/>
  <c r="K27" i="53067"/>
  <c r="M27" i="53067"/>
  <c r="O27" i="53067"/>
  <c r="Q27" i="53067"/>
  <c r="S27" i="53067"/>
  <c r="U27" i="53067"/>
  <c r="W27" i="53067"/>
  <c r="Y27" i="53067"/>
  <c r="AA27" i="53067"/>
  <c r="G30" i="53067"/>
  <c r="K30" i="53067"/>
  <c r="Q30" i="53067"/>
  <c r="U30" i="53067"/>
  <c r="D32" i="53067"/>
  <c r="G32" i="53067"/>
  <c r="H32" i="53067"/>
  <c r="K32" i="53067"/>
  <c r="L32" i="53067"/>
  <c r="Q32" i="53067"/>
  <c r="R32" i="53067"/>
  <c r="U32" i="53067"/>
  <c r="V32" i="53067"/>
  <c r="D34" i="53067"/>
  <c r="G34" i="53067"/>
  <c r="H34" i="53067"/>
  <c r="K34" i="53067"/>
  <c r="L34" i="53067"/>
  <c r="Q34" i="53067"/>
  <c r="R34" i="53067"/>
  <c r="U34" i="53067"/>
  <c r="V34" i="53067"/>
  <c r="D35" i="53067"/>
  <c r="G35" i="53067"/>
  <c r="H35" i="53067"/>
  <c r="K35" i="53067"/>
  <c r="L35" i="53067"/>
  <c r="Q35" i="53067"/>
  <c r="R35" i="53067"/>
  <c r="U35" i="53067"/>
  <c r="V35" i="53067"/>
  <c r="D36" i="53067"/>
  <c r="G36" i="53067"/>
  <c r="H36" i="53067"/>
  <c r="K36" i="53067"/>
  <c r="L36" i="53067"/>
  <c r="Q36" i="53067"/>
  <c r="R36" i="53067"/>
  <c r="U36" i="53067"/>
  <c r="V36" i="53067"/>
  <c r="D37" i="53067"/>
  <c r="E37" i="53067"/>
  <c r="G37" i="53067"/>
  <c r="H37" i="53067"/>
  <c r="I37" i="53067"/>
  <c r="K37" i="53067"/>
  <c r="L37" i="53067"/>
  <c r="M37" i="53067"/>
  <c r="O37" i="53067"/>
  <c r="Q37" i="53067"/>
  <c r="R37" i="53067"/>
  <c r="S37" i="53067"/>
  <c r="U37" i="53067"/>
  <c r="V37" i="53067"/>
  <c r="W37" i="53067"/>
  <c r="Y37" i="53067"/>
  <c r="AA37" i="53067"/>
  <c r="D39" i="53067"/>
  <c r="E39" i="53067"/>
  <c r="G39" i="53067"/>
  <c r="H39" i="53067"/>
  <c r="I39" i="53067"/>
  <c r="K39" i="53067"/>
  <c r="L39" i="53067"/>
  <c r="M39" i="53067"/>
  <c r="O39" i="53067"/>
  <c r="Q39" i="53067"/>
  <c r="R39" i="53067"/>
  <c r="S39" i="53067"/>
  <c r="U39" i="53067"/>
  <c r="V39" i="53067"/>
  <c r="W39" i="53067"/>
  <c r="Y39" i="53067"/>
  <c r="AA39" i="53067"/>
  <c r="D2" i="53065"/>
  <c r="G2" i="53065"/>
  <c r="H2" i="53065"/>
  <c r="K2" i="53065"/>
  <c r="L2" i="53065"/>
  <c r="Q2" i="53065"/>
  <c r="R2" i="53065"/>
  <c r="U2" i="53065"/>
  <c r="V2" i="53065"/>
  <c r="D3" i="53065"/>
  <c r="G3" i="53065"/>
  <c r="H3" i="53065"/>
  <c r="K3" i="53065"/>
  <c r="L3" i="53065"/>
  <c r="Q3" i="53065"/>
  <c r="R3" i="53065"/>
  <c r="U3" i="53065"/>
  <c r="V3" i="53065"/>
  <c r="D4" i="53065"/>
  <c r="G4" i="53065"/>
  <c r="H4" i="53065"/>
  <c r="K4" i="53065"/>
  <c r="L4" i="53065"/>
  <c r="Q4" i="53065"/>
  <c r="R4" i="53065"/>
  <c r="U4" i="53065"/>
  <c r="V4" i="53065"/>
  <c r="D5" i="53065"/>
  <c r="G5" i="53065"/>
  <c r="H5" i="53065"/>
  <c r="K5" i="53065"/>
  <c r="L5" i="53065"/>
  <c r="Q5" i="53065"/>
  <c r="R5" i="53065"/>
  <c r="U5" i="53065"/>
  <c r="V5" i="53065"/>
  <c r="D6" i="53065"/>
  <c r="G6" i="53065"/>
  <c r="H6" i="53065"/>
  <c r="K6" i="53065"/>
  <c r="L6" i="53065"/>
  <c r="Q6" i="53065"/>
  <c r="R6" i="53065"/>
  <c r="U6" i="53065"/>
  <c r="V6" i="53065"/>
  <c r="A11" i="53065"/>
  <c r="E14" i="53065"/>
  <c r="G14" i="53065"/>
  <c r="H14" i="53065"/>
  <c r="I14" i="53065"/>
  <c r="K14" i="53065"/>
  <c r="L14" i="53065"/>
  <c r="M14" i="53065"/>
  <c r="Q14" i="53065"/>
  <c r="R14" i="53065"/>
  <c r="S14" i="53065"/>
  <c r="U14" i="53065"/>
  <c r="V14" i="53065"/>
  <c r="W14" i="53065"/>
  <c r="B17" i="53065"/>
  <c r="D21" i="53065"/>
  <c r="E21" i="53065"/>
  <c r="G21" i="53065"/>
  <c r="H21" i="53065"/>
  <c r="I21" i="53065"/>
  <c r="K21" i="53065"/>
  <c r="L21" i="53065"/>
  <c r="M21" i="53065"/>
  <c r="Q21" i="53065"/>
  <c r="R21" i="53065"/>
  <c r="S21" i="53065"/>
  <c r="U21" i="53065"/>
  <c r="V21" i="53065"/>
  <c r="W21" i="53065"/>
  <c r="D22" i="53065"/>
  <c r="E22" i="53065"/>
  <c r="G22" i="53065"/>
  <c r="H22" i="53065"/>
  <c r="I22" i="53065"/>
  <c r="K22" i="53065"/>
  <c r="L22" i="53065"/>
  <c r="M22" i="53065"/>
  <c r="Q22" i="53065"/>
  <c r="R22" i="53065"/>
  <c r="S22" i="53065"/>
  <c r="U22" i="53065"/>
  <c r="V22" i="53065"/>
  <c r="W22" i="53065"/>
  <c r="D23" i="53065"/>
  <c r="E23" i="53065"/>
  <c r="G23" i="53065"/>
  <c r="H23" i="53065"/>
  <c r="I23" i="53065"/>
  <c r="K23" i="53065"/>
  <c r="L23" i="53065"/>
  <c r="M23" i="53065"/>
  <c r="O23" i="53065"/>
  <c r="Q23" i="53065"/>
  <c r="R23" i="53065"/>
  <c r="S23" i="53065"/>
  <c r="U23" i="53065"/>
  <c r="V23" i="53065"/>
  <c r="W23" i="53065"/>
  <c r="Y23" i="53065"/>
  <c r="AA23" i="53065"/>
  <c r="AB24" i="53065"/>
  <c r="D27" i="53065"/>
  <c r="E27" i="53065"/>
  <c r="G27" i="53065"/>
  <c r="I27" i="53065"/>
  <c r="K27" i="53065"/>
  <c r="M27" i="53065"/>
  <c r="O27" i="53065"/>
  <c r="Q27" i="53065"/>
  <c r="S27" i="53065"/>
  <c r="U27" i="53065"/>
  <c r="W27" i="53065"/>
  <c r="Y27" i="53065"/>
  <c r="AA27" i="53065"/>
  <c r="G30" i="53065"/>
  <c r="K30" i="53065"/>
  <c r="Q30" i="53065"/>
  <c r="U30" i="53065"/>
  <c r="D32" i="53065"/>
  <c r="G32" i="53065"/>
  <c r="H32" i="53065"/>
  <c r="K32" i="53065"/>
  <c r="L32" i="53065"/>
  <c r="Q32" i="53065"/>
  <c r="R32" i="53065"/>
  <c r="U32" i="53065"/>
  <c r="V32" i="53065"/>
  <c r="D34" i="53065"/>
  <c r="G34" i="53065"/>
  <c r="H34" i="53065"/>
  <c r="K34" i="53065"/>
  <c r="L34" i="53065"/>
  <c r="Q34" i="53065"/>
  <c r="R34" i="53065"/>
  <c r="U34" i="53065"/>
  <c r="V34" i="53065"/>
  <c r="D35" i="53065"/>
  <c r="G35" i="53065"/>
  <c r="H35" i="53065"/>
  <c r="K35" i="53065"/>
  <c r="L35" i="53065"/>
  <c r="Q35" i="53065"/>
  <c r="R35" i="53065"/>
  <c r="U35" i="53065"/>
  <c r="V35" i="53065"/>
  <c r="D36" i="53065"/>
  <c r="G36" i="53065"/>
  <c r="H36" i="53065"/>
  <c r="K36" i="53065"/>
  <c r="L36" i="53065"/>
  <c r="Q36" i="53065"/>
  <c r="R36" i="53065"/>
  <c r="U36" i="53065"/>
  <c r="V36" i="53065"/>
  <c r="D37" i="53065"/>
  <c r="E37" i="53065"/>
  <c r="G37" i="53065"/>
  <c r="H37" i="53065"/>
  <c r="I37" i="53065"/>
  <c r="K37" i="53065"/>
  <c r="L37" i="53065"/>
  <c r="M37" i="53065"/>
  <c r="O37" i="53065"/>
  <c r="Q37" i="53065"/>
  <c r="R37" i="53065"/>
  <c r="S37" i="53065"/>
  <c r="U37" i="53065"/>
  <c r="V37" i="53065"/>
  <c r="W37" i="53065"/>
  <c r="Y37" i="53065"/>
  <c r="AA37" i="53065"/>
  <c r="D39" i="53065"/>
  <c r="E39" i="53065"/>
  <c r="G39" i="53065"/>
  <c r="H39" i="53065"/>
  <c r="I39" i="53065"/>
  <c r="K39" i="53065"/>
  <c r="L39" i="53065"/>
  <c r="M39" i="53065"/>
  <c r="O39" i="53065"/>
  <c r="Q39" i="53065"/>
  <c r="R39" i="53065"/>
  <c r="S39" i="53065"/>
  <c r="U39" i="53065"/>
  <c r="V39" i="53065"/>
  <c r="W39" i="53065"/>
  <c r="Y39" i="53065"/>
  <c r="AA39" i="53065"/>
  <c r="B45" i="53065"/>
  <c r="B47" i="53065"/>
  <c r="D2" i="53066"/>
  <c r="G2" i="53066"/>
  <c r="H2" i="53066"/>
  <c r="K2" i="53066"/>
  <c r="L2" i="53066"/>
  <c r="Q2" i="53066"/>
  <c r="R2" i="53066"/>
  <c r="U2" i="53066"/>
  <c r="V2" i="53066"/>
  <c r="D3" i="53066"/>
  <c r="G3" i="53066"/>
  <c r="H3" i="53066"/>
  <c r="K3" i="53066"/>
  <c r="L3" i="53066"/>
  <c r="Q3" i="53066"/>
  <c r="R3" i="53066"/>
  <c r="U3" i="53066"/>
  <c r="V3" i="53066"/>
  <c r="D4" i="53066"/>
  <c r="G4" i="53066"/>
  <c r="H4" i="53066"/>
  <c r="K4" i="53066"/>
  <c r="L4" i="53066"/>
  <c r="Q4" i="53066"/>
  <c r="R4" i="53066"/>
  <c r="U4" i="53066"/>
  <c r="V4" i="53066"/>
  <c r="D5" i="53066"/>
  <c r="G5" i="53066"/>
  <c r="H5" i="53066"/>
  <c r="K5" i="53066"/>
  <c r="L5" i="53066"/>
  <c r="Q5" i="53066"/>
  <c r="R5" i="53066"/>
  <c r="U5" i="53066"/>
  <c r="V5" i="53066"/>
  <c r="D6" i="53066"/>
  <c r="G6" i="53066"/>
  <c r="H6" i="53066"/>
  <c r="K6" i="53066"/>
  <c r="L6" i="53066"/>
  <c r="Q6" i="53066"/>
  <c r="R6" i="53066"/>
  <c r="U6" i="53066"/>
  <c r="V6" i="53066"/>
  <c r="A11" i="53066"/>
  <c r="E14" i="53066"/>
  <c r="G14" i="53066"/>
  <c r="H14" i="53066"/>
  <c r="I14" i="53066"/>
  <c r="K14" i="53066"/>
  <c r="L14" i="53066"/>
  <c r="M14" i="53066"/>
  <c r="Q14" i="53066"/>
  <c r="R14" i="53066"/>
  <c r="S14" i="53066"/>
  <c r="U14" i="53066"/>
  <c r="V14" i="53066"/>
  <c r="W14" i="53066"/>
  <c r="B17" i="53066"/>
  <c r="D21" i="53066"/>
  <c r="E21" i="53066"/>
  <c r="G21" i="53066"/>
  <c r="H21" i="53066"/>
  <c r="I21" i="53066"/>
  <c r="K21" i="53066"/>
  <c r="L21" i="53066"/>
  <c r="M21" i="53066"/>
  <c r="Q21" i="53066"/>
  <c r="R21" i="53066"/>
  <c r="S21" i="53066"/>
  <c r="U21" i="53066"/>
  <c r="V21" i="53066"/>
  <c r="W21" i="53066"/>
  <c r="D22" i="53066"/>
  <c r="E22" i="53066"/>
  <c r="G22" i="53066"/>
  <c r="H22" i="53066"/>
  <c r="I22" i="53066"/>
  <c r="K22" i="53066"/>
  <c r="L22" i="53066"/>
  <c r="M22" i="53066"/>
  <c r="Q22" i="53066"/>
  <c r="R22" i="53066"/>
  <c r="S22" i="53066"/>
  <c r="U22" i="53066"/>
  <c r="V22" i="53066"/>
  <c r="W22" i="53066"/>
  <c r="D23" i="53066"/>
  <c r="E23" i="53066"/>
  <c r="G23" i="53066"/>
  <c r="H23" i="53066"/>
  <c r="I23" i="53066"/>
  <c r="K23" i="53066"/>
  <c r="L23" i="53066"/>
  <c r="M23" i="53066"/>
  <c r="O23" i="53066"/>
  <c r="Q23" i="53066"/>
  <c r="R23" i="53066"/>
  <c r="S23" i="53066"/>
  <c r="U23" i="53066"/>
  <c r="V23" i="53066"/>
  <c r="W23" i="53066"/>
  <c r="Y23" i="53066"/>
  <c r="AA23" i="53066"/>
  <c r="AB24" i="53066"/>
  <c r="D27" i="53066"/>
  <c r="E27" i="53066"/>
  <c r="G27" i="53066"/>
  <c r="I27" i="53066"/>
  <c r="K27" i="53066"/>
  <c r="M27" i="53066"/>
  <c r="O27" i="53066"/>
  <c r="Q27" i="53066"/>
  <c r="S27" i="53066"/>
  <c r="U27" i="53066"/>
  <c r="W27" i="53066"/>
  <c r="Y27" i="53066"/>
  <c r="AA27" i="53066"/>
  <c r="G30" i="53066"/>
  <c r="K30" i="53066"/>
  <c r="Q30" i="53066"/>
  <c r="U30" i="53066"/>
  <c r="D32" i="53066"/>
  <c r="G32" i="53066"/>
  <c r="H32" i="53066"/>
  <c r="K32" i="53066"/>
  <c r="L32" i="53066"/>
  <c r="Q32" i="53066"/>
  <c r="R32" i="53066"/>
  <c r="U32" i="53066"/>
  <c r="V32" i="53066"/>
  <c r="D34" i="53066"/>
  <c r="G34" i="53066"/>
  <c r="H34" i="53066"/>
  <c r="K34" i="53066"/>
  <c r="L34" i="53066"/>
  <c r="Q34" i="53066"/>
  <c r="R34" i="53066"/>
  <c r="U34" i="53066"/>
  <c r="V34" i="53066"/>
  <c r="D35" i="53066"/>
  <c r="G35" i="53066"/>
  <c r="H35" i="53066"/>
  <c r="K35" i="53066"/>
  <c r="L35" i="53066"/>
  <c r="Q35" i="53066"/>
  <c r="R35" i="53066"/>
  <c r="U35" i="53066"/>
  <c r="V35" i="53066"/>
  <c r="D36" i="53066"/>
  <c r="G36" i="53066"/>
  <c r="H36" i="53066"/>
  <c r="K36" i="53066"/>
  <c r="L36" i="53066"/>
  <c r="Q36" i="53066"/>
  <c r="R36" i="53066"/>
  <c r="U36" i="53066"/>
  <c r="V36" i="53066"/>
  <c r="D37" i="53066"/>
  <c r="E37" i="53066"/>
  <c r="G37" i="53066"/>
  <c r="H37" i="53066"/>
  <c r="I37" i="53066"/>
  <c r="K37" i="53066"/>
  <c r="L37" i="53066"/>
  <c r="M37" i="53066"/>
  <c r="O37" i="53066"/>
  <c r="Q37" i="53066"/>
  <c r="R37" i="53066"/>
  <c r="S37" i="53066"/>
  <c r="U37" i="53066"/>
  <c r="V37" i="53066"/>
  <c r="W37" i="53066"/>
  <c r="Y37" i="53066"/>
  <c r="AA37" i="53066"/>
  <c r="D39" i="53066"/>
  <c r="E39" i="53066"/>
  <c r="G39" i="53066"/>
  <c r="H39" i="53066"/>
  <c r="I39" i="53066"/>
  <c r="K39" i="53066"/>
  <c r="L39" i="53066"/>
  <c r="M39" i="53066"/>
  <c r="O39" i="53066"/>
  <c r="Q39" i="53066"/>
  <c r="R39" i="53066"/>
  <c r="S39" i="53066"/>
  <c r="U39" i="53066"/>
  <c r="V39" i="53066"/>
  <c r="W39" i="53066"/>
  <c r="Y39" i="53066"/>
  <c r="AA39" i="53066"/>
  <c r="D2" i="53068"/>
  <c r="G2" i="53068"/>
  <c r="H2" i="53068"/>
  <c r="K2" i="53068"/>
  <c r="L2" i="53068"/>
  <c r="Q2" i="53068"/>
  <c r="R2" i="53068"/>
  <c r="U2" i="53068"/>
  <c r="V2" i="53068"/>
  <c r="D3" i="53068"/>
  <c r="G3" i="53068"/>
  <c r="H3" i="53068"/>
  <c r="K3" i="53068"/>
  <c r="L3" i="53068"/>
  <c r="Q3" i="53068"/>
  <c r="R3" i="53068"/>
  <c r="U3" i="53068"/>
  <c r="V3" i="53068"/>
  <c r="D4" i="53068"/>
  <c r="G4" i="53068"/>
  <c r="H4" i="53068"/>
  <c r="K4" i="53068"/>
  <c r="L4" i="53068"/>
  <c r="Q4" i="53068"/>
  <c r="R4" i="53068"/>
  <c r="U4" i="53068"/>
  <c r="V4" i="53068"/>
  <c r="D5" i="53068"/>
  <c r="G5" i="53068"/>
  <c r="H5" i="53068"/>
  <c r="K5" i="53068"/>
  <c r="L5" i="53068"/>
  <c r="Q5" i="53068"/>
  <c r="R5" i="53068"/>
  <c r="U5" i="53068"/>
  <c r="V5" i="53068"/>
  <c r="D6" i="53068"/>
  <c r="G6" i="53068"/>
  <c r="H6" i="53068"/>
  <c r="K6" i="53068"/>
  <c r="L6" i="53068"/>
  <c r="Q6" i="53068"/>
  <c r="R6" i="53068"/>
  <c r="U6" i="53068"/>
  <c r="V6" i="53068"/>
  <c r="A11" i="53068"/>
  <c r="E14" i="53068"/>
  <c r="G14" i="53068"/>
  <c r="H14" i="53068"/>
  <c r="I14" i="53068"/>
  <c r="K14" i="53068"/>
  <c r="L14" i="53068"/>
  <c r="M14" i="53068"/>
  <c r="Q14" i="53068"/>
  <c r="R14" i="53068"/>
  <c r="S14" i="53068"/>
  <c r="U14" i="53068"/>
  <c r="V14" i="53068"/>
  <c r="W14" i="53068"/>
  <c r="B16" i="53068"/>
  <c r="D21" i="53068"/>
  <c r="E21" i="53068"/>
  <c r="G21" i="53068"/>
  <c r="H21" i="53068"/>
  <c r="I21" i="53068"/>
  <c r="K21" i="53068"/>
  <c r="L21" i="53068"/>
  <c r="M21" i="53068"/>
  <c r="Q21" i="53068"/>
  <c r="R21" i="53068"/>
  <c r="S21" i="53068"/>
  <c r="U21" i="53068"/>
  <c r="V21" i="53068"/>
  <c r="W21" i="53068"/>
  <c r="D22" i="53068"/>
  <c r="E22" i="53068"/>
  <c r="G22" i="53068"/>
  <c r="H22" i="53068"/>
  <c r="I22" i="53068"/>
  <c r="K22" i="53068"/>
  <c r="L22" i="53068"/>
  <c r="M22" i="53068"/>
  <c r="Q22" i="53068"/>
  <c r="R22" i="53068"/>
  <c r="S22" i="53068"/>
  <c r="U22" i="53068"/>
  <c r="V22" i="53068"/>
  <c r="W22" i="53068"/>
  <c r="D23" i="53068"/>
  <c r="E23" i="53068"/>
  <c r="G23" i="53068"/>
  <c r="H23" i="53068"/>
  <c r="I23" i="53068"/>
  <c r="K23" i="53068"/>
  <c r="L23" i="53068"/>
  <c r="M23" i="53068"/>
  <c r="O23" i="53068"/>
  <c r="Q23" i="53068"/>
  <c r="R23" i="53068"/>
  <c r="S23" i="53068"/>
  <c r="U23" i="53068"/>
  <c r="V23" i="53068"/>
  <c r="W23" i="53068"/>
  <c r="Y23" i="53068"/>
  <c r="AA23" i="53068"/>
  <c r="D27" i="53068"/>
  <c r="E27" i="53068"/>
  <c r="G27" i="53068"/>
  <c r="I27" i="53068"/>
  <c r="K27" i="53068"/>
  <c r="M27" i="53068"/>
  <c r="O27" i="53068"/>
  <c r="Q27" i="53068"/>
  <c r="S27" i="53068"/>
  <c r="U27" i="53068"/>
  <c r="W27" i="53068"/>
  <c r="Y27" i="53068"/>
  <c r="AA27" i="53068"/>
  <c r="G30" i="53068"/>
  <c r="K30" i="53068"/>
  <c r="Q30" i="53068"/>
  <c r="U30" i="53068"/>
  <c r="D32" i="53068"/>
  <c r="G32" i="53068"/>
  <c r="H32" i="53068"/>
  <c r="K32" i="53068"/>
  <c r="L32" i="53068"/>
  <c r="Q32" i="53068"/>
  <c r="R32" i="53068"/>
  <c r="U32" i="53068"/>
  <c r="V32" i="53068"/>
  <c r="D34" i="53068"/>
  <c r="G34" i="53068"/>
  <c r="H34" i="53068"/>
  <c r="K34" i="53068"/>
  <c r="L34" i="53068"/>
  <c r="Q34" i="53068"/>
  <c r="R34" i="53068"/>
  <c r="U34" i="53068"/>
  <c r="V34" i="53068"/>
  <c r="D35" i="53068"/>
  <c r="G35" i="53068"/>
  <c r="H35" i="53068"/>
  <c r="K35" i="53068"/>
  <c r="L35" i="53068"/>
  <c r="Q35" i="53068"/>
  <c r="R35" i="53068"/>
  <c r="U35" i="53068"/>
  <c r="V35" i="53068"/>
  <c r="D36" i="53068"/>
  <c r="G36" i="53068"/>
  <c r="H36" i="53068"/>
  <c r="K36" i="53068"/>
  <c r="L36" i="53068"/>
  <c r="Q36" i="53068"/>
  <c r="R36" i="53068"/>
  <c r="U36" i="53068"/>
  <c r="V36" i="53068"/>
  <c r="D37" i="53068"/>
  <c r="E37" i="53068"/>
  <c r="G37" i="53068"/>
  <c r="H37" i="53068"/>
  <c r="I37" i="53068"/>
  <c r="K37" i="53068"/>
  <c r="L37" i="53068"/>
  <c r="M37" i="53068"/>
  <c r="O37" i="53068"/>
  <c r="Q37" i="53068"/>
  <c r="R37" i="53068"/>
  <c r="S37" i="53068"/>
  <c r="U37" i="53068"/>
  <c r="V37" i="53068"/>
  <c r="W37" i="53068"/>
  <c r="Y37" i="53068"/>
  <c r="AA37" i="53068"/>
  <c r="D39" i="53068"/>
  <c r="E39" i="53068"/>
  <c r="G39" i="53068"/>
  <c r="H39" i="53068"/>
  <c r="I39" i="53068"/>
  <c r="K39" i="53068"/>
  <c r="L39" i="53068"/>
  <c r="M39" i="53068"/>
  <c r="O39" i="53068"/>
  <c r="Q39" i="53068"/>
  <c r="R39" i="53068"/>
  <c r="S39" i="53068"/>
  <c r="U39" i="53068"/>
  <c r="V39" i="53068"/>
  <c r="W39" i="53068"/>
  <c r="Y39" i="53068"/>
  <c r="AA39" i="53068"/>
  <c r="E1" i="53062"/>
  <c r="F1" i="53062"/>
  <c r="G1" i="53062"/>
  <c r="H1" i="53062"/>
  <c r="A5" i="53062"/>
  <c r="C7" i="53062"/>
  <c r="C8" i="53062"/>
  <c r="E8" i="53062"/>
  <c r="F8" i="53062"/>
  <c r="G8" i="53062"/>
  <c r="H8" i="53062"/>
  <c r="C14" i="53062"/>
  <c r="E14" i="53062"/>
  <c r="F14" i="53062"/>
  <c r="G14" i="53062"/>
  <c r="H14" i="53062"/>
  <c r="C15" i="53062"/>
  <c r="E15" i="53062"/>
  <c r="F15" i="53062"/>
  <c r="G15" i="53062"/>
  <c r="H15" i="53062"/>
  <c r="C16" i="53062"/>
  <c r="E16" i="53062"/>
  <c r="F16" i="53062"/>
  <c r="G16" i="53062"/>
  <c r="H16" i="53062"/>
  <c r="I16" i="53062"/>
  <c r="K16" i="53062"/>
  <c r="L16" i="53062"/>
  <c r="L17" i="53062"/>
  <c r="C18" i="53062"/>
  <c r="E18" i="53062"/>
  <c r="F18" i="53062"/>
  <c r="G18" i="53062"/>
  <c r="H18" i="53062"/>
  <c r="I18" i="53062"/>
  <c r="K18" i="53062"/>
  <c r="K20" i="53062"/>
  <c r="C2" i="53063"/>
  <c r="E2" i="53063"/>
  <c r="F2" i="53063"/>
  <c r="I2" i="53063"/>
  <c r="J2" i="53063"/>
  <c r="M2" i="53063"/>
  <c r="N2" i="53063"/>
  <c r="Q2" i="53063"/>
  <c r="R2" i="53063"/>
  <c r="C3" i="53063"/>
  <c r="E3" i="53063"/>
  <c r="F3" i="53063"/>
  <c r="I3" i="53063"/>
  <c r="J3" i="53063"/>
  <c r="M3" i="53063"/>
  <c r="N3" i="53063"/>
  <c r="Q3" i="53063"/>
  <c r="R3" i="53063"/>
  <c r="C4" i="53063"/>
  <c r="E4" i="53063"/>
  <c r="F4" i="53063"/>
  <c r="I4" i="53063"/>
  <c r="J4" i="53063"/>
  <c r="M4" i="53063"/>
  <c r="N4" i="53063"/>
  <c r="Q4" i="53063"/>
  <c r="R4" i="53063"/>
  <c r="C5" i="53063"/>
  <c r="E5" i="53063"/>
  <c r="F5" i="53063"/>
  <c r="I5" i="53063"/>
  <c r="J5" i="53063"/>
  <c r="M5" i="53063"/>
  <c r="N5" i="53063"/>
  <c r="Q5" i="53063"/>
  <c r="R5" i="53063"/>
  <c r="C6" i="53063"/>
  <c r="E6" i="53063"/>
  <c r="F6" i="53063"/>
  <c r="I6" i="53063"/>
  <c r="J6" i="53063"/>
  <c r="M6" i="53063"/>
  <c r="N6" i="53063"/>
  <c r="Q6" i="53063"/>
  <c r="R6" i="53063"/>
  <c r="A11" i="53063"/>
  <c r="C14" i="53063"/>
  <c r="E14" i="53063"/>
  <c r="F14" i="53063"/>
  <c r="G14" i="53063"/>
  <c r="I14" i="53063"/>
  <c r="J14" i="53063"/>
  <c r="K14" i="53063"/>
  <c r="M14" i="53063"/>
  <c r="N14" i="53063"/>
  <c r="O14" i="53063"/>
  <c r="Q14" i="53063"/>
  <c r="R14" i="53063"/>
  <c r="S14" i="53063"/>
  <c r="C21" i="53063"/>
  <c r="E21" i="53063"/>
  <c r="F21" i="53063"/>
  <c r="G21" i="53063"/>
  <c r="I21" i="53063"/>
  <c r="J21" i="53063"/>
  <c r="K21" i="53063"/>
  <c r="M21" i="53063"/>
  <c r="N21" i="53063"/>
  <c r="O21" i="53063"/>
  <c r="Q21" i="53063"/>
  <c r="R21" i="53063"/>
  <c r="S21" i="53063"/>
  <c r="C22" i="53063"/>
  <c r="E22" i="53063"/>
  <c r="F22" i="53063"/>
  <c r="G22" i="53063"/>
  <c r="I22" i="53063"/>
  <c r="J22" i="53063"/>
  <c r="K22" i="53063"/>
  <c r="M22" i="53063"/>
  <c r="N22" i="53063"/>
  <c r="O22" i="53063"/>
  <c r="Q22" i="53063"/>
  <c r="R22" i="53063"/>
  <c r="S22" i="53063"/>
  <c r="C23" i="53063"/>
  <c r="E23" i="53063"/>
  <c r="F23" i="53063"/>
  <c r="G23" i="53063"/>
  <c r="I23" i="53063"/>
  <c r="J23" i="53063"/>
  <c r="K23" i="53063"/>
  <c r="M23" i="53063"/>
  <c r="N23" i="53063"/>
  <c r="O23" i="53063"/>
  <c r="Q23" i="53063"/>
  <c r="R23" i="53063"/>
  <c r="S23" i="53063"/>
  <c r="U23" i="53063"/>
  <c r="W23" i="53063"/>
  <c r="X23" i="53063"/>
  <c r="X24" i="53063"/>
  <c r="E26" i="53063"/>
  <c r="F26" i="53063"/>
  <c r="I26" i="53063"/>
  <c r="J26" i="53063"/>
  <c r="M26" i="53063"/>
  <c r="N26" i="53063"/>
  <c r="Q26" i="53063"/>
  <c r="R26" i="53063"/>
  <c r="C28" i="53063"/>
  <c r="E28" i="53063"/>
  <c r="F28" i="53063"/>
  <c r="I28" i="53063"/>
  <c r="J28" i="53063"/>
  <c r="M28" i="53063"/>
  <c r="N28" i="53063"/>
  <c r="Q28" i="53063"/>
  <c r="R28" i="53063"/>
  <c r="E29" i="53063"/>
  <c r="I29" i="53063"/>
  <c r="M29" i="53063"/>
  <c r="Q29" i="53063"/>
  <c r="C31" i="53063"/>
  <c r="E31" i="53063"/>
  <c r="F31" i="53063"/>
  <c r="I31" i="53063"/>
  <c r="J31" i="53063"/>
  <c r="M31" i="53063"/>
  <c r="N31" i="53063"/>
  <c r="Q31" i="53063"/>
  <c r="R31" i="53063"/>
  <c r="C32" i="53063"/>
  <c r="E32" i="53063"/>
  <c r="F32" i="53063"/>
  <c r="I32" i="53063"/>
  <c r="J32" i="53063"/>
  <c r="M32" i="53063"/>
  <c r="N32" i="53063"/>
  <c r="Q32" i="53063"/>
  <c r="R32" i="53063"/>
  <c r="C33" i="53063"/>
  <c r="E33" i="53063"/>
  <c r="F33" i="53063"/>
  <c r="I33" i="53063"/>
  <c r="J33" i="53063"/>
  <c r="M33" i="53063"/>
  <c r="N33" i="53063"/>
  <c r="Q33" i="53063"/>
  <c r="R33" i="53063"/>
  <c r="C34" i="53063"/>
  <c r="E34" i="53063"/>
  <c r="F34" i="53063"/>
  <c r="I34" i="53063"/>
  <c r="J34" i="53063"/>
  <c r="M34" i="53063"/>
  <c r="N34" i="53063"/>
  <c r="Q34" i="53063"/>
  <c r="R34" i="53063"/>
  <c r="C35" i="53063"/>
  <c r="E35" i="53063"/>
  <c r="F35" i="53063"/>
  <c r="I35" i="53063"/>
  <c r="J35" i="53063"/>
  <c r="M35" i="53063"/>
  <c r="N35" i="53063"/>
  <c r="Q35" i="53063"/>
  <c r="R35" i="53063"/>
  <c r="C36" i="53063"/>
  <c r="E36" i="53063"/>
  <c r="F36" i="53063"/>
  <c r="I36" i="53063"/>
  <c r="J36" i="53063"/>
  <c r="M36" i="53063"/>
  <c r="N36" i="53063"/>
  <c r="Q36" i="53063"/>
  <c r="R36" i="53063"/>
  <c r="C37" i="53063"/>
  <c r="E37" i="53063"/>
  <c r="F37" i="53063"/>
  <c r="I37" i="53063"/>
  <c r="J37" i="53063"/>
  <c r="M37" i="53063"/>
  <c r="N37" i="53063"/>
  <c r="Q37" i="53063"/>
  <c r="R37" i="53063"/>
  <c r="C38" i="53063"/>
  <c r="E38" i="53063"/>
  <c r="F38" i="53063"/>
  <c r="I38" i="53063"/>
  <c r="J38" i="53063"/>
  <c r="M38" i="53063"/>
  <c r="N38" i="53063"/>
  <c r="Q38" i="53063"/>
  <c r="R38" i="53063"/>
  <c r="C39" i="53063"/>
  <c r="E39" i="53063"/>
  <c r="F39" i="53063"/>
  <c r="G39" i="53063"/>
  <c r="I39" i="53063"/>
  <c r="J39" i="53063"/>
  <c r="K39" i="53063"/>
  <c r="M39" i="53063"/>
  <c r="N39" i="53063"/>
  <c r="O39" i="53063"/>
  <c r="Q39" i="53063"/>
  <c r="R39" i="53063"/>
  <c r="S39" i="53063"/>
  <c r="U39" i="53063"/>
  <c r="W39" i="53063"/>
  <c r="C41" i="53063"/>
  <c r="E41" i="53063"/>
  <c r="F41" i="53063"/>
  <c r="G41" i="53063"/>
  <c r="I41" i="53063"/>
  <c r="J41" i="53063"/>
  <c r="K41" i="53063"/>
  <c r="M41" i="53063"/>
  <c r="N41" i="53063"/>
  <c r="O41" i="53063"/>
  <c r="Q41" i="53063"/>
  <c r="R41" i="53063"/>
  <c r="S41" i="53063"/>
  <c r="U41" i="53063"/>
  <c r="W41" i="53063"/>
  <c r="E43" i="53063"/>
  <c r="I43" i="53063"/>
  <c r="M43" i="53063"/>
  <c r="Q43" i="53063"/>
  <c r="E45" i="53063"/>
  <c r="I45" i="53063"/>
  <c r="M45" i="53063"/>
  <c r="Q45" i="53063"/>
  <c r="E1" i="53060"/>
  <c r="F1" i="53060"/>
  <c r="G1" i="53060"/>
  <c r="H1" i="53060"/>
  <c r="A5" i="53060"/>
  <c r="C7" i="53060"/>
  <c r="C8" i="53060"/>
  <c r="E8" i="53060"/>
  <c r="F8" i="53060"/>
  <c r="G8" i="53060"/>
  <c r="H8" i="53060"/>
  <c r="E14" i="53060"/>
  <c r="F14" i="53060"/>
  <c r="G14" i="53060"/>
  <c r="H14" i="53060"/>
  <c r="E15" i="53060"/>
  <c r="F15" i="53060"/>
  <c r="G15" i="53060"/>
  <c r="H15" i="53060"/>
  <c r="E16" i="53060"/>
  <c r="F16" i="53060"/>
  <c r="G16" i="53060"/>
  <c r="H16" i="53060"/>
  <c r="I16" i="53060"/>
  <c r="K16" i="53060"/>
  <c r="L16" i="53060"/>
  <c r="L17" i="53060"/>
  <c r="F20" i="53060"/>
  <c r="G20" i="53060"/>
  <c r="H20" i="53060"/>
  <c r="F24" i="53060"/>
  <c r="G24" i="53060"/>
  <c r="H24" i="53060"/>
  <c r="E25" i="53060"/>
  <c r="F25" i="53060"/>
  <c r="G25" i="53060"/>
  <c r="H25" i="53060"/>
  <c r="E26" i="53060"/>
  <c r="F26" i="53060"/>
  <c r="G26" i="53060"/>
  <c r="H26" i="53060"/>
  <c r="E27" i="53060"/>
  <c r="F27" i="53060"/>
  <c r="G27" i="53060"/>
  <c r="H27" i="53060"/>
  <c r="E28" i="53060"/>
  <c r="F28" i="53060"/>
  <c r="G28" i="53060"/>
  <c r="H28" i="53060"/>
  <c r="E29" i="53060"/>
  <c r="F29" i="53060"/>
  <c r="G29" i="53060"/>
  <c r="H29" i="53060"/>
  <c r="I29" i="53060"/>
  <c r="K29" i="53060"/>
  <c r="E31" i="53060"/>
  <c r="F31" i="53060"/>
  <c r="G31" i="53060"/>
  <c r="H31" i="53060"/>
  <c r="I31" i="53060"/>
  <c r="K31" i="53060"/>
  <c r="K33" i="53060"/>
  <c r="E8" i="53064"/>
  <c r="F8" i="53064"/>
  <c r="E9" i="53064"/>
  <c r="F9" i="53064"/>
  <c r="E10" i="53064"/>
  <c r="F10" i="53064"/>
  <c r="E11" i="53064"/>
  <c r="F11" i="53064"/>
  <c r="E12" i="53064"/>
  <c r="F12" i="53064"/>
  <c r="E13" i="53064"/>
  <c r="F13" i="53064"/>
  <c r="B14" i="53064"/>
  <c r="C14" i="53064"/>
  <c r="D14" i="53064"/>
  <c r="E14" i="53064"/>
  <c r="F14" i="53064"/>
  <c r="C3" i="53057"/>
  <c r="G3" i="53057"/>
  <c r="C4" i="53057"/>
  <c r="G4" i="53057"/>
  <c r="C5" i="53057"/>
  <c r="G5" i="53057"/>
  <c r="C6" i="53057"/>
  <c r="G6" i="53057"/>
  <c r="C7" i="53057"/>
  <c r="G7" i="53057"/>
  <c r="C8" i="53057"/>
  <c r="G8" i="53057"/>
  <c r="B8" i="53053"/>
  <c r="B14" i="53053"/>
  <c r="D33" i="53053"/>
  <c r="E33" i="53053"/>
  <c r="B36" i="53053"/>
  <c r="C36" i="53053"/>
  <c r="D36" i="53053"/>
  <c r="B38" i="53053"/>
  <c r="C38" i="53053"/>
  <c r="D38" i="53053"/>
  <c r="B44" i="53053"/>
  <c r="C44" i="53053"/>
  <c r="D44" i="53053"/>
  <c r="A18" i="3"/>
  <c r="M21" i="3"/>
  <c r="N21" i="3"/>
  <c r="O21" i="3"/>
  <c r="P21" i="3"/>
  <c r="S21" i="3"/>
  <c r="T21" i="3"/>
  <c r="U21" i="3"/>
  <c r="V21" i="3"/>
  <c r="D30" i="3"/>
  <c r="G30" i="3"/>
  <c r="H30" i="3"/>
  <c r="I30" i="3"/>
  <c r="J30" i="3"/>
  <c r="M30" i="3"/>
  <c r="D31" i="3"/>
  <c r="G31" i="3"/>
  <c r="H31" i="3"/>
  <c r="I31" i="3"/>
  <c r="J31" i="3"/>
  <c r="M31" i="3"/>
  <c r="C32" i="3"/>
  <c r="D32" i="3"/>
  <c r="E32" i="3"/>
  <c r="G32" i="3"/>
  <c r="H32" i="3"/>
  <c r="I32" i="3"/>
  <c r="J32" i="3"/>
  <c r="K32" i="3"/>
  <c r="M32" i="3"/>
  <c r="N32" i="3"/>
  <c r="O32" i="3"/>
  <c r="P32" i="3"/>
  <c r="Q32" i="3"/>
  <c r="S32" i="3"/>
  <c r="T32" i="3"/>
  <c r="U32" i="3"/>
  <c r="V32" i="3"/>
  <c r="W32" i="3"/>
  <c r="Y32" i="3"/>
  <c r="Z32" i="3"/>
  <c r="C33" i="3"/>
  <c r="D33" i="3"/>
  <c r="E33" i="3"/>
  <c r="G33" i="3"/>
  <c r="H33" i="3"/>
  <c r="I33" i="3"/>
  <c r="J33" i="3"/>
  <c r="K33" i="3"/>
  <c r="M33" i="3"/>
  <c r="N33" i="3"/>
  <c r="O33" i="3"/>
  <c r="P33" i="3"/>
  <c r="Q33" i="3"/>
  <c r="S33" i="3"/>
  <c r="T33" i="3"/>
  <c r="U33" i="3"/>
  <c r="V33" i="3"/>
  <c r="W33" i="3"/>
  <c r="Y33" i="3"/>
  <c r="I36" i="3"/>
  <c r="J36" i="3"/>
  <c r="M36" i="3"/>
  <c r="I37" i="3"/>
  <c r="J37" i="3"/>
  <c r="M37" i="3"/>
  <c r="I38" i="3"/>
  <c r="J38" i="3"/>
  <c r="K38" i="3"/>
  <c r="M38" i="3"/>
  <c r="N38" i="3"/>
  <c r="O38" i="3"/>
  <c r="P38" i="3"/>
  <c r="Q38" i="3"/>
  <c r="S38" i="3"/>
  <c r="T38" i="3"/>
  <c r="U38" i="3"/>
  <c r="V38" i="3"/>
  <c r="W38" i="3"/>
  <c r="Y38" i="3"/>
  <c r="Z38" i="3"/>
  <c r="I39" i="3"/>
  <c r="J39" i="3"/>
  <c r="K39" i="3"/>
  <c r="M39" i="3"/>
  <c r="N39" i="3"/>
  <c r="O39" i="3"/>
  <c r="P39" i="3"/>
  <c r="Q39" i="3"/>
  <c r="S39" i="3"/>
  <c r="T39" i="3"/>
  <c r="U39" i="3"/>
  <c r="V39" i="3"/>
  <c r="W39" i="3"/>
  <c r="Y39" i="3"/>
  <c r="E40" i="3"/>
  <c r="G40" i="3"/>
  <c r="H40" i="3"/>
  <c r="I40" i="3"/>
  <c r="J40" i="3"/>
  <c r="K40" i="3"/>
  <c r="M40" i="3"/>
  <c r="N40" i="3"/>
  <c r="O40" i="3"/>
  <c r="P40" i="3"/>
  <c r="Q40" i="3"/>
  <c r="S40" i="3"/>
  <c r="T40" i="3"/>
  <c r="U40" i="3"/>
  <c r="V40" i="3"/>
  <c r="W40" i="3"/>
  <c r="Y40" i="3"/>
  <c r="M43" i="3"/>
  <c r="M44" i="3"/>
  <c r="M45" i="3"/>
  <c r="N45" i="3"/>
  <c r="O45" i="3"/>
  <c r="P45" i="3"/>
  <c r="Q45" i="3"/>
  <c r="S45" i="3"/>
  <c r="T45" i="3"/>
  <c r="U45" i="3"/>
  <c r="V45" i="3"/>
  <c r="W45" i="3"/>
  <c r="Y45" i="3"/>
  <c r="Z45" i="3"/>
  <c r="M46" i="3"/>
  <c r="N46" i="3"/>
  <c r="O46" i="3"/>
  <c r="P46" i="3"/>
  <c r="Q46" i="3"/>
  <c r="S46" i="3"/>
  <c r="T46" i="3"/>
  <c r="U46" i="3"/>
  <c r="V46" i="3"/>
  <c r="W46" i="3"/>
  <c r="Y46" i="3"/>
  <c r="M49" i="3"/>
  <c r="N49" i="3"/>
  <c r="O49" i="3"/>
  <c r="P49" i="3"/>
  <c r="S49" i="3"/>
  <c r="T49" i="3"/>
  <c r="U49" i="3"/>
  <c r="V49" i="3"/>
  <c r="M50" i="3"/>
  <c r="N50" i="3"/>
  <c r="O50" i="3"/>
  <c r="P50" i="3"/>
  <c r="S50" i="3"/>
  <c r="T50" i="3"/>
  <c r="U50" i="3"/>
  <c r="V50" i="3"/>
  <c r="M51" i="3"/>
  <c r="N51" i="3"/>
  <c r="O51" i="3"/>
  <c r="P51" i="3"/>
  <c r="Q51" i="3"/>
  <c r="S51" i="3"/>
  <c r="T51" i="3"/>
  <c r="U51" i="3"/>
  <c r="V51" i="3"/>
  <c r="W51" i="3"/>
  <c r="Y51" i="3"/>
  <c r="Z51" i="3"/>
  <c r="M52" i="3"/>
  <c r="N52" i="3"/>
  <c r="O52" i="3"/>
  <c r="P52" i="3"/>
  <c r="Q52" i="3"/>
  <c r="S52" i="3"/>
  <c r="T52" i="3"/>
  <c r="U52" i="3"/>
  <c r="V52" i="3"/>
  <c r="W52" i="3"/>
  <c r="Y52" i="3"/>
  <c r="M55" i="3"/>
  <c r="N55" i="3"/>
  <c r="O55" i="3"/>
  <c r="P55" i="3"/>
  <c r="S55" i="3"/>
  <c r="T55" i="3"/>
  <c r="U55" i="3"/>
  <c r="V55" i="3"/>
  <c r="M56" i="3"/>
  <c r="N56" i="3"/>
  <c r="O56" i="3"/>
  <c r="P56" i="3"/>
  <c r="S56" i="3"/>
  <c r="T56" i="3"/>
  <c r="U56" i="3"/>
  <c r="V56" i="3"/>
  <c r="M57" i="3"/>
  <c r="N57" i="3"/>
  <c r="O57" i="3"/>
  <c r="P57" i="3"/>
  <c r="Q57" i="3"/>
  <c r="S57" i="3"/>
  <c r="T57" i="3"/>
  <c r="U57" i="3"/>
  <c r="V57" i="3"/>
  <c r="W57" i="3"/>
  <c r="Y57" i="3"/>
  <c r="Z57" i="3"/>
  <c r="M58" i="3"/>
  <c r="N58" i="3"/>
  <c r="O58" i="3"/>
  <c r="P58" i="3"/>
  <c r="Q58" i="3"/>
  <c r="S58" i="3"/>
  <c r="T58" i="3"/>
  <c r="U58" i="3"/>
  <c r="V58" i="3"/>
  <c r="W58" i="3"/>
  <c r="Y58" i="3"/>
  <c r="M59" i="3"/>
  <c r="N59" i="3"/>
  <c r="O59" i="3"/>
  <c r="P59" i="3"/>
  <c r="Q59" i="3"/>
  <c r="S59" i="3"/>
  <c r="T59" i="3"/>
  <c r="U59" i="3"/>
  <c r="V59" i="3"/>
  <c r="W59" i="3"/>
  <c r="Y59" i="3"/>
  <c r="E62" i="3"/>
  <c r="G62" i="3"/>
  <c r="K62" i="3"/>
  <c r="Y62" i="3"/>
  <c r="K63" i="3"/>
  <c r="Y63" i="3"/>
  <c r="K64" i="3"/>
  <c r="Y64" i="3"/>
  <c r="B65" i="3"/>
  <c r="C65" i="3"/>
  <c r="D65" i="3"/>
  <c r="E65" i="3"/>
  <c r="G65" i="3"/>
  <c r="H65" i="3"/>
  <c r="I65" i="3"/>
  <c r="J65" i="3"/>
  <c r="K65" i="3"/>
  <c r="Y65" i="3"/>
  <c r="Z65" i="3"/>
  <c r="G68" i="3"/>
  <c r="K68" i="3"/>
  <c r="Y68" i="3"/>
  <c r="Z68" i="3"/>
  <c r="C69" i="3"/>
  <c r="D69" i="3"/>
  <c r="E69" i="3"/>
  <c r="G69" i="3"/>
  <c r="H69" i="3"/>
  <c r="I69" i="3"/>
  <c r="J69" i="3"/>
  <c r="K69" i="3"/>
  <c r="Y69" i="3"/>
  <c r="H72" i="3"/>
  <c r="I72" i="3"/>
  <c r="H74" i="3"/>
  <c r="I74" i="3"/>
  <c r="H75" i="3"/>
  <c r="I75" i="3"/>
  <c r="J75" i="3"/>
  <c r="K75" i="3"/>
  <c r="Y75" i="3"/>
  <c r="Z75" i="3"/>
  <c r="G76" i="3"/>
  <c r="H76" i="3"/>
  <c r="I76" i="3"/>
  <c r="J76" i="3"/>
  <c r="K76" i="3"/>
  <c r="Y76" i="3"/>
  <c r="C82" i="3"/>
  <c r="D82" i="3"/>
  <c r="G82" i="3"/>
  <c r="H82" i="3"/>
  <c r="I82" i="3"/>
  <c r="J82" i="3"/>
  <c r="M82" i="3"/>
  <c r="C83" i="3"/>
  <c r="D83" i="3"/>
  <c r="G83" i="3"/>
  <c r="H83" i="3"/>
  <c r="I83" i="3"/>
  <c r="J83" i="3"/>
  <c r="M83" i="3"/>
  <c r="G87" i="3"/>
  <c r="H87" i="3"/>
  <c r="I87" i="3"/>
  <c r="J87" i="3"/>
  <c r="E90" i="3"/>
  <c r="K90" i="3"/>
  <c r="M90" i="3"/>
  <c r="E91" i="3"/>
  <c r="K91" i="3"/>
  <c r="E92" i="3"/>
  <c r="K92" i="3"/>
  <c r="B93" i="3"/>
  <c r="C93" i="3"/>
  <c r="D93" i="3"/>
  <c r="E93" i="3"/>
  <c r="G93" i="3"/>
  <c r="H93" i="3"/>
  <c r="I93" i="3"/>
  <c r="J93" i="3"/>
  <c r="K93" i="3"/>
  <c r="M93" i="3"/>
  <c r="N93" i="3"/>
  <c r="O93" i="3"/>
  <c r="P93" i="3"/>
  <c r="Q93" i="3"/>
  <c r="C94" i="3"/>
  <c r="D94" i="3"/>
  <c r="E94" i="3"/>
  <c r="G94" i="3"/>
  <c r="H94" i="3"/>
  <c r="I94" i="3"/>
  <c r="J94" i="3"/>
  <c r="K94" i="3"/>
  <c r="M94" i="3"/>
  <c r="N94" i="3"/>
  <c r="O94" i="3"/>
  <c r="P94" i="3"/>
  <c r="Q94" i="3"/>
  <c r="Z95" i="3"/>
  <c r="D96" i="3"/>
  <c r="G96" i="3"/>
  <c r="H96" i="3"/>
  <c r="I96" i="3"/>
  <c r="J96" i="3"/>
  <c r="M96" i="3"/>
  <c r="N96" i="3"/>
  <c r="O96" i="3"/>
  <c r="P96" i="3"/>
  <c r="Z97" i="3"/>
  <c r="D98" i="3"/>
  <c r="E98" i="3"/>
  <c r="G98" i="3"/>
  <c r="H98" i="3"/>
  <c r="I98" i="3"/>
  <c r="J98" i="3"/>
  <c r="K98" i="3"/>
  <c r="M98" i="3"/>
  <c r="N98" i="3"/>
  <c r="O98" i="3"/>
  <c r="P98" i="3"/>
  <c r="Q98" i="3"/>
  <c r="Y98" i="3"/>
  <c r="C99" i="3"/>
  <c r="D99" i="3"/>
  <c r="E99" i="3"/>
  <c r="G99" i="3"/>
  <c r="H99" i="3"/>
  <c r="I99" i="3"/>
  <c r="J99" i="3"/>
  <c r="K99" i="3"/>
  <c r="M99" i="3"/>
  <c r="N99" i="3"/>
  <c r="O99" i="3"/>
  <c r="P99" i="3"/>
  <c r="Q99" i="3"/>
  <c r="Y99" i="3"/>
  <c r="C101" i="3"/>
  <c r="D101" i="3"/>
  <c r="E101" i="3"/>
  <c r="G101" i="3"/>
  <c r="H101" i="3"/>
  <c r="I101" i="3"/>
  <c r="J101" i="3"/>
  <c r="K101" i="3"/>
  <c r="M101" i="3"/>
  <c r="N101" i="3"/>
  <c r="O101" i="3"/>
  <c r="P101" i="3"/>
  <c r="Q101" i="3"/>
  <c r="S101" i="3"/>
  <c r="T101" i="3"/>
  <c r="U101" i="3"/>
  <c r="V101" i="3"/>
  <c r="W101" i="3"/>
  <c r="Y101" i="3"/>
  <c r="C104" i="3"/>
  <c r="D104" i="3"/>
  <c r="E104" i="3"/>
  <c r="G104" i="3"/>
  <c r="H104" i="3"/>
  <c r="I104" i="3"/>
  <c r="J104" i="3"/>
  <c r="K104" i="3"/>
  <c r="M104" i="3"/>
  <c r="N104" i="3"/>
  <c r="O104" i="3"/>
  <c r="P104" i="3"/>
  <c r="Q104" i="3"/>
  <c r="S104" i="3"/>
  <c r="T104" i="3"/>
  <c r="U104" i="3"/>
  <c r="V104" i="3"/>
  <c r="W104" i="3"/>
  <c r="Y104" i="3"/>
  <c r="C105" i="3"/>
  <c r="D105" i="3"/>
  <c r="E105" i="3"/>
  <c r="G105" i="3"/>
  <c r="H105" i="3"/>
  <c r="I105" i="3"/>
  <c r="J105" i="3"/>
  <c r="K105" i="3"/>
  <c r="M105" i="3"/>
  <c r="N105" i="3"/>
  <c r="O105" i="3"/>
  <c r="P105" i="3"/>
  <c r="Q105" i="3"/>
  <c r="S105" i="3"/>
  <c r="T105" i="3"/>
  <c r="U105" i="3"/>
  <c r="V105" i="3"/>
  <c r="W105" i="3"/>
  <c r="Y105" i="3"/>
  <c r="C106" i="3"/>
  <c r="D106" i="3"/>
  <c r="E106" i="3"/>
  <c r="G106" i="3"/>
  <c r="H106" i="3"/>
  <c r="I106" i="3"/>
  <c r="J106" i="3"/>
  <c r="K106" i="3"/>
  <c r="M106" i="3"/>
  <c r="N106" i="3"/>
  <c r="O106" i="3"/>
  <c r="P106" i="3"/>
  <c r="Q106" i="3"/>
  <c r="S106" i="3"/>
  <c r="T106" i="3"/>
  <c r="U106" i="3"/>
  <c r="V106" i="3"/>
  <c r="W106" i="3"/>
  <c r="Y106" i="3"/>
  <c r="C108" i="3"/>
  <c r="D108" i="3"/>
  <c r="E108" i="3"/>
  <c r="G108" i="3"/>
  <c r="H108" i="3"/>
  <c r="I108" i="3"/>
  <c r="J108" i="3"/>
  <c r="K108" i="3"/>
  <c r="M108" i="3"/>
  <c r="N108" i="3"/>
  <c r="O108" i="3"/>
  <c r="P108" i="3"/>
  <c r="Q108" i="3"/>
  <c r="S108" i="3"/>
  <c r="T108" i="3"/>
  <c r="U108" i="3"/>
  <c r="V108" i="3"/>
  <c r="W108" i="3"/>
  <c r="Y108" i="3"/>
  <c r="C109" i="3"/>
  <c r="D109" i="3"/>
  <c r="E109" i="3"/>
  <c r="G109" i="3"/>
  <c r="H109" i="3"/>
  <c r="I109" i="3"/>
  <c r="J109" i="3"/>
  <c r="K109" i="3"/>
  <c r="M109" i="3"/>
  <c r="N109" i="3"/>
  <c r="O109" i="3"/>
  <c r="P109" i="3"/>
  <c r="Q109" i="3"/>
  <c r="S109" i="3"/>
  <c r="T109" i="3"/>
  <c r="U109" i="3"/>
  <c r="V109" i="3"/>
  <c r="W109" i="3"/>
  <c r="Y109" i="3"/>
  <c r="C110" i="3"/>
  <c r="D110" i="3"/>
  <c r="E110" i="3"/>
  <c r="G110" i="3"/>
  <c r="H110" i="3"/>
  <c r="I110" i="3"/>
  <c r="J110" i="3"/>
  <c r="K110" i="3"/>
  <c r="M110" i="3"/>
  <c r="N110" i="3"/>
  <c r="O110" i="3"/>
  <c r="P110" i="3"/>
  <c r="Q110" i="3"/>
  <c r="S110" i="3"/>
  <c r="T110" i="3"/>
  <c r="U110" i="3"/>
  <c r="V110" i="3"/>
  <c r="W110" i="3"/>
  <c r="Y110" i="3"/>
  <c r="D2" i="53071"/>
  <c r="G2" i="53071"/>
  <c r="H2" i="53071"/>
  <c r="K2" i="53071"/>
  <c r="L2" i="53071"/>
  <c r="Q2" i="53071"/>
  <c r="R2" i="53071"/>
  <c r="U2" i="53071"/>
  <c r="V2" i="53071"/>
  <c r="D3" i="53071"/>
  <c r="G3" i="53071"/>
  <c r="H3" i="53071"/>
  <c r="K3" i="53071"/>
  <c r="L3" i="53071"/>
  <c r="Q3" i="53071"/>
  <c r="R3" i="53071"/>
  <c r="U3" i="53071"/>
  <c r="V3" i="53071"/>
  <c r="D4" i="53071"/>
  <c r="G4" i="53071"/>
  <c r="H4" i="53071"/>
  <c r="K4" i="53071"/>
  <c r="L4" i="53071"/>
  <c r="Q4" i="53071"/>
  <c r="R4" i="53071"/>
  <c r="U4" i="53071"/>
  <c r="V4" i="53071"/>
  <c r="D5" i="53071"/>
  <c r="G5" i="53071"/>
  <c r="H5" i="53071"/>
  <c r="K5" i="53071"/>
  <c r="L5" i="53071"/>
  <c r="Q5" i="53071"/>
  <c r="R5" i="53071"/>
  <c r="U5" i="53071"/>
  <c r="V5" i="53071"/>
  <c r="D6" i="53071"/>
  <c r="G6" i="53071"/>
  <c r="H6" i="53071"/>
  <c r="K6" i="53071"/>
  <c r="L6" i="53071"/>
  <c r="Q6" i="53071"/>
  <c r="R6" i="53071"/>
  <c r="U6" i="53071"/>
  <c r="V6" i="53071"/>
  <c r="A11" i="53071"/>
  <c r="D14" i="53071"/>
  <c r="E14" i="53071"/>
  <c r="G14" i="53071"/>
  <c r="H14" i="53071"/>
  <c r="I14" i="53071"/>
  <c r="K14" i="53071"/>
  <c r="L14" i="53071"/>
  <c r="M14" i="53071"/>
  <c r="Q14" i="53071"/>
  <c r="R14" i="53071"/>
  <c r="S14" i="53071"/>
  <c r="U14" i="53071"/>
  <c r="V14" i="53071"/>
  <c r="W14" i="53071"/>
  <c r="B17" i="53071"/>
  <c r="D21" i="53071"/>
  <c r="E21" i="53071"/>
  <c r="G21" i="53071"/>
  <c r="H21" i="53071"/>
  <c r="I21" i="53071"/>
  <c r="K21" i="53071"/>
  <c r="L21" i="53071"/>
  <c r="M21" i="53071"/>
  <c r="Q21" i="53071"/>
  <c r="R21" i="53071"/>
  <c r="S21" i="53071"/>
  <c r="U21" i="53071"/>
  <c r="V21" i="53071"/>
  <c r="W21" i="53071"/>
  <c r="D22" i="53071"/>
  <c r="E22" i="53071"/>
  <c r="G22" i="53071"/>
  <c r="H22" i="53071"/>
  <c r="I22" i="53071"/>
  <c r="K22" i="53071"/>
  <c r="L22" i="53071"/>
  <c r="M22" i="53071"/>
  <c r="Q22" i="53071"/>
  <c r="R22" i="53071"/>
  <c r="S22" i="53071"/>
  <c r="U22" i="53071"/>
  <c r="V22" i="53071"/>
  <c r="W22" i="53071"/>
  <c r="D23" i="53071"/>
  <c r="E23" i="53071"/>
  <c r="G23" i="53071"/>
  <c r="H23" i="53071"/>
  <c r="I23" i="53071"/>
  <c r="K23" i="53071"/>
  <c r="L23" i="53071"/>
  <c r="M23" i="53071"/>
  <c r="O23" i="53071"/>
  <c r="Q23" i="53071"/>
  <c r="R23" i="53071"/>
  <c r="S23" i="53071"/>
  <c r="U23" i="53071"/>
  <c r="V23" i="53071"/>
  <c r="W23" i="53071"/>
  <c r="Y23" i="53071"/>
  <c r="AA23" i="53071"/>
  <c r="D27" i="53071"/>
  <c r="E27" i="53071"/>
  <c r="G27" i="53071"/>
  <c r="I27" i="53071"/>
  <c r="K27" i="53071"/>
  <c r="M27" i="53071"/>
  <c r="O27" i="53071"/>
  <c r="Q27" i="53071"/>
  <c r="S27" i="53071"/>
  <c r="U27" i="53071"/>
  <c r="W27" i="53071"/>
  <c r="Y27" i="53071"/>
  <c r="AA27" i="53071"/>
  <c r="G30" i="53071"/>
  <c r="K30" i="53071"/>
  <c r="Q30" i="53071"/>
  <c r="U30" i="53071"/>
  <c r="G31" i="53071"/>
  <c r="H31" i="53071"/>
  <c r="K31" i="53071"/>
  <c r="L31" i="53071"/>
  <c r="Q31" i="53071"/>
  <c r="R31" i="53071"/>
  <c r="U31" i="53071"/>
  <c r="V31" i="53071"/>
  <c r="D32" i="53071"/>
  <c r="G32" i="53071"/>
  <c r="H32" i="53071"/>
  <c r="K32" i="53071"/>
  <c r="L32" i="53071"/>
  <c r="Q32" i="53071"/>
  <c r="R32" i="53071"/>
  <c r="U32" i="53071"/>
  <c r="V32" i="53071"/>
  <c r="D34" i="53071"/>
  <c r="G34" i="53071"/>
  <c r="H34" i="53071"/>
  <c r="K34" i="53071"/>
  <c r="L34" i="53071"/>
  <c r="Q34" i="53071"/>
  <c r="R34" i="53071"/>
  <c r="U34" i="53071"/>
  <c r="V34" i="53071"/>
  <c r="D35" i="53071"/>
  <c r="G35" i="53071"/>
  <c r="H35" i="53071"/>
  <c r="K35" i="53071"/>
  <c r="L35" i="53071"/>
  <c r="Q35" i="53071"/>
  <c r="R35" i="53071"/>
  <c r="U35" i="53071"/>
  <c r="V35" i="53071"/>
  <c r="D36" i="53071"/>
  <c r="G36" i="53071"/>
  <c r="H36" i="53071"/>
  <c r="K36" i="53071"/>
  <c r="L36" i="53071"/>
  <c r="Q36" i="53071"/>
  <c r="R36" i="53071"/>
  <c r="U36" i="53071"/>
  <c r="V36" i="53071"/>
  <c r="D37" i="53071"/>
  <c r="E37" i="53071"/>
  <c r="G37" i="53071"/>
  <c r="H37" i="53071"/>
  <c r="I37" i="53071"/>
  <c r="K37" i="53071"/>
  <c r="L37" i="53071"/>
  <c r="M37" i="53071"/>
  <c r="O37" i="53071"/>
  <c r="Q37" i="53071"/>
  <c r="R37" i="53071"/>
  <c r="S37" i="53071"/>
  <c r="U37" i="53071"/>
  <c r="V37" i="53071"/>
  <c r="W37" i="53071"/>
  <c r="Y37" i="53071"/>
  <c r="AA37" i="53071"/>
  <c r="D39" i="53071"/>
  <c r="E39" i="53071"/>
  <c r="G39" i="53071"/>
  <c r="H39" i="53071"/>
  <c r="I39" i="53071"/>
  <c r="K39" i="53071"/>
  <c r="L39" i="53071"/>
  <c r="M39" i="53071"/>
  <c r="O39" i="53071"/>
  <c r="Q39" i="53071"/>
  <c r="R39" i="53071"/>
  <c r="S39" i="53071"/>
  <c r="U39" i="53071"/>
  <c r="V39" i="53071"/>
  <c r="W39" i="53071"/>
  <c r="Y39" i="53071"/>
  <c r="AA39" i="53071"/>
  <c r="D2" i="53072"/>
  <c r="G2" i="53072"/>
  <c r="H2" i="53072"/>
  <c r="K2" i="53072"/>
  <c r="L2" i="53072"/>
  <c r="Q2" i="53072"/>
  <c r="R2" i="53072"/>
  <c r="U2" i="53072"/>
  <c r="V2" i="53072"/>
  <c r="D3" i="53072"/>
  <c r="G3" i="53072"/>
  <c r="H3" i="53072"/>
  <c r="K3" i="53072"/>
  <c r="L3" i="53072"/>
  <c r="Q3" i="53072"/>
  <c r="R3" i="53072"/>
  <c r="U3" i="53072"/>
  <c r="V3" i="53072"/>
  <c r="D4" i="53072"/>
  <c r="G4" i="53072"/>
  <c r="H4" i="53072"/>
  <c r="K4" i="53072"/>
  <c r="L4" i="53072"/>
  <c r="Q4" i="53072"/>
  <c r="R4" i="53072"/>
  <c r="U4" i="53072"/>
  <c r="V4" i="53072"/>
  <c r="D5" i="53072"/>
  <c r="G5" i="53072"/>
  <c r="H5" i="53072"/>
  <c r="K5" i="53072"/>
  <c r="L5" i="53072"/>
  <c r="Q5" i="53072"/>
  <c r="R5" i="53072"/>
  <c r="U5" i="53072"/>
  <c r="V5" i="53072"/>
  <c r="D6" i="53072"/>
  <c r="G6" i="53072"/>
  <c r="H6" i="53072"/>
  <c r="K6" i="53072"/>
  <c r="L6" i="53072"/>
  <c r="Q6" i="53072"/>
  <c r="R6" i="53072"/>
  <c r="U6" i="53072"/>
  <c r="V6" i="53072"/>
  <c r="A11" i="53072"/>
  <c r="D14" i="53072"/>
  <c r="E14" i="53072"/>
  <c r="G14" i="53072"/>
  <c r="H14" i="53072"/>
  <c r="I14" i="53072"/>
  <c r="K14" i="53072"/>
  <c r="L14" i="53072"/>
  <c r="M14" i="53072"/>
  <c r="Q14" i="53072"/>
  <c r="R14" i="53072"/>
  <c r="S14" i="53072"/>
  <c r="U14" i="53072"/>
  <c r="V14" i="53072"/>
  <c r="W14" i="53072"/>
  <c r="B17" i="53072"/>
  <c r="D21" i="53072"/>
  <c r="E21" i="53072"/>
  <c r="G21" i="53072"/>
  <c r="H21" i="53072"/>
  <c r="I21" i="53072"/>
  <c r="K21" i="53072"/>
  <c r="L21" i="53072"/>
  <c r="M21" i="53072"/>
  <c r="Q21" i="53072"/>
  <c r="R21" i="53072"/>
  <c r="S21" i="53072"/>
  <c r="U21" i="53072"/>
  <c r="V21" i="53072"/>
  <c r="W21" i="53072"/>
  <c r="D22" i="53072"/>
  <c r="E22" i="53072"/>
  <c r="G22" i="53072"/>
  <c r="H22" i="53072"/>
  <c r="I22" i="53072"/>
  <c r="K22" i="53072"/>
  <c r="L22" i="53072"/>
  <c r="M22" i="53072"/>
  <c r="Q22" i="53072"/>
  <c r="R22" i="53072"/>
  <c r="S22" i="53072"/>
  <c r="U22" i="53072"/>
  <c r="V22" i="53072"/>
  <c r="W22" i="53072"/>
  <c r="D23" i="53072"/>
  <c r="E23" i="53072"/>
  <c r="G23" i="53072"/>
  <c r="H23" i="53072"/>
  <c r="I23" i="53072"/>
  <c r="K23" i="53072"/>
  <c r="L23" i="53072"/>
  <c r="M23" i="53072"/>
  <c r="O23" i="53072"/>
  <c r="Q23" i="53072"/>
  <c r="R23" i="53072"/>
  <c r="S23" i="53072"/>
  <c r="U23" i="53072"/>
  <c r="V23" i="53072"/>
  <c r="W23" i="53072"/>
  <c r="Y23" i="53072"/>
  <c r="AA23" i="53072"/>
  <c r="D27" i="53072"/>
  <c r="E27" i="53072"/>
  <c r="G27" i="53072"/>
  <c r="I27" i="53072"/>
  <c r="K27" i="53072"/>
  <c r="M27" i="53072"/>
  <c r="O27" i="53072"/>
  <c r="Q27" i="53072"/>
  <c r="S27" i="53072"/>
  <c r="U27" i="53072"/>
  <c r="W27" i="53072"/>
  <c r="Y27" i="53072"/>
  <c r="AA27" i="53072"/>
  <c r="G30" i="53072"/>
  <c r="K30" i="53072"/>
  <c r="Q30" i="53072"/>
  <c r="U30" i="53072"/>
  <c r="G31" i="53072"/>
  <c r="H31" i="53072"/>
  <c r="K31" i="53072"/>
  <c r="L31" i="53072"/>
  <c r="Q31" i="53072"/>
  <c r="R31" i="53072"/>
  <c r="U31" i="53072"/>
  <c r="V31" i="53072"/>
  <c r="D32" i="53072"/>
  <c r="G32" i="53072"/>
  <c r="H32" i="53072"/>
  <c r="K32" i="53072"/>
  <c r="L32" i="53072"/>
  <c r="Q32" i="53072"/>
  <c r="R32" i="53072"/>
  <c r="U32" i="53072"/>
  <c r="V32" i="53072"/>
  <c r="D34" i="53072"/>
  <c r="G34" i="53072"/>
  <c r="H34" i="53072"/>
  <c r="K34" i="53072"/>
  <c r="L34" i="53072"/>
  <c r="Q34" i="53072"/>
  <c r="R34" i="53072"/>
  <c r="U34" i="53072"/>
  <c r="V34" i="53072"/>
  <c r="D35" i="53072"/>
  <c r="G35" i="53072"/>
  <c r="H35" i="53072"/>
  <c r="K35" i="53072"/>
  <c r="L35" i="53072"/>
  <c r="Q35" i="53072"/>
  <c r="R35" i="53072"/>
  <c r="U35" i="53072"/>
  <c r="V35" i="53072"/>
  <c r="D36" i="53072"/>
  <c r="G36" i="53072"/>
  <c r="H36" i="53072"/>
  <c r="K36" i="53072"/>
  <c r="L36" i="53072"/>
  <c r="Q36" i="53072"/>
  <c r="R36" i="53072"/>
  <c r="U36" i="53072"/>
  <c r="V36" i="53072"/>
  <c r="D37" i="53072"/>
  <c r="E37" i="53072"/>
  <c r="G37" i="53072"/>
  <c r="H37" i="53072"/>
  <c r="I37" i="53072"/>
  <c r="K37" i="53072"/>
  <c r="L37" i="53072"/>
  <c r="M37" i="53072"/>
  <c r="O37" i="53072"/>
  <c r="Q37" i="53072"/>
  <c r="R37" i="53072"/>
  <c r="S37" i="53072"/>
  <c r="U37" i="53072"/>
  <c r="V37" i="53072"/>
  <c r="W37" i="53072"/>
  <c r="Y37" i="53072"/>
  <c r="AA37" i="53072"/>
  <c r="D39" i="53072"/>
  <c r="E39" i="53072"/>
  <c r="G39" i="53072"/>
  <c r="H39" i="53072"/>
  <c r="I39" i="53072"/>
  <c r="K39" i="53072"/>
  <c r="L39" i="53072"/>
  <c r="M39" i="53072"/>
  <c r="O39" i="53072"/>
  <c r="Q39" i="53072"/>
  <c r="R39" i="53072"/>
  <c r="S39" i="53072"/>
  <c r="U39" i="53072"/>
  <c r="V39" i="53072"/>
  <c r="W39" i="53072"/>
  <c r="Y39" i="53072"/>
  <c r="AA39" i="53072"/>
  <c r="D2" i="53074"/>
  <c r="G2" i="53074"/>
  <c r="H2" i="53074"/>
  <c r="K2" i="53074"/>
  <c r="L2" i="53074"/>
  <c r="Q2" i="53074"/>
  <c r="R2" i="53074"/>
  <c r="U2" i="53074"/>
  <c r="V2" i="53074"/>
  <c r="D3" i="53074"/>
  <c r="G3" i="53074"/>
  <c r="H3" i="53074"/>
  <c r="K3" i="53074"/>
  <c r="L3" i="53074"/>
  <c r="Q3" i="53074"/>
  <c r="R3" i="53074"/>
  <c r="U3" i="53074"/>
  <c r="V3" i="53074"/>
  <c r="D4" i="53074"/>
  <c r="G4" i="53074"/>
  <c r="H4" i="53074"/>
  <c r="K4" i="53074"/>
  <c r="L4" i="53074"/>
  <c r="Q4" i="53074"/>
  <c r="R4" i="53074"/>
  <c r="U4" i="53074"/>
  <c r="V4" i="53074"/>
  <c r="D5" i="53074"/>
  <c r="G5" i="53074"/>
  <c r="H5" i="53074"/>
  <c r="K5" i="53074"/>
  <c r="L5" i="53074"/>
  <c r="Q5" i="53074"/>
  <c r="R5" i="53074"/>
  <c r="U5" i="53074"/>
  <c r="V5" i="53074"/>
  <c r="D6" i="53074"/>
  <c r="G6" i="53074"/>
  <c r="H6" i="53074"/>
  <c r="K6" i="53074"/>
  <c r="L6" i="53074"/>
  <c r="Q6" i="53074"/>
  <c r="R6" i="53074"/>
  <c r="U6" i="53074"/>
  <c r="V6" i="53074"/>
  <c r="A11" i="53074"/>
  <c r="D14" i="53074"/>
  <c r="E14" i="53074"/>
  <c r="G14" i="53074"/>
  <c r="H14" i="53074"/>
  <c r="I14" i="53074"/>
  <c r="K14" i="53074"/>
  <c r="L14" i="53074"/>
  <c r="M14" i="53074"/>
  <c r="Q14" i="53074"/>
  <c r="R14" i="53074"/>
  <c r="S14" i="53074"/>
  <c r="U14" i="53074"/>
  <c r="V14" i="53074"/>
  <c r="W14" i="53074"/>
  <c r="B17" i="53074"/>
  <c r="D21" i="53074"/>
  <c r="E21" i="53074"/>
  <c r="G21" i="53074"/>
  <c r="H21" i="53074"/>
  <c r="I21" i="53074"/>
  <c r="K21" i="53074"/>
  <c r="L21" i="53074"/>
  <c r="M21" i="53074"/>
  <c r="Q21" i="53074"/>
  <c r="R21" i="53074"/>
  <c r="S21" i="53074"/>
  <c r="U21" i="53074"/>
  <c r="V21" i="53074"/>
  <c r="W21" i="53074"/>
  <c r="D22" i="53074"/>
  <c r="E22" i="53074"/>
  <c r="G22" i="53074"/>
  <c r="H22" i="53074"/>
  <c r="I22" i="53074"/>
  <c r="K22" i="53074"/>
  <c r="L22" i="53074"/>
  <c r="M22" i="53074"/>
  <c r="Q22" i="53074"/>
  <c r="R22" i="53074"/>
  <c r="S22" i="53074"/>
  <c r="U22" i="53074"/>
  <c r="V22" i="53074"/>
  <c r="W22" i="53074"/>
  <c r="D23" i="53074"/>
  <c r="E23" i="53074"/>
  <c r="G23" i="53074"/>
  <c r="H23" i="53074"/>
  <c r="I23" i="53074"/>
  <c r="K23" i="53074"/>
  <c r="L23" i="53074"/>
  <c r="M23" i="53074"/>
  <c r="O23" i="53074"/>
  <c r="Q23" i="53074"/>
  <c r="R23" i="53074"/>
  <c r="S23" i="53074"/>
  <c r="U23" i="53074"/>
  <c r="V23" i="53074"/>
  <c r="W23" i="53074"/>
  <c r="Y23" i="53074"/>
  <c r="AA23" i="53074"/>
  <c r="D27" i="53074"/>
  <c r="E27" i="53074"/>
  <c r="G27" i="53074"/>
  <c r="I27" i="53074"/>
  <c r="K27" i="53074"/>
  <c r="M27" i="53074"/>
  <c r="O27" i="53074"/>
  <c r="Q27" i="53074"/>
  <c r="S27" i="53074"/>
  <c r="U27" i="53074"/>
  <c r="W27" i="53074"/>
  <c r="Y27" i="53074"/>
  <c r="AA27" i="53074"/>
  <c r="G30" i="53074"/>
  <c r="K30" i="53074"/>
  <c r="Q30" i="53074"/>
  <c r="U30" i="53074"/>
  <c r="G31" i="53074"/>
  <c r="H31" i="53074"/>
  <c r="K31" i="53074"/>
  <c r="L31" i="53074"/>
  <c r="Q31" i="53074"/>
  <c r="R31" i="53074"/>
  <c r="U31" i="53074"/>
  <c r="V31" i="53074"/>
  <c r="D32" i="53074"/>
  <c r="G32" i="53074"/>
  <c r="H32" i="53074"/>
  <c r="K32" i="53074"/>
  <c r="L32" i="53074"/>
  <c r="Q32" i="53074"/>
  <c r="R32" i="53074"/>
  <c r="U32" i="53074"/>
  <c r="V32" i="53074"/>
  <c r="D34" i="53074"/>
  <c r="G34" i="53074"/>
  <c r="H34" i="53074"/>
  <c r="K34" i="53074"/>
  <c r="L34" i="53074"/>
  <c r="Q34" i="53074"/>
  <c r="R34" i="53074"/>
  <c r="U34" i="53074"/>
  <c r="V34" i="53074"/>
  <c r="D35" i="53074"/>
  <c r="G35" i="53074"/>
  <c r="H35" i="53074"/>
  <c r="K35" i="53074"/>
  <c r="L35" i="53074"/>
  <c r="Q35" i="53074"/>
  <c r="R35" i="53074"/>
  <c r="U35" i="53074"/>
  <c r="V35" i="53074"/>
  <c r="D36" i="53074"/>
  <c r="G36" i="53074"/>
  <c r="H36" i="53074"/>
  <c r="K36" i="53074"/>
  <c r="L36" i="53074"/>
  <c r="Q36" i="53074"/>
  <c r="R36" i="53074"/>
  <c r="U36" i="53074"/>
  <c r="V36" i="53074"/>
  <c r="D37" i="53074"/>
  <c r="E37" i="53074"/>
  <c r="G37" i="53074"/>
  <c r="H37" i="53074"/>
  <c r="I37" i="53074"/>
  <c r="K37" i="53074"/>
  <c r="L37" i="53074"/>
  <c r="M37" i="53074"/>
  <c r="O37" i="53074"/>
  <c r="Q37" i="53074"/>
  <c r="R37" i="53074"/>
  <c r="S37" i="53074"/>
  <c r="U37" i="53074"/>
  <c r="V37" i="53074"/>
  <c r="W37" i="53074"/>
  <c r="Y37" i="53074"/>
  <c r="AA37" i="53074"/>
  <c r="D39" i="53074"/>
  <c r="E39" i="53074"/>
  <c r="G39" i="53074"/>
  <c r="H39" i="53074"/>
  <c r="I39" i="53074"/>
  <c r="K39" i="53074"/>
  <c r="L39" i="53074"/>
  <c r="M39" i="53074"/>
  <c r="O39" i="53074"/>
  <c r="Q39" i="53074"/>
  <c r="R39" i="53074"/>
  <c r="S39" i="53074"/>
  <c r="U39" i="53074"/>
  <c r="V39" i="53074"/>
  <c r="W39" i="53074"/>
  <c r="Y39" i="53074"/>
  <c r="AA39" i="53074"/>
  <c r="A4" i="53061"/>
  <c r="D9" i="53061"/>
  <c r="H9" i="53061"/>
  <c r="H10" i="53061"/>
  <c r="D12" i="53061"/>
  <c r="H12" i="53061"/>
  <c r="H13" i="53061"/>
  <c r="H17" i="53061"/>
  <c r="H19" i="53061"/>
  <c r="H20" i="53061"/>
  <c r="H21" i="53061"/>
  <c r="H22" i="53061"/>
  <c r="H24" i="53061"/>
  <c r="H25" i="53061"/>
  <c r="G26" i="53061"/>
  <c r="H26" i="53061"/>
  <c r="H28" i="53061"/>
  <c r="D29" i="53061"/>
  <c r="H29" i="53061"/>
  <c r="H31" i="53061"/>
  <c r="D33" i="53061"/>
  <c r="H33" i="53061"/>
  <c r="D35" i="53061"/>
  <c r="H35" i="53061"/>
  <c r="H37" i="53061"/>
  <c r="H40" i="53061"/>
  <c r="H41" i="53061"/>
  <c r="H42" i="53061"/>
  <c r="H43" i="53061"/>
  <c r="H44" i="53061"/>
  <c r="H45" i="53061"/>
  <c r="H46" i="53061"/>
  <c r="B8" i="53056"/>
  <c r="B18" i="53056"/>
  <c r="B20" i="53056"/>
  <c r="B28" i="53056"/>
  <c r="B29" i="53056"/>
  <c r="P1" i="4924"/>
  <c r="P2" i="4924"/>
  <c r="B4" i="4924"/>
  <c r="D9" i="4924"/>
  <c r="N18" i="4924"/>
  <c r="P18" i="4924"/>
  <c r="N19" i="4924"/>
  <c r="P19" i="4924"/>
  <c r="N20" i="4924"/>
  <c r="P20" i="4924"/>
  <c r="N21" i="4924"/>
  <c r="P21" i="4924"/>
  <c r="N22" i="4924"/>
  <c r="P22" i="4924"/>
  <c r="V22" i="4924"/>
  <c r="N23" i="4924"/>
  <c r="P23" i="4924"/>
  <c r="V23" i="4924"/>
  <c r="N24" i="4924"/>
  <c r="P24" i="4924"/>
  <c r="V24" i="4924"/>
  <c r="N25" i="4924"/>
  <c r="P25" i="4924"/>
  <c r="V25" i="4924"/>
  <c r="N26" i="4924"/>
  <c r="P26" i="4924"/>
  <c r="V26" i="4924"/>
  <c r="N27" i="4924"/>
  <c r="P27" i="4924"/>
  <c r="V27" i="4924"/>
  <c r="N28" i="4924"/>
  <c r="P28" i="4924"/>
  <c r="V28" i="4924"/>
  <c r="N29" i="4924"/>
  <c r="P29" i="4924"/>
  <c r="V29" i="4924"/>
  <c r="N30" i="4924"/>
  <c r="P30" i="4924"/>
  <c r="V30" i="4924"/>
  <c r="N31" i="4924"/>
  <c r="P31" i="4924"/>
  <c r="V31" i="4924"/>
  <c r="N32" i="4924"/>
  <c r="P32" i="4924"/>
  <c r="V32" i="4924"/>
  <c r="W32" i="4924"/>
  <c r="J33" i="4924"/>
  <c r="N33" i="4924"/>
  <c r="P33" i="4924"/>
  <c r="L35" i="4924"/>
  <c r="N35" i="4924"/>
  <c r="P35" i="4924"/>
  <c r="T35" i="4924"/>
  <c r="V35" i="4924"/>
  <c r="T36" i="4924"/>
  <c r="J37" i="4924"/>
  <c r="N37" i="4924"/>
  <c r="P37" i="4924"/>
  <c r="J38" i="4924"/>
  <c r="P39" i="4924"/>
  <c r="P41" i="4924"/>
  <c r="P43" i="4924"/>
  <c r="L70" i="4924"/>
  <c r="P70" i="4924"/>
  <c r="T70" i="4924"/>
  <c r="A3" i="53070"/>
  <c r="F10" i="53070"/>
  <c r="G10" i="53070"/>
  <c r="F11" i="53070"/>
  <c r="G11" i="53070"/>
  <c r="B12" i="53070"/>
  <c r="E16" i="53070"/>
  <c r="C17" i="53070"/>
  <c r="D17" i="53070"/>
  <c r="G17" i="53070"/>
  <c r="H17" i="53070"/>
  <c r="I17" i="53070"/>
  <c r="J17" i="53070"/>
  <c r="K17" i="53070"/>
  <c r="C19" i="53070"/>
  <c r="D19" i="53070"/>
  <c r="G19" i="53070"/>
  <c r="H19" i="53070"/>
  <c r="I19" i="53070"/>
  <c r="J19" i="53070"/>
  <c r="K19" i="53070"/>
  <c r="C21" i="53070"/>
  <c r="D21" i="53070"/>
  <c r="G21" i="53070"/>
  <c r="H21" i="53070"/>
  <c r="I21" i="53070"/>
  <c r="J21" i="53070"/>
  <c r="K21" i="53070"/>
  <c r="C26" i="53070"/>
  <c r="D26" i="53070"/>
  <c r="G26" i="53070"/>
  <c r="J26" i="53070"/>
  <c r="K26" i="53070"/>
  <c r="C28" i="53070"/>
  <c r="D28" i="53070"/>
  <c r="G28" i="53070"/>
  <c r="J28" i="53070"/>
  <c r="K28" i="53070"/>
  <c r="C30" i="53070"/>
  <c r="D30" i="53070"/>
  <c r="G30" i="53070"/>
  <c r="J30" i="53070"/>
  <c r="K30" i="53070"/>
  <c r="C32" i="53070"/>
  <c r="D32" i="53070"/>
  <c r="H32" i="53070"/>
  <c r="I32" i="53070"/>
  <c r="J32" i="53070"/>
  <c r="K32" i="53070"/>
  <c r="D38" i="53070"/>
  <c r="G38" i="53070"/>
  <c r="J38" i="53070"/>
  <c r="K38" i="53070"/>
  <c r="C43" i="53070"/>
  <c r="F43" i="53070"/>
  <c r="J43" i="53070"/>
  <c r="K43" i="53070"/>
  <c r="C47" i="53070"/>
  <c r="F47" i="53070"/>
  <c r="J47" i="53070"/>
  <c r="K47" i="53070"/>
  <c r="C49" i="53070"/>
  <c r="J49" i="53070"/>
  <c r="D55" i="53070"/>
  <c r="E55" i="53070"/>
  <c r="F55" i="53070"/>
  <c r="G55" i="53070"/>
  <c r="H55" i="53070"/>
  <c r="I55" i="53070"/>
  <c r="J55" i="53070"/>
  <c r="K55" i="53070"/>
  <c r="J60" i="53070"/>
  <c r="K60" i="53070"/>
  <c r="B4" i="95"/>
  <c r="I7" i="95"/>
  <c r="G8" i="95"/>
  <c r="I8" i="95"/>
  <c r="G10" i="95"/>
  <c r="I10" i="95"/>
  <c r="E12" i="95"/>
  <c r="F12" i="95"/>
  <c r="G12" i="95"/>
  <c r="I12" i="95"/>
  <c r="D14" i="95"/>
  <c r="D15" i="95"/>
  <c r="D17" i="95"/>
  <c r="X2" i="53052"/>
  <c r="Z2" i="53052"/>
  <c r="X3" i="53052"/>
  <c r="X4" i="53052"/>
  <c r="Z4" i="53052"/>
  <c r="F10" i="53052"/>
  <c r="J10" i="53052"/>
  <c r="N10" i="53052"/>
  <c r="P10" i="53052"/>
  <c r="T10" i="53052"/>
  <c r="V10" i="53052"/>
  <c r="X10" i="53052"/>
  <c r="Z10" i="53052"/>
  <c r="D12" i="53052"/>
  <c r="J12" i="53052"/>
  <c r="N12" i="53052"/>
  <c r="P12" i="53052"/>
  <c r="R12" i="53052"/>
  <c r="T12" i="53052"/>
  <c r="V12" i="53052"/>
  <c r="X12" i="53052"/>
  <c r="Z12" i="53052"/>
  <c r="D13" i="53052"/>
  <c r="J13" i="53052"/>
  <c r="N13" i="53052"/>
  <c r="P13" i="53052"/>
  <c r="R13" i="53052"/>
  <c r="T13" i="53052"/>
  <c r="V13" i="53052"/>
  <c r="X13" i="53052"/>
  <c r="Z13" i="53052"/>
  <c r="D14" i="53052"/>
  <c r="J14" i="53052"/>
  <c r="N14" i="53052"/>
  <c r="P14" i="53052"/>
  <c r="R14" i="53052"/>
  <c r="T14" i="53052"/>
  <c r="V14" i="53052"/>
  <c r="X14" i="53052"/>
  <c r="Z14" i="53052"/>
  <c r="D15" i="53052"/>
  <c r="J15" i="53052"/>
  <c r="N15" i="53052"/>
  <c r="P15" i="53052"/>
  <c r="R15" i="53052"/>
  <c r="T15" i="53052"/>
  <c r="V15" i="53052"/>
  <c r="X15" i="53052"/>
  <c r="Z15" i="53052"/>
  <c r="D16" i="53052"/>
  <c r="J16" i="53052"/>
  <c r="N16" i="53052"/>
  <c r="P16" i="53052"/>
  <c r="R16" i="53052"/>
  <c r="T16" i="53052"/>
  <c r="V16" i="53052"/>
  <c r="X16" i="53052"/>
  <c r="Z16" i="53052"/>
  <c r="D17" i="53052"/>
  <c r="J17" i="53052"/>
  <c r="N17" i="53052"/>
  <c r="P17" i="53052"/>
  <c r="R17" i="53052"/>
  <c r="T17" i="53052"/>
  <c r="V17" i="53052"/>
  <c r="X17" i="53052"/>
  <c r="Z17" i="53052"/>
  <c r="D18" i="53052"/>
  <c r="J18" i="53052"/>
  <c r="N18" i="53052"/>
  <c r="P18" i="53052"/>
  <c r="R18" i="53052"/>
  <c r="T18" i="53052"/>
  <c r="V18" i="53052"/>
  <c r="X18" i="53052"/>
  <c r="Z18" i="53052"/>
  <c r="D19" i="53052"/>
  <c r="J19" i="53052"/>
  <c r="N19" i="53052"/>
  <c r="P19" i="53052"/>
  <c r="R19" i="53052"/>
  <c r="T19" i="53052"/>
  <c r="V19" i="53052"/>
  <c r="X19" i="53052"/>
  <c r="Z19" i="53052"/>
  <c r="D20" i="53052"/>
  <c r="H20" i="53052"/>
  <c r="J20" i="53052"/>
  <c r="N20" i="53052"/>
  <c r="P20" i="53052"/>
  <c r="R20" i="53052"/>
  <c r="T20" i="53052"/>
  <c r="V20" i="53052"/>
  <c r="X20" i="53052"/>
  <c r="Z20" i="53052"/>
  <c r="D21" i="53052"/>
  <c r="H21" i="53052"/>
  <c r="J21" i="53052"/>
  <c r="N21" i="53052"/>
  <c r="P21" i="53052"/>
  <c r="R21" i="53052"/>
  <c r="T21" i="53052"/>
  <c r="V21" i="53052"/>
  <c r="X21" i="53052"/>
  <c r="Z21" i="53052"/>
  <c r="D22" i="53052"/>
  <c r="H22" i="53052"/>
  <c r="J22" i="53052"/>
  <c r="N22" i="53052"/>
  <c r="P22" i="53052"/>
  <c r="R22" i="53052"/>
  <c r="T22" i="53052"/>
  <c r="V22" i="53052"/>
  <c r="X22" i="53052"/>
  <c r="Z22" i="53052"/>
  <c r="D23" i="53052"/>
  <c r="J23" i="53052"/>
  <c r="N23" i="53052"/>
  <c r="P23" i="53052"/>
  <c r="R23" i="53052"/>
  <c r="T23" i="53052"/>
  <c r="V23" i="53052"/>
  <c r="X23" i="53052"/>
  <c r="Z23" i="53052"/>
  <c r="D24" i="53052"/>
  <c r="J24" i="53052"/>
  <c r="N24" i="53052"/>
  <c r="P24" i="53052"/>
  <c r="R24" i="53052"/>
  <c r="T24" i="53052"/>
  <c r="V24" i="53052"/>
  <c r="X24" i="53052"/>
  <c r="Z24" i="53052"/>
  <c r="D25" i="53052"/>
  <c r="H25" i="53052"/>
  <c r="J25" i="53052"/>
  <c r="N25" i="53052"/>
  <c r="P25" i="53052"/>
  <c r="R25" i="53052"/>
  <c r="T25" i="53052"/>
  <c r="V25" i="53052"/>
  <c r="X25" i="53052"/>
  <c r="Z25" i="53052"/>
  <c r="D26" i="53052"/>
  <c r="H26" i="53052"/>
  <c r="J26" i="53052"/>
  <c r="N26" i="53052"/>
  <c r="P26" i="53052"/>
  <c r="R26" i="53052"/>
  <c r="T26" i="53052"/>
  <c r="V26" i="53052"/>
  <c r="X26" i="53052"/>
  <c r="Z26" i="53052"/>
  <c r="D27" i="53052"/>
  <c r="H27" i="53052"/>
  <c r="J27" i="53052"/>
  <c r="N27" i="53052"/>
  <c r="P27" i="53052"/>
  <c r="R27" i="53052"/>
  <c r="T27" i="53052"/>
  <c r="V27" i="53052"/>
  <c r="X27" i="53052"/>
  <c r="Z27" i="53052"/>
  <c r="D28" i="53052"/>
  <c r="H28" i="53052"/>
  <c r="J28" i="53052"/>
  <c r="N28" i="53052"/>
  <c r="P28" i="53052"/>
  <c r="R28" i="53052"/>
  <c r="T28" i="53052"/>
  <c r="V28" i="53052"/>
  <c r="X28" i="53052"/>
  <c r="Z28" i="53052"/>
  <c r="D29" i="53052"/>
  <c r="J29" i="53052"/>
  <c r="N29" i="53052"/>
  <c r="P29" i="53052"/>
  <c r="R29" i="53052"/>
  <c r="T29" i="53052"/>
  <c r="V29" i="53052"/>
  <c r="X29" i="53052"/>
  <c r="Z29" i="53052"/>
  <c r="D30" i="53052"/>
  <c r="J30" i="53052"/>
  <c r="N30" i="53052"/>
  <c r="P30" i="53052"/>
  <c r="R30" i="53052"/>
  <c r="T30" i="53052"/>
  <c r="V30" i="53052"/>
  <c r="X30" i="53052"/>
  <c r="Z30" i="53052"/>
  <c r="D31" i="53052"/>
  <c r="J31" i="53052"/>
  <c r="N31" i="53052"/>
  <c r="P31" i="53052"/>
  <c r="R31" i="53052"/>
  <c r="T31" i="53052"/>
  <c r="V31" i="53052"/>
  <c r="X31" i="53052"/>
  <c r="Z31" i="53052"/>
  <c r="D32" i="53052"/>
  <c r="J32" i="53052"/>
  <c r="N32" i="53052"/>
  <c r="P32" i="53052"/>
  <c r="R32" i="53052"/>
  <c r="T32" i="53052"/>
  <c r="V32" i="53052"/>
  <c r="X32" i="53052"/>
  <c r="Z32" i="53052"/>
  <c r="D33" i="53052"/>
  <c r="J33" i="53052"/>
  <c r="N33" i="53052"/>
  <c r="P33" i="53052"/>
  <c r="R33" i="53052"/>
  <c r="T33" i="53052"/>
  <c r="V33" i="53052"/>
  <c r="X33" i="53052"/>
  <c r="Z33" i="53052"/>
  <c r="D34" i="53052"/>
  <c r="J34" i="53052"/>
  <c r="N34" i="53052"/>
  <c r="P34" i="53052"/>
  <c r="R34" i="53052"/>
  <c r="T34" i="53052"/>
  <c r="V34" i="53052"/>
  <c r="X34" i="53052"/>
  <c r="Z34" i="53052"/>
  <c r="D35" i="53052"/>
  <c r="J35" i="53052"/>
  <c r="N35" i="53052"/>
  <c r="P35" i="53052"/>
  <c r="R35" i="53052"/>
  <c r="T35" i="53052"/>
  <c r="V35" i="53052"/>
  <c r="X35" i="53052"/>
  <c r="Z35" i="53052"/>
  <c r="D36" i="53052"/>
  <c r="J36" i="53052"/>
  <c r="N36" i="53052"/>
  <c r="P36" i="53052"/>
  <c r="R36" i="53052"/>
  <c r="T36" i="53052"/>
  <c r="V36" i="53052"/>
  <c r="X36" i="53052"/>
  <c r="Z36" i="53052"/>
  <c r="D37" i="53052"/>
  <c r="J37" i="53052"/>
  <c r="N37" i="53052"/>
  <c r="P37" i="53052"/>
  <c r="R37" i="53052"/>
  <c r="T37" i="53052"/>
  <c r="V37" i="53052"/>
  <c r="X37" i="53052"/>
  <c r="Z37" i="53052"/>
  <c r="D38" i="53052"/>
  <c r="J38" i="53052"/>
  <c r="N38" i="53052"/>
  <c r="P38" i="53052"/>
  <c r="R38" i="53052"/>
  <c r="T38" i="53052"/>
  <c r="V38" i="53052"/>
  <c r="X38" i="53052"/>
  <c r="Z38" i="53052"/>
  <c r="D39" i="53052"/>
  <c r="J39" i="53052"/>
  <c r="N39" i="53052"/>
  <c r="P39" i="53052"/>
  <c r="R39" i="53052"/>
  <c r="T39" i="53052"/>
  <c r="V39" i="53052"/>
  <c r="X39" i="53052"/>
  <c r="Z39" i="53052"/>
  <c r="D40" i="53052"/>
  <c r="J40" i="53052"/>
  <c r="N40" i="53052"/>
  <c r="P40" i="53052"/>
  <c r="R40" i="53052"/>
  <c r="T40" i="53052"/>
  <c r="V40" i="53052"/>
  <c r="X40" i="53052"/>
  <c r="Z40" i="53052"/>
  <c r="D41" i="53052"/>
  <c r="N41" i="53052"/>
  <c r="P41" i="53052"/>
  <c r="R41" i="53052"/>
  <c r="T41" i="53052"/>
  <c r="V41" i="53052"/>
  <c r="X41" i="53052"/>
  <c r="Z41" i="53052"/>
  <c r="D42" i="53052"/>
  <c r="N42" i="53052"/>
  <c r="R42" i="53052"/>
  <c r="T42" i="53052"/>
  <c r="V42" i="53052"/>
  <c r="X42" i="53052"/>
  <c r="Z42" i="53052"/>
  <c r="H43" i="53052"/>
  <c r="J43" i="53052"/>
  <c r="L44" i="53052"/>
  <c r="N44" i="53052"/>
  <c r="T44" i="53052"/>
  <c r="X44" i="53052"/>
  <c r="J45" i="53052"/>
  <c r="X45" i="53052"/>
  <c r="H46" i="53052"/>
  <c r="J46" i="53052"/>
  <c r="V48" i="53052"/>
  <c r="X48" i="53052"/>
  <c r="Z48" i="53052"/>
  <c r="V51" i="53052"/>
  <c r="X51" i="53052"/>
  <c r="B1" i="53054"/>
  <c r="R1" i="53054"/>
  <c r="B2" i="53054"/>
  <c r="B3" i="53054"/>
  <c r="E4" i="53054"/>
  <c r="F4" i="53054"/>
  <c r="H4" i="53054"/>
  <c r="E5" i="53054"/>
  <c r="F5" i="53054"/>
  <c r="F7" i="53054"/>
  <c r="P7" i="53054"/>
  <c r="R7" i="53054"/>
  <c r="F8" i="53054"/>
  <c r="G8" i="53054"/>
  <c r="M8" i="53054"/>
  <c r="N8" i="53054"/>
  <c r="P8" i="53054"/>
  <c r="R8" i="53054"/>
  <c r="F9" i="53054"/>
  <c r="G9" i="53054"/>
  <c r="K9" i="53054"/>
  <c r="L9" i="53054"/>
  <c r="N9" i="53054"/>
  <c r="P9" i="53054"/>
  <c r="R9" i="53054"/>
  <c r="F10" i="53054"/>
  <c r="G10" i="53054"/>
  <c r="L10" i="53054"/>
  <c r="N10" i="53054"/>
  <c r="O10" i="53054"/>
  <c r="P10" i="53054"/>
  <c r="R10" i="53054"/>
  <c r="F11" i="53054"/>
  <c r="G11" i="53054"/>
  <c r="K11" i="53054"/>
  <c r="P11" i="53054"/>
  <c r="R11" i="53054"/>
  <c r="C12" i="53054"/>
  <c r="D12" i="53054"/>
  <c r="F12" i="53054"/>
  <c r="M12" i="53054"/>
  <c r="P12" i="53054"/>
  <c r="R12" i="53054"/>
  <c r="C13" i="53054"/>
  <c r="D13" i="53054"/>
  <c r="F13" i="53054"/>
  <c r="L13" i="53054"/>
  <c r="M13" i="53054"/>
  <c r="P13" i="53054"/>
  <c r="R13" i="53054"/>
  <c r="C14" i="53054"/>
  <c r="D14" i="53054"/>
  <c r="F14" i="53054"/>
  <c r="M14" i="53054"/>
  <c r="P14" i="53054"/>
  <c r="R14" i="53054"/>
  <c r="C15" i="53054"/>
  <c r="D15" i="53054"/>
  <c r="F15" i="53054"/>
  <c r="M15" i="53054"/>
  <c r="P15" i="53054"/>
  <c r="R15" i="53054"/>
  <c r="F16" i="53054"/>
  <c r="M16" i="53054"/>
  <c r="P16" i="53054"/>
  <c r="R16" i="53054"/>
  <c r="F17" i="53054"/>
  <c r="K17" i="53054"/>
  <c r="L17" i="53054"/>
  <c r="M17" i="53054"/>
  <c r="P17" i="53054"/>
  <c r="R17" i="53054"/>
  <c r="D18" i="53054"/>
  <c r="F18" i="53054"/>
  <c r="K18" i="53054"/>
  <c r="L18" i="53054"/>
  <c r="M18" i="53054"/>
  <c r="P18" i="53054"/>
  <c r="R18" i="53054"/>
  <c r="D19" i="53054"/>
  <c r="F19" i="53054"/>
  <c r="K19" i="53054"/>
  <c r="L19" i="53054"/>
  <c r="M19" i="53054"/>
  <c r="P19" i="53054"/>
  <c r="R19" i="53054"/>
  <c r="F20" i="53054"/>
  <c r="P20" i="53054"/>
  <c r="R20" i="53054"/>
  <c r="D21" i="53054"/>
  <c r="F21" i="53054"/>
  <c r="K21" i="53054"/>
  <c r="L21" i="53054"/>
  <c r="M21" i="53054"/>
  <c r="P21" i="53054"/>
  <c r="R21" i="53054"/>
  <c r="F26" i="53054"/>
  <c r="Q31" i="53054"/>
  <c r="B32" i="53054"/>
  <c r="R32" i="53054"/>
  <c r="B33" i="53054"/>
  <c r="B34" i="53054"/>
  <c r="E35" i="53054"/>
  <c r="F35" i="53054"/>
  <c r="H35" i="53054"/>
  <c r="E36" i="53054"/>
  <c r="F36" i="53054"/>
  <c r="F38" i="53054"/>
  <c r="L38" i="53054"/>
  <c r="P38" i="53054"/>
  <c r="R38" i="53054"/>
  <c r="F39" i="53054"/>
  <c r="G39" i="53054"/>
  <c r="K39" i="53054"/>
  <c r="L39" i="53054"/>
  <c r="M39" i="53054"/>
  <c r="N39" i="53054"/>
  <c r="P39" i="53054"/>
  <c r="R39" i="53054"/>
  <c r="F40" i="53054"/>
  <c r="G40" i="53054"/>
  <c r="K40" i="53054"/>
  <c r="L40" i="53054"/>
  <c r="M40" i="53054"/>
  <c r="N40" i="53054"/>
  <c r="P40" i="53054"/>
  <c r="R40" i="53054"/>
  <c r="F41" i="53054"/>
  <c r="G41" i="53054"/>
  <c r="K41" i="53054"/>
  <c r="L41" i="53054"/>
  <c r="M41" i="53054"/>
  <c r="N41" i="53054"/>
  <c r="O41" i="53054"/>
  <c r="P41" i="53054"/>
  <c r="R41" i="53054"/>
  <c r="F42" i="53054"/>
  <c r="G42" i="53054"/>
  <c r="K42" i="53054"/>
  <c r="M42" i="53054"/>
  <c r="N42" i="53054"/>
  <c r="O42" i="53054"/>
  <c r="P42" i="53054"/>
  <c r="R42" i="53054"/>
</calcChain>
</file>

<file path=xl/comments1.xml><?xml version="1.0" encoding="utf-8"?>
<comments xmlns="http://schemas.openxmlformats.org/spreadsheetml/2006/main">
  <authors>
    <author>jerwin</author>
  </authors>
  <commentList>
    <comment ref="I52" authorId="0" shapeId="0">
      <text>
        <r>
          <rPr>
            <b/>
            <sz val="8"/>
            <color indexed="81"/>
            <rFont val="Tahoma"/>
          </rPr>
          <t>jerwin:</t>
        </r>
        <r>
          <rPr>
            <sz val="8"/>
            <color indexed="81"/>
            <rFont val="Tahoma"/>
          </rPr>
          <t xml:space="preserve">
Delta x Current Price x Volatility / Square Root of # trading days in a year x 1.645
Delta is the # shares x Option Delta x # Instruments long or short</t>
        </r>
      </text>
    </comment>
    <comment ref="I54" authorId="0" shapeId="0">
      <text>
        <r>
          <rPr>
            <b/>
            <sz val="8"/>
            <color indexed="81"/>
            <rFont val="Tahoma"/>
          </rPr>
          <t>jerwin:</t>
        </r>
        <r>
          <rPr>
            <sz val="8"/>
            <color indexed="81"/>
            <rFont val="Tahoma"/>
          </rPr>
          <t xml:space="preserve">
Basically this is the notional (open share positions x current price)</t>
        </r>
      </text>
    </comment>
    <comment ref="I83" authorId="0" shapeId="0">
      <text>
        <r>
          <rPr>
            <b/>
            <sz val="8"/>
            <color indexed="81"/>
            <rFont val="Tahoma"/>
          </rPr>
          <t>jerwin:</t>
        </r>
        <r>
          <rPr>
            <sz val="8"/>
            <color indexed="81"/>
            <rFont val="Tahoma"/>
          </rPr>
          <t xml:space="preserve">
Delta x Current Price x Volatility / Square Root of # trading days in a year x 1.645
Delta is the # shares x Option Delta x # Instruments long or short</t>
        </r>
      </text>
    </comment>
    <comment ref="I85" authorId="0" shapeId="0">
      <text>
        <r>
          <rPr>
            <b/>
            <sz val="8"/>
            <color indexed="81"/>
            <rFont val="Tahoma"/>
          </rPr>
          <t>jerwin:</t>
        </r>
        <r>
          <rPr>
            <sz val="8"/>
            <color indexed="81"/>
            <rFont val="Tahoma"/>
          </rPr>
          <t xml:space="preserve">
Basically this is the notional (open share positions x current price)</t>
        </r>
      </text>
    </comment>
  </commentList>
</comments>
</file>

<file path=xl/comments2.xml><?xml version="1.0" encoding="utf-8"?>
<comments xmlns="http://schemas.openxmlformats.org/spreadsheetml/2006/main">
  <authors>
    <author>jerwin</author>
  </authors>
  <commentList>
    <comment ref="D78" authorId="0" shapeId="0">
      <text>
        <r>
          <rPr>
            <sz val="8"/>
            <color indexed="81"/>
            <rFont val="Tahoma"/>
          </rPr>
          <t xml:space="preserve">Anne Yeager gave value to Stephanie McGinnis.
</t>
        </r>
      </text>
    </comment>
    <comment ref="D79" authorId="0" shapeId="0">
      <text>
        <r>
          <rPr>
            <sz val="8"/>
            <color indexed="81"/>
            <rFont val="Tahoma"/>
          </rPr>
          <t xml:space="preserve">Anne Yeager gave value to Stephanie McGinnis.
</t>
        </r>
      </text>
    </comment>
    <comment ref="G79" authorId="0" shapeId="0">
      <text>
        <r>
          <rPr>
            <sz val="8"/>
            <color indexed="81"/>
            <rFont val="Tahoma"/>
          </rPr>
          <t xml:space="preserve">From Bloomberg's
</t>
        </r>
      </text>
    </comment>
  </commentList>
</comments>
</file>

<file path=xl/comments3.xml><?xml version="1.0" encoding="utf-8"?>
<comments xmlns="http://schemas.openxmlformats.org/spreadsheetml/2006/main">
  <authors>
    <author>jerwin</author>
  </authors>
  <commentList>
    <comment ref="D30" authorId="0" shapeId="0">
      <text>
        <r>
          <rPr>
            <b/>
            <sz val="8"/>
            <color indexed="81"/>
            <rFont val="Tahoma"/>
          </rPr>
          <t>jerwin:</t>
        </r>
        <r>
          <rPr>
            <sz val="8"/>
            <color indexed="81"/>
            <rFont val="Tahoma"/>
          </rPr>
          <t xml:space="preserve">
3 month libor</t>
        </r>
      </text>
    </comment>
  </commentList>
</comments>
</file>

<file path=xl/comments4.xml><?xml version="1.0" encoding="utf-8"?>
<comments xmlns="http://schemas.openxmlformats.org/spreadsheetml/2006/main">
  <authors>
    <author>jerwin</author>
  </authors>
  <commentList>
    <comment ref="A28" authorId="0" shapeId="0">
      <text>
        <r>
          <rPr>
            <b/>
            <sz val="8"/>
            <color indexed="81"/>
            <rFont val="Tahoma"/>
          </rPr>
          <t>jerwin:</t>
        </r>
        <r>
          <rPr>
            <sz val="8"/>
            <color indexed="81"/>
            <rFont val="Tahoma"/>
          </rPr>
          <t xml:space="preserve">
The quotient of (a) the product of (i) the Expected Quarterly Dividend, (ii) the Number of Shares, and (iii) the Annual Factor for the related Calculation Period and (b) the Equity Notional Amount.</t>
        </r>
      </text>
    </comment>
    <comment ref="A29" authorId="0" shapeId="0">
      <text>
        <r>
          <rPr>
            <b/>
            <sz val="8"/>
            <color indexed="81"/>
            <rFont val="Tahoma"/>
          </rPr>
          <t>jerwin:</t>
        </r>
        <r>
          <rPr>
            <sz val="8"/>
            <color indexed="81"/>
            <rFont val="Tahoma"/>
          </rPr>
          <t xml:space="preserve">
Reset first day of each calculation period.</t>
        </r>
      </text>
    </comment>
    <comment ref="A37" authorId="0" shapeId="0">
      <text>
        <r>
          <rPr>
            <b/>
            <sz val="8"/>
            <color indexed="81"/>
            <rFont val="Tahoma"/>
          </rPr>
          <t>jerwin:</t>
        </r>
        <r>
          <rPr>
            <sz val="8"/>
            <color indexed="81"/>
            <rFont val="Tahoma"/>
          </rPr>
          <t xml:space="preserve">
The quotient of (i) 360 and (ii) the number of calendar days in such Calculation Period.</t>
        </r>
      </text>
    </comment>
    <comment ref="A38" authorId="0" shapeId="0">
      <text>
        <r>
          <rPr>
            <b/>
            <sz val="8"/>
            <color indexed="81"/>
            <rFont val="Tahoma"/>
          </rPr>
          <t>jerwin:</t>
        </r>
        <r>
          <rPr>
            <sz val="8"/>
            <color indexed="81"/>
            <rFont val="Tahoma"/>
          </rPr>
          <t xml:space="preserve">
Spread minus Dividend Rebate plus Interest Rate.</t>
        </r>
      </text>
    </comment>
  </commentList>
</comments>
</file>

<file path=xl/comments5.xml><?xml version="1.0" encoding="utf-8"?>
<comments xmlns="http://schemas.openxmlformats.org/spreadsheetml/2006/main">
  <authors>
    <author>Samantha Davidson</author>
  </authors>
  <commentList>
    <comment ref="B1" authorId="0" shapeId="0">
      <text>
        <r>
          <rPr>
            <b/>
            <sz val="8"/>
            <color indexed="81"/>
            <rFont val="Tahoma"/>
          </rPr>
          <t>Samantha Davidson:</t>
        </r>
        <r>
          <rPr>
            <sz val="8"/>
            <color indexed="81"/>
            <rFont val="Tahoma"/>
          </rPr>
          <t xml:space="preserve">
1.645 =&gt; 95% confidence interval
</t>
        </r>
      </text>
    </comment>
  </commentList>
</comments>
</file>

<file path=xl/sharedStrings.xml><?xml version="1.0" encoding="utf-8"?>
<sst xmlns="http://schemas.openxmlformats.org/spreadsheetml/2006/main" count="1459" uniqueCount="487">
  <si>
    <t>ENE</t>
  </si>
  <si>
    <t>JEDI MTM</t>
  </si>
  <si>
    <t>Summary:</t>
  </si>
  <si>
    <t xml:space="preserve">This agreement hereby locks Enron Capital &amp; Trade's (ECT's) income/loss recognition on the 6,006,402 shares of Enron stock held by </t>
  </si>
  <si>
    <t xml:space="preserve">JEDi at $54.0625/share, effective June 30, 1998.  Enron Capital Management (ECM) will incur all income/loss effects for price fluctuations </t>
  </si>
  <si>
    <t>above or below Enron's $54.0625 stock price as well as income/loss for the value of the related puts.  This income sharing is for internal</t>
  </si>
  <si>
    <t xml:space="preserve">management reporting only and does not impact JEDI's audited financial statements.  ECT will make monthly accounting entries to allocate </t>
  </si>
  <si>
    <t>these income/loss effects to Ecm based on the fair value calculated from month end closing prices.</t>
  </si>
  <si>
    <t>commencing on September 30, 1998, due and payable the last business day of each fiscal quarter.</t>
  </si>
  <si>
    <t>The term of this agreement is 5 years, expiring June 30, 2003.</t>
  </si>
  <si>
    <t>ENE Stock Price</t>
  </si>
  <si>
    <t>LTD</t>
  </si>
  <si>
    <t>ENRON CORP - PUT OPTIONS CALCULATIONS (Input worksheet)</t>
  </si>
  <si>
    <t xml:space="preserve">  Quarter</t>
  </si>
  <si>
    <t xml:space="preserve">  Fiscal</t>
  </si>
  <si>
    <t>PUT OPTION INFORMATION</t>
  </si>
  <si>
    <t>Quarter</t>
  </si>
  <si>
    <t>Post-split</t>
  </si>
  <si>
    <t>Option</t>
  </si>
  <si>
    <t>Percent</t>
  </si>
  <si>
    <t>Put Options</t>
  </si>
  <si>
    <t>Total</t>
  </si>
  <si>
    <t>Date</t>
  </si>
  <si>
    <t>File #</t>
  </si>
  <si>
    <t>Exercisable</t>
  </si>
  <si>
    <t>Strike Price</t>
  </si>
  <si>
    <t>Outstanding</t>
  </si>
  <si>
    <t>Value</t>
  </si>
  <si>
    <t>Pre 1996 JEDI</t>
  </si>
  <si>
    <t>PHY with Cash Option</t>
  </si>
  <si>
    <t>JEDI</t>
  </si>
  <si>
    <t>PHY</t>
  </si>
  <si>
    <t>TOTAL</t>
  </si>
  <si>
    <t>Value of Options "in the money" using  Quarter Mkt Price of</t>
  </si>
  <si>
    <t>Value of Options "in the money" using  YTD Mkt Price of</t>
  </si>
  <si>
    <t>Spread (between Exercise Value and Period Market Price)</t>
  </si>
  <si>
    <t>Divided by:</t>
  </si>
  <si>
    <t>Dilutive Effect (in shares) of Put Options</t>
  </si>
  <si>
    <t>SBC Warburg</t>
  </si>
  <si>
    <t>Forward</t>
  </si>
  <si>
    <t>Trade Date</t>
  </si>
  <si>
    <t>Maturity Date</t>
  </si>
  <si>
    <t>Shares</t>
  </si>
  <si>
    <t>Intial Price</t>
  </si>
  <si>
    <t>Notional Price</t>
  </si>
  <si>
    <t>Common Stock</t>
  </si>
  <si>
    <t>ENRON CORP. FORWARD CONTRACT</t>
  </si>
  <si>
    <t>INITIAL PRICE DETERMINATION</t>
  </si>
  <si>
    <t>As of</t>
  </si>
  <si>
    <t>Reset Date</t>
  </si>
  <si>
    <t>Mkt Val</t>
  </si>
  <si>
    <t>Spread</t>
  </si>
  <si>
    <t>Net</t>
  </si>
  <si>
    <t>TRADE</t>
  </si>
  <si>
    <t>PURCHASED</t>
  </si>
  <si>
    <t>COST PER</t>
  </si>
  <si>
    <t>DIV</t>
  </si>
  <si>
    <t>COST LESS</t>
  </si>
  <si>
    <t># OF</t>
  </si>
  <si>
    <t>CARRYING</t>
  </si>
  <si>
    <t>CUM</t>
  </si>
  <si>
    <t>CUMULATIVE</t>
  </si>
  <si>
    <t>UNADJ FWD</t>
  </si>
  <si>
    <t>DATE</t>
  </si>
  <si>
    <t>SHARES</t>
  </si>
  <si>
    <t>SHARE COST</t>
  </si>
  <si>
    <t>SHARE</t>
  </si>
  <si>
    <t>REC</t>
  </si>
  <si>
    <t>DIVIDENDS</t>
  </si>
  <si>
    <t>DAYS</t>
  </si>
  <si>
    <t>LIBOR</t>
  </si>
  <si>
    <t>COST</t>
  </si>
  <si>
    <t>PRICE</t>
  </si>
  <si>
    <t>Bal Fwd</t>
  </si>
  <si>
    <t>Sub Purch</t>
  </si>
  <si>
    <t>Commission</t>
  </si>
  <si>
    <t>Total Purch for Month</t>
  </si>
  <si>
    <t>No. of Shares</t>
  </si>
  <si>
    <t>MTM</t>
  </si>
  <si>
    <t>Fiscal</t>
  </si>
  <si>
    <t>Exp Date</t>
  </si>
  <si>
    <t>Premium Received</t>
  </si>
  <si>
    <t>Settlement</t>
  </si>
  <si>
    <t xml:space="preserve">Physical </t>
  </si>
  <si>
    <t>Note: Contracts settle Physical.  Jill spoke with Jeremy Gagnon, he said should settle physical with a cash option.</t>
  </si>
  <si>
    <t>Daily</t>
  </si>
  <si>
    <t>Volatility</t>
  </si>
  <si>
    <t>Strike</t>
  </si>
  <si>
    <t>UBS</t>
  </si>
  <si>
    <t>Price</t>
  </si>
  <si>
    <t>Premium</t>
  </si>
  <si>
    <t>*</t>
  </si>
  <si>
    <t>Opening</t>
  </si>
  <si>
    <t>Closing</t>
  </si>
  <si>
    <t>Stock</t>
  </si>
  <si>
    <t>In additon, ECM will reimburse ECT for the $22,824,327.00 purchase price of the puts in the form of 20 quarterly cash payments of $1,141,216.35</t>
  </si>
  <si>
    <t>Opening value</t>
  </si>
  <si>
    <t>Closing Value</t>
  </si>
  <si>
    <t>Premium:</t>
  </si>
  <si>
    <t>Total Premium</t>
  </si>
  <si>
    <t xml:space="preserve">     MTM</t>
  </si>
  <si>
    <t xml:space="preserve"> </t>
  </si>
  <si>
    <t>Market Price</t>
  </si>
  <si>
    <t>Opening price</t>
  </si>
  <si>
    <t>Value of Puts:</t>
  </si>
  <si>
    <t># of Puts</t>
  </si>
  <si>
    <r>
      <t xml:space="preserve">MTM Gain/(loss) on Value of ENE </t>
    </r>
    <r>
      <rPr>
        <b/>
        <u/>
        <sz val="10"/>
        <rFont val="Arial"/>
        <family val="2"/>
      </rPr>
      <t>shares</t>
    </r>
    <r>
      <rPr>
        <b/>
        <sz val="10"/>
        <rFont val="Arial"/>
        <family val="2"/>
      </rPr>
      <t xml:space="preserve"> held:</t>
    </r>
  </si>
  <si>
    <t>ECT's differential $56 to $54.0625:</t>
  </si>
  <si>
    <t>Closing/Market Value</t>
  </si>
  <si>
    <t>Carrying Value:</t>
  </si>
  <si>
    <t xml:space="preserve">     Premiums:</t>
  </si>
  <si>
    <t xml:space="preserve">     Total Premium</t>
  </si>
  <si>
    <t xml:space="preserve">     Opening value</t>
  </si>
  <si>
    <t>Closing carrying value</t>
  </si>
  <si>
    <t>Quarterly gain/(loss)</t>
  </si>
  <si>
    <t>Note:  Note MTM actiivty, will take the gain/loss at unwind date.</t>
  </si>
  <si>
    <t>Reported on DPR</t>
  </si>
  <si>
    <t>Year 1998</t>
  </si>
  <si>
    <t>JEDI/ENRON Put</t>
  </si>
  <si>
    <t>JEDI bought a Put from Enron</t>
  </si>
  <si>
    <t>Number of Options</t>
  </si>
  <si>
    <t>Expires 7/14/2003</t>
  </si>
  <si>
    <t>JEDI pays a premium of:</t>
  </si>
  <si>
    <t>7/13/98    At strike of $54.0625</t>
  </si>
  <si>
    <t>1/12/99    At strike of $65</t>
  </si>
  <si>
    <t>3/11/99    At strike of $71</t>
  </si>
  <si>
    <t xml:space="preserve">          Total premium</t>
  </si>
  <si>
    <t>Enron sold a Put to JEDI</t>
  </si>
  <si>
    <t>Enron received (or has a note to receive) the total premium.</t>
  </si>
  <si>
    <t>Enron booked this to their balance sheet, with</t>
  </si>
  <si>
    <t>no earnings impact.  It is booked to Equity.</t>
  </si>
  <si>
    <r>
      <t xml:space="preserve">If the market price is </t>
    </r>
    <r>
      <rPr>
        <b/>
        <sz val="10"/>
        <rFont val="Arial"/>
        <family val="2"/>
      </rPr>
      <t>above</t>
    </r>
    <r>
      <rPr>
        <sz val="10"/>
        <rFont val="Arial"/>
        <family val="2"/>
      </rPr>
      <t xml:space="preserve"> the strike then</t>
    </r>
  </si>
  <si>
    <t>the put is antidilutive.</t>
  </si>
  <si>
    <r>
      <t xml:space="preserve">If the market price is </t>
    </r>
    <r>
      <rPr>
        <b/>
        <sz val="10"/>
        <rFont val="Arial"/>
        <family val="2"/>
      </rPr>
      <t>below</t>
    </r>
    <r>
      <rPr>
        <sz val="10"/>
        <rFont val="Arial"/>
        <family val="2"/>
      </rPr>
      <t xml:space="preserve"> the strike then</t>
    </r>
  </si>
  <si>
    <t>the put is dilutive.</t>
  </si>
  <si>
    <t>Dilution</t>
  </si>
  <si>
    <t>Estimate</t>
  </si>
  <si>
    <t>Strike price is</t>
  </si>
  <si>
    <t>Market price is</t>
  </si>
  <si>
    <t>The closer the market is to strike, the less shares required to settle</t>
  </si>
  <si>
    <t>Average market price</t>
  </si>
  <si>
    <t>Dilution effect:</t>
  </si>
  <si>
    <t xml:space="preserve">     Cash settle</t>
  </si>
  <si>
    <t># of options x (option price - market price)</t>
  </si>
  <si>
    <t xml:space="preserve">     Share settle</t>
  </si>
  <si>
    <t>Shares to be issued = # of options x (option price - market price)</t>
  </si>
  <si>
    <t>divided by the average price</t>
  </si>
  <si>
    <t>To calculate the number of shares, the agreement call for market price on the</t>
  </si>
  <si>
    <t>settlement date.  For disclosure purposes, Enron uses average market price.</t>
  </si>
  <si>
    <t>Enron's share settle for disclosure</t>
  </si>
  <si>
    <t>Shares to be issued = # of options x (option price - average market price)</t>
  </si>
  <si>
    <t>divided by the average market price</t>
  </si>
  <si>
    <t>Quarter End</t>
  </si>
  <si>
    <t>Year 1999</t>
  </si>
  <si>
    <t xml:space="preserve">  ECM's 60%</t>
  </si>
  <si>
    <t>ECM's 60%</t>
  </si>
  <si>
    <t>SBC</t>
  </si>
  <si>
    <t>ORIGINAL JEDI POSITIONS</t>
  </si>
  <si>
    <t>Premium Paid</t>
  </si>
  <si>
    <t>Forward Contract</t>
  </si>
  <si>
    <t>ECT SWAP 3/99</t>
  </si>
  <si>
    <t>Stike Price</t>
  </si>
  <si>
    <t>This is the Swap between ECM and ECT</t>
  </si>
  <si>
    <t>Total VaR</t>
  </si>
  <si>
    <t>SBC Warburg and UBS Forwards were excluded due to separate board approval limits.</t>
  </si>
  <si>
    <t>All Positions VAR</t>
  </si>
  <si>
    <t>Valuation Date</t>
  </si>
  <si>
    <t>Total Delta</t>
  </si>
  <si>
    <t>Total Gamma</t>
  </si>
  <si>
    <t>Risk free rate</t>
  </si>
  <si>
    <t>Number of Trading days/yr</t>
  </si>
  <si>
    <t>All</t>
  </si>
  <si>
    <t>Position</t>
  </si>
  <si>
    <t>Seller</t>
  </si>
  <si>
    <t>Effective Date</t>
  </si>
  <si>
    <t>Termination Date</t>
  </si>
  <si>
    <t>Current Price</t>
  </si>
  <si>
    <t>Dividend Yield</t>
  </si>
  <si>
    <t>Instrument type [Call=1; Put=0; Frwd=Frwd]</t>
  </si>
  <si>
    <t>Option Style</t>
  </si>
  <si>
    <t>Number of Instruments (Long=1, Short=-1, DoNotConsider=0)</t>
  </si>
  <si>
    <t>Option Delta</t>
  </si>
  <si>
    <t>Option Gamma</t>
  </si>
  <si>
    <t>VaR</t>
  </si>
  <si>
    <t>Shares held</t>
  </si>
  <si>
    <t>Spot</t>
  </si>
  <si>
    <t>NA</t>
  </si>
  <si>
    <t>Physical</t>
  </si>
  <si>
    <t>Frwd</t>
  </si>
  <si>
    <t>Call</t>
  </si>
  <si>
    <t>European</t>
  </si>
  <si>
    <t>Put</t>
  </si>
  <si>
    <t>1.645 = 95% confidence interval</t>
  </si>
  <si>
    <t>ENE Equity HP</t>
  </si>
  <si>
    <t xml:space="preserve">ENE Equity DVD </t>
  </si>
  <si>
    <t>weighted avg</t>
  </si>
  <si>
    <t>ENE Equity HVT</t>
  </si>
  <si>
    <t xml:space="preserve">Notional </t>
  </si>
  <si>
    <t>Total Notional</t>
  </si>
  <si>
    <t>Notional (defined as Delta times Price)</t>
  </si>
  <si>
    <t>Premium Owed:</t>
  </si>
  <si>
    <t>Premium Paid:</t>
  </si>
  <si>
    <t>Total Owed</t>
  </si>
  <si>
    <t>011-2010-100-0000</t>
  </si>
  <si>
    <t>Coded to:</t>
  </si>
  <si>
    <t>Balance Due:</t>
  </si>
  <si>
    <t>Premiums JEDI I owes and paid Enron on Puts</t>
  </si>
  <si>
    <t>60% of Shares</t>
  </si>
  <si>
    <t>NPI %</t>
  </si>
  <si>
    <t>Links</t>
  </si>
  <si>
    <t>Values</t>
  </si>
  <si>
    <t>Var</t>
  </si>
  <si>
    <t>Daily P&amp;L</t>
  </si>
  <si>
    <t>QTD</t>
  </si>
  <si>
    <t>YTD</t>
  </si>
  <si>
    <t>New Forward</t>
  </si>
  <si>
    <t>0011-35000000</t>
  </si>
  <si>
    <t>MSA</t>
  </si>
  <si>
    <t>SAP</t>
  </si>
  <si>
    <t>Pre-Split shares:</t>
  </si>
  <si>
    <t>Post-split shares:</t>
  </si>
  <si>
    <t>Pre-Split:</t>
  </si>
  <si>
    <t xml:space="preserve">Post- Split </t>
  </si>
  <si>
    <t>Stock Split 8-16-99</t>
  </si>
  <si>
    <t>Pre-Split Price:</t>
  </si>
  <si>
    <t>Post Split</t>
  </si>
  <si>
    <t>2,888,249 came available for early settlement on 7/12/99</t>
  </si>
  <si>
    <t>Post Split Share/Option</t>
  </si>
  <si>
    <t>Post Split Strike or Forward Price</t>
  </si>
  <si>
    <t>the ENE position.  This caused most of the $3.8mm gain.</t>
  </si>
  <si>
    <t>ENE/JEDI Swap</t>
  </si>
  <si>
    <t>Opening Value</t>
  </si>
  <si>
    <t xml:space="preserve">  NET Position</t>
  </si>
  <si>
    <t>Puts bought back on 12/14/99 for 9/10/99 price of $4.351632</t>
  </si>
  <si>
    <t>for value $52,275,302.00.</t>
  </si>
  <si>
    <t>Entries should have been:</t>
  </si>
  <si>
    <t>Cash</t>
  </si>
  <si>
    <t xml:space="preserve">  Equity</t>
  </si>
  <si>
    <t>Accts Receivable</t>
  </si>
  <si>
    <t xml:space="preserve">  Accts Receivable</t>
  </si>
  <si>
    <t>Equity</t>
  </si>
  <si>
    <t xml:space="preserve">  Cash</t>
  </si>
  <si>
    <t>Entries were:</t>
  </si>
  <si>
    <t>Terminates</t>
  </si>
  <si>
    <t>Year 2000</t>
  </si>
  <si>
    <t>Shares:</t>
  </si>
  <si>
    <t>Equity Payment (Warburg pays if price goes up/Enron pays if price goes down)</t>
  </si>
  <si>
    <t>Interest Payment (Enron pays)</t>
  </si>
  <si>
    <t>Expected quarterly dividend</t>
  </si>
  <si>
    <t>Dividend rebate</t>
  </si>
  <si>
    <t>Interest Rate</t>
  </si>
  <si>
    <t>Annual Day Count</t>
  </si>
  <si>
    <t>Beginning of period</t>
  </si>
  <si>
    <t>End of period</t>
  </si>
  <si>
    <t>Day Count</t>
  </si>
  <si>
    <t>Annual Factor</t>
  </si>
  <si>
    <t>All in Rate</t>
  </si>
  <si>
    <t>Payment</t>
  </si>
  <si>
    <t>Net receipt/(payment)</t>
  </si>
  <si>
    <t>Stock Hedge</t>
  </si>
  <si>
    <t>1st Qtr 00</t>
  </si>
  <si>
    <t>2nd Qtr 00</t>
  </si>
  <si>
    <t>Today's Date</t>
  </si>
  <si>
    <t>4 th Qtr 00</t>
  </si>
  <si>
    <t>3 rd Qtr 00</t>
  </si>
  <si>
    <t>Must change pink cells annually.</t>
  </si>
  <si>
    <t>INSTRUCTIONS</t>
  </si>
  <si>
    <t xml:space="preserve">  Tools</t>
  </si>
  <si>
    <t>Run the macro by:</t>
  </si>
  <si>
    <t xml:space="preserve">  Macro</t>
  </si>
  <si>
    <t xml:space="preserve">  Macros</t>
  </si>
  <si>
    <t xml:space="preserve">  Run</t>
  </si>
  <si>
    <t>Swap</t>
  </si>
  <si>
    <t>Year 2001</t>
  </si>
  <si>
    <t>Price on Sep 10 when sold</t>
  </si>
  <si>
    <t>Share</t>
  </si>
  <si>
    <t>Unwind Price</t>
  </si>
  <si>
    <t>EGF NPI                   36.12%</t>
  </si>
  <si>
    <t>EGF                               60%</t>
  </si>
  <si>
    <t>JEDI/ENE Shares</t>
  </si>
  <si>
    <t xml:space="preserve">    EGF P&amp;L</t>
  </si>
  <si>
    <t>JEDI                             100%</t>
  </si>
  <si>
    <t>JEDI/ENE Puts</t>
  </si>
  <si>
    <t>Stock10</t>
  </si>
  <si>
    <t>Put 1</t>
  </si>
  <si>
    <t>Put 2</t>
  </si>
  <si>
    <t>ECT Swap 1</t>
  </si>
  <si>
    <t>ECT Swap 2</t>
  </si>
  <si>
    <t>WDR1304771</t>
  </si>
  <si>
    <t>WARBURG</t>
  </si>
  <si>
    <t>Run Macro</t>
  </si>
  <si>
    <t>Go to worksheet "Input"</t>
  </si>
  <si>
    <t>Fax to:</t>
  </si>
  <si>
    <t>Bloomberg Parameters</t>
  </si>
  <si>
    <t>for Put:</t>
  </si>
  <si>
    <t>Rate:</t>
  </si>
  <si>
    <t>Continuous:</t>
  </si>
  <si>
    <t>Exercise Type:</t>
  </si>
  <si>
    <t>Put or Call:</t>
  </si>
  <si>
    <t>Trade:</t>
  </si>
  <si>
    <t>Expiration:</t>
  </si>
  <si>
    <t>Settle Date:</t>
  </si>
  <si>
    <t>Volatility:</t>
  </si>
  <si>
    <t>current day plus 3</t>
  </si>
  <si>
    <t>current day</t>
  </si>
  <si>
    <t>A</t>
  </si>
  <si>
    <t>C</t>
  </si>
  <si>
    <t>use daily price at close</t>
  </si>
  <si>
    <t>American</t>
  </si>
  <si>
    <t>ECM Equity Position Limits</t>
  </si>
  <si>
    <t>Stock11</t>
  </si>
  <si>
    <t>Swap11</t>
  </si>
  <si>
    <t>LP                                3.88%</t>
  </si>
  <si>
    <t>JEDI/ENE Swap</t>
  </si>
  <si>
    <t>Forwards/Puts/Swaps</t>
  </si>
  <si>
    <t>Shares bought</t>
  </si>
  <si>
    <t>Repurchase Puts</t>
  </si>
  <si>
    <t>Open Positions</t>
  </si>
  <si>
    <t>Trade</t>
  </si>
  <si>
    <t>Fixed/</t>
  </si>
  <si>
    <t>Expiration</t>
  </si>
  <si>
    <t>Counterparty</t>
  </si>
  <si>
    <t># Contracts</t>
  </si>
  <si>
    <t>Floating</t>
  </si>
  <si>
    <t>Notes</t>
  </si>
  <si>
    <t>UBS-Warburg Dillon Read</t>
  </si>
  <si>
    <t>Fixed</t>
  </si>
  <si>
    <t>Reset every six months</t>
  </si>
  <si>
    <t>JEDI LP</t>
  </si>
  <si>
    <t>????</t>
  </si>
  <si>
    <t>Warburg Dillon Read</t>
  </si>
  <si>
    <t>Phantom Stock Plan</t>
  </si>
  <si>
    <t>Average Strike</t>
  </si>
  <si>
    <t>PUT CURSOR ONE ROW ABOVE THIS</t>
  </si>
  <si>
    <t>ROW SO FORMULAS WILL CHANGE</t>
  </si>
  <si>
    <t>WHEN YOU NEED TO ADD MORE DATES</t>
  </si>
  <si>
    <r>
      <t>Warburg Dillon Read - Ref #</t>
    </r>
    <r>
      <rPr>
        <b/>
        <sz val="10"/>
        <color indexed="12"/>
        <rFont val="Arial"/>
        <family val="2"/>
      </rPr>
      <t>1305741</t>
    </r>
  </si>
  <si>
    <t>WDR1305741</t>
  </si>
  <si>
    <r>
      <t xml:space="preserve">Warburg Dillon Read - Ref # </t>
    </r>
    <r>
      <rPr>
        <b/>
        <sz val="10"/>
        <color indexed="12"/>
        <rFont val="Arial"/>
        <family val="2"/>
      </rPr>
      <t>1304563</t>
    </r>
  </si>
  <si>
    <t>THIS IS AN EQUITY FORWARD-NOT ON P&amp;L</t>
  </si>
  <si>
    <t>Price Jan 20, 2000</t>
  </si>
  <si>
    <t>Current Date</t>
  </si>
  <si>
    <t>Interest Payment Date</t>
  </si>
  <si>
    <t>Quarter End Date</t>
  </si>
  <si>
    <t xml:space="preserve">     Lowest Date</t>
  </si>
  <si>
    <t>Phantom Stock Hedge</t>
  </si>
  <si>
    <t>Warburg Dillon Read - Ref #</t>
  </si>
  <si>
    <t>Interest Payment Dates</t>
  </si>
  <si>
    <t>Beginning of period - Interest</t>
  </si>
  <si>
    <t>End of period - Interest</t>
  </si>
  <si>
    <t>Day Count - Interest</t>
  </si>
  <si>
    <t>Beginning of period - Annual Factor</t>
  </si>
  <si>
    <t>End of period - Annual Factor</t>
  </si>
  <si>
    <t>Day Count for Annual Factor</t>
  </si>
  <si>
    <t>Net receipt/(payment) on Interest Payment Date</t>
  </si>
  <si>
    <t>Amount per Bank</t>
  </si>
  <si>
    <t xml:space="preserve">     Difference</t>
  </si>
  <si>
    <t>Swap JEDI</t>
  </si>
  <si>
    <t>Shares held JEDI</t>
  </si>
  <si>
    <t>Income goes to ENA</t>
  </si>
  <si>
    <t>EOG sold to third party.  Enron can purchase 6.4mm at $19.5938</t>
  </si>
  <si>
    <t>NBMS</t>
  </si>
  <si>
    <t>3/24/99-4/15/99</t>
  </si>
  <si>
    <t>Summary of Option Trades with NBMS</t>
  </si>
  <si>
    <t>EOG Options</t>
  </si>
  <si>
    <t>Net Price</t>
  </si>
  <si>
    <t>Proceeds</t>
  </si>
  <si>
    <t># Shares</t>
  </si>
  <si>
    <t>Pre-Split</t>
  </si>
  <si>
    <t>Credit Suisse</t>
  </si>
  <si>
    <t>Dividend Payment (CSBI pays)</t>
  </si>
  <si>
    <t>CREDIT SUISSE</t>
  </si>
  <si>
    <t>DWR Swap - 1304771</t>
  </si>
  <si>
    <t>CSFB Swap 4/5/00</t>
  </si>
  <si>
    <t>CSFB Swap 4/6/00</t>
  </si>
  <si>
    <t>Closing Price</t>
  </si>
  <si>
    <t>ENE SUMMARY</t>
  </si>
  <si>
    <t>ENE DETAIL</t>
  </si>
  <si>
    <t>DISTRIBUTE TO:</t>
  </si>
  <si>
    <t>Andy Fastow - by hand</t>
  </si>
  <si>
    <t>Tim DeSpain</t>
  </si>
  <si>
    <t>Jeff Nogid</t>
  </si>
  <si>
    <t>JEDI Cap on Earnings</t>
  </si>
  <si>
    <t>V@R</t>
  </si>
  <si>
    <t>Limit(MM)</t>
  </si>
  <si>
    <t>Current Position</t>
  </si>
  <si>
    <t>(Includes 60% of JEDI if an open position)</t>
  </si>
  <si>
    <t>Open Position (Notional)</t>
  </si>
  <si>
    <t>FBCO</t>
  </si>
  <si>
    <t>Terminated</t>
  </si>
  <si>
    <t>Closed Positions - 2000</t>
  </si>
  <si>
    <t>No</t>
  </si>
  <si>
    <t>Yes</t>
  </si>
  <si>
    <t>&lt;&lt;&lt;--- (trade ticket says 4/10/00)</t>
  </si>
  <si>
    <t>Equity Payment (CSFB pays if price goes up/Enron pays if price goes down)</t>
  </si>
  <si>
    <t>Share settle only</t>
  </si>
  <si>
    <t>Early termination</t>
  </si>
  <si>
    <t>(need rate)</t>
  </si>
  <si>
    <t>Barry Schnapper</t>
  </si>
  <si>
    <t>EMAIL TO:</t>
  </si>
  <si>
    <t>Chris Abel</t>
  </si>
  <si>
    <t>Daniel Falcone</t>
  </si>
  <si>
    <t>cc: Todd Hall, Susie Ayala, David Maxwell</t>
  </si>
  <si>
    <t>REVISED</t>
  </si>
  <si>
    <t>ENRON CORP - EGF P&amp;L</t>
  </si>
  <si>
    <t>STOCK BOOK</t>
  </si>
  <si>
    <t>Opening Price - BOQ</t>
  </si>
  <si>
    <t>Closing Price - EOQ</t>
  </si>
  <si>
    <t>Closing Price -</t>
  </si>
  <si>
    <t>Available</t>
  </si>
  <si>
    <t>Capacity (shares)</t>
  </si>
  <si>
    <t>1st Qtr</t>
  </si>
  <si>
    <t>2nd Qtr</t>
  </si>
  <si>
    <t>3rd Qtr</t>
  </si>
  <si>
    <t>4th Qtr</t>
  </si>
  <si>
    <t>OPEN MTM POSITIONS</t>
  </si>
  <si>
    <t>Bear Stearns</t>
  </si>
  <si>
    <t>5-24-00 swap at $66.8698</t>
  </si>
  <si>
    <t>CSFB</t>
  </si>
  <si>
    <t>4-5-00 swap at $66.9165</t>
  </si>
  <si>
    <t>(converted to non-mtm at $76.125)</t>
  </si>
  <si>
    <t>4-6-00 swap at $67.6129</t>
  </si>
  <si>
    <t>4-17-00 swap at $64.7981</t>
  </si>
  <si>
    <t>Warburg</t>
  </si>
  <si>
    <t>1-21-00 swap at $55.9375</t>
  </si>
  <si>
    <t>Merrill Lynch</t>
  </si>
  <si>
    <t>No trades to date</t>
  </si>
  <si>
    <t>(closed at $65.4375)</t>
  </si>
  <si>
    <t>EGF P&amp;L</t>
  </si>
  <si>
    <t>1-20-00 swap at $61.00</t>
  </si>
  <si>
    <t>4-20-00 swap at $71.00</t>
  </si>
  <si>
    <t>(closed 4-20-00 at $71.00)</t>
  </si>
  <si>
    <t>NOTES:</t>
  </si>
  <si>
    <t>1.  Position limits exclude ENA position, which is reflected in ENA equity books position report.</t>
  </si>
  <si>
    <t>2.  Includes 60% of JEDI, if an open position.</t>
  </si>
  <si>
    <t>3.  P&amp;L includes cost of financing.</t>
  </si>
  <si>
    <t>EGF Equity Position Limits</t>
  </si>
  <si>
    <t>Limit ($MM)</t>
  </si>
  <si>
    <t>Current Position ($MM)</t>
  </si>
  <si>
    <t>Notional Open</t>
  </si>
  <si>
    <t>DO NOT USE THIS REPORT ANY MORE-5/31/00</t>
  </si>
  <si>
    <t>CONTACTS:</t>
  </si>
  <si>
    <t xml:space="preserve">CSFB </t>
  </si>
  <si>
    <t>Osmar Habib</t>
  </si>
  <si>
    <t>713-220-6704</t>
  </si>
  <si>
    <t>214-969-4040</t>
  </si>
  <si>
    <t>Jim Hunt</t>
  </si>
  <si>
    <t>Mark DeVito</t>
  </si>
  <si>
    <t>212-449-4908</t>
  </si>
  <si>
    <t>212-272-2833</t>
  </si>
  <si>
    <t>Tom Blair</t>
  </si>
  <si>
    <t>Lehman</t>
  </si>
  <si>
    <t>Greg Hall</t>
  </si>
  <si>
    <t>212-526-4502</t>
  </si>
  <si>
    <t>Prior Day</t>
  </si>
  <si>
    <t xml:space="preserve">  Be sure "Daily" is highlighted</t>
  </si>
  <si>
    <t>Print "Report" worksheet.</t>
  </si>
  <si>
    <t>Hand carry to Andy Fastow</t>
  </si>
  <si>
    <t>Jeff Kinneman</t>
  </si>
  <si>
    <t>Gary Hickerson</t>
  </si>
  <si>
    <t>David Vitrella</t>
  </si>
  <si>
    <t>Save the file with the "Report" worksheet open and E-mail to:</t>
  </si>
  <si>
    <t>BEST Swap 5/24/00</t>
  </si>
  <si>
    <t>Change dates yearly</t>
  </si>
  <si>
    <t>Quarterly - put in price on "Report"</t>
  </si>
  <si>
    <t>cc: Todd Hall, Susie Ayala, David Maxwell, Michael Benien</t>
  </si>
  <si>
    <t>ENE Shares</t>
  </si>
  <si>
    <t>Current Open</t>
  </si>
  <si>
    <t>NON-MTM POSITIONS</t>
  </si>
  <si>
    <t>Clint Freeland</t>
  </si>
  <si>
    <t>EFFECTIVE JUNE 1 THIS WAS MOVED TO PHANTOM</t>
  </si>
  <si>
    <t>Interest Rate Reset the 12th of each month.  Enron may settle any time.  Settlement in cash or stock.  Had 6,703,300.  Assigned 2,888,249 to LJM Cayman on 6/30/99.  Stock split took shares from 3,815,051 to 7,630,102.  Assigned 3,224,795 to Talon I LLC on April 24, 2000.</t>
  </si>
  <si>
    <t>Talon I LLC</t>
  </si>
  <si>
    <t>(converted to non-mtm at $73.75</t>
  </si>
  <si>
    <t>MLCO</t>
  </si>
  <si>
    <t>6-27-00 swap at $68.4743</t>
  </si>
  <si>
    <t>6-28-00 swap at $68.50</t>
  </si>
  <si>
    <t>6-29-00 swap at $68.50</t>
  </si>
  <si>
    <t>CSFB Swap 6/27/00</t>
  </si>
  <si>
    <t>DWR Swap  6/28/00</t>
  </si>
  <si>
    <t>DWR Swap 6/29/00</t>
  </si>
  <si>
    <t>6-30-00 swap at $68.3358</t>
  </si>
  <si>
    <t>Equity Payment (Dealer pays if price goes up/Enron pays if price goes down)</t>
  </si>
  <si>
    <t>Dividend Payment (Dealer pays)</t>
  </si>
  <si>
    <t>6-23 split       Income goes to ENA</t>
  </si>
  <si>
    <t>6-23 split       from the orig 280,000</t>
  </si>
  <si>
    <t>Early termination 5/8/00 - converted to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</si>
</sst>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8">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_(* #,##0_);_(* \(#,##0\);_(* &quot;-&quot;??_);_(@_)"/>
    <numFmt numFmtId="168" formatCode="_(* #,##0.0000_);_(* \(#,##0.0000\);_(* &quot;-&quot;??_);_(@_)"/>
    <numFmt numFmtId="169" formatCode="mmmm\ d\,\ yyyy"/>
    <numFmt numFmtId="174" formatCode="0.0000%"/>
    <numFmt numFmtId="175" formatCode="hh:mm\ AM/PM_)"/>
    <numFmt numFmtId="176" formatCode="mm/dd/yy_)"/>
    <numFmt numFmtId="177" formatCode="General_)"/>
    <numFmt numFmtId="178" formatCode="0_)"/>
    <numFmt numFmtId="184" formatCode="dd\-mmm\-yy_)"/>
    <numFmt numFmtId="185" formatCode="#,##0.000_);\(#,##0.000\)"/>
    <numFmt numFmtId="186" formatCode="#,##0.0000_);\(#,##0.0000\)"/>
    <numFmt numFmtId="197" formatCode="0.0"/>
    <numFmt numFmtId="198" formatCode="0.000"/>
    <numFmt numFmtId="199" formatCode="0.0000"/>
    <numFmt numFmtId="200" formatCode="0.00000"/>
    <numFmt numFmtId="201" formatCode="0.000000"/>
    <numFmt numFmtId="208" formatCode="#,##0.0000"/>
    <numFmt numFmtId="211" formatCode="_(&quot;$&quot;* #,##0_);_(&quot;$&quot;* \(#,##0\);_(&quot;$&quot;* &quot;-&quot;??_);_(@_)"/>
    <numFmt numFmtId="213" formatCode="_(* #,##0.00000_);_(* \(#,##0.00000\);_(* &quot;-&quot;??_);_(@_)"/>
    <numFmt numFmtId="215" formatCode="_(* #,##0.0000000_);_(* \(#,##0.0000000\);_(* &quot;-&quot;??_);_(@_)"/>
    <numFmt numFmtId="218" formatCode="0.00000%"/>
    <numFmt numFmtId="221" formatCode="&quot;$&quot;#,##0.000_);\(&quot;$&quot;#,##0.000\)"/>
    <numFmt numFmtId="249" formatCode="_-&quot;\&quot;* #,##0_-;\-&quot;\&quot;* #,##0_-;_-&quot;\&quot;* &quot;-&quot;_-;_-@_-"/>
    <numFmt numFmtId="250" formatCode="_-* #,##0_-;\-* #,##0_-;_-* &quot;-&quot;_-;_-@_-"/>
    <numFmt numFmtId="251" formatCode="_-&quot;\&quot;* #,##0.00_-;\-&quot;\&quot;* #,##0.00_-;_-&quot;\&quot;* &quot;-&quot;??_-;_-@_-"/>
    <numFmt numFmtId="252" formatCode="_-* #,##0.00_-;\-* #,##0.00_-;_-* &quot;-&quot;??_-;_-@_-"/>
    <numFmt numFmtId="258" formatCode="&quot;\&quot;#,##0;[Red]&quot;\&quot;\-#,##0"/>
    <numFmt numFmtId="259" formatCode="&quot;\&quot;#,##0.00;&quot;\&quot;\-#,##0.00"/>
    <numFmt numFmtId="260" formatCode="&quot;\&quot;#,##0.00;[Red]&quot;\&quot;\-#,##0.00"/>
    <numFmt numFmtId="261" formatCode="_ &quot;\&quot;* #,##0_ ;_ &quot;\&quot;* \-#,##0_ ;_ &quot;\&quot;* &quot;-&quot;_ ;_ @_ "/>
    <numFmt numFmtId="262" formatCode="_ * #,##0_ ;_ * \-#,##0_ ;_ * &quot;-&quot;_ ;_ @_ "/>
    <numFmt numFmtId="263" formatCode="_ &quot;\&quot;* #,##0.00_ ;_ &quot;\&quot;* \-#,##0.00_ ;_ &quot;\&quot;* &quot;-&quot;??_ ;_ @_ "/>
    <numFmt numFmtId="264" formatCode="_ * #,##0.00_ ;_ * \-#,##0.00_ ;_ * &quot;-&quot;??_ ;_ @_ "/>
    <numFmt numFmtId="271" formatCode="_ &quot;\&quot;* #,##0.00_ ;_ &quot;\&quot;* &quot;\&quot;\-#,##0.00_ ;_ &quot;\&quot;* &quot;-&quot;??_ ;_ @_ "/>
    <numFmt numFmtId="275" formatCode="&quot;\&quot;#,##0.00;&quot;\&quot;&quot;\&quot;&quot;\&quot;\-#,##0.00"/>
    <numFmt numFmtId="277" formatCode="_ &quot;\&quot;* #,##0_ ;_ &quot;\&quot;* &quot;\&quot;&quot;\&quot;\-#,##0_ ;_ &quot;\&quot;* &quot;-&quot;_ ;_ @_ "/>
    <numFmt numFmtId="278" formatCode="_ * #,##0_ ;_ * &quot;\&quot;&quot;\&quot;\-#,##0_ ;_ * &quot;-&quot;_ ;_ @_ "/>
    <numFmt numFmtId="279" formatCode="_ &quot;\&quot;* #,##0.00_ ;_ &quot;\&quot;* &quot;\&quot;&quot;\&quot;\-#,##0.00_ ;_ &quot;\&quot;* &quot;-&quot;??_ ;_ @_ "/>
    <numFmt numFmtId="282" formatCode="&quot;\&quot;#,##0;[Red]&quot;\&quot;&quot;\&quot;&quot;\&quot;&quot;\&quot;\-#,##0"/>
    <numFmt numFmtId="290" formatCode="#,##0;[Red]&quot;-&quot;#,##0"/>
    <numFmt numFmtId="292" formatCode="#,##0.00;[Red]&quot;-&quot;#,##0.00"/>
    <numFmt numFmtId="294" formatCode="#&quot;\&quot;&quot;\&quot;&quot;\&quot;&quot;\&quot;\ ??/??"/>
    <numFmt numFmtId="301" formatCode="yy&quot;\&quot;&quot;\&quot;&quot;\&quot;\-mm&quot;\&quot;&quot;\&quot;&quot;\&quot;\-dd&quot;\&quot;&quot;\&quot;&quot;\&quot;&quot;\&quot;\ h:mm"/>
    <numFmt numFmtId="306" formatCode="_ &quot;\&quot;* #,##0_ ;_ &quot;\&quot;* &quot;\&quot;&quot;\&quot;&quot;\&quot;&quot;\&quot;\-#,##0_ ;_ &quot;\&quot;* &quot;-&quot;_ ;_ @_ "/>
    <numFmt numFmtId="307" formatCode="_ * #,##0_ ;_ * &quot;\&quot;&quot;\&quot;&quot;\&quot;&quot;\&quot;\-#,##0_ ;_ * &quot;-&quot;_ ;_ @_ "/>
    <numFmt numFmtId="308" formatCode="_ &quot;\&quot;* #,##0.00_ ;_ &quot;\&quot;* &quot;\&quot;&quot;\&quot;&quot;\&quot;&quot;\&quot;\-#,##0.00_ ;_ &quot;\&quot;* &quot;-&quot;??_ ;_ @_ "/>
    <numFmt numFmtId="309" formatCode="_ * #,##0.00_ ;_ * &quot;\&quot;&quot;\&quot;&quot;\&quot;&quot;\&quot;\-#,##0.00_ ;_ * &quot;-&quot;??_ ;_ @_ "/>
    <numFmt numFmtId="310" formatCode="&quot;\&quot;#,##0;&quot;\&quot;&quot;\&quot;&quot;\&quot;&quot;\&quot;&quot;\&quot;&quot;\&quot;\-#,##0"/>
    <numFmt numFmtId="313" formatCode="&quot;\&quot;#,##0.00;[Red]&quot;\&quot;&quot;\&quot;&quot;\&quot;&quot;\&quot;&quot;\&quot;&quot;\&quot;\-#,##0.00"/>
    <numFmt numFmtId="314" formatCode="_ &quot;\&quot;* #,##0_ ;_ &quot;\&quot;* &quot;\&quot;&quot;\&quot;&quot;\&quot;&quot;\&quot;&quot;\&quot;\-#,##0_ ;_ &quot;\&quot;* &quot;-&quot;_ ;_ @_ "/>
    <numFmt numFmtId="316" formatCode="_ &quot;\&quot;* #,##0.00_ ;_ &quot;\&quot;* &quot;\&quot;&quot;\&quot;&quot;\&quot;&quot;\&quot;&quot;\&quot;\-#,##0.00_ ;_ &quot;\&quot;* &quot;-&quot;??_ ;_ @_ "/>
    <numFmt numFmtId="318" formatCode="&quot;\&quot;#,##0;&quot;\&quot;&quot;\&quot;&quot;\&quot;&quot;\&quot;&quot;\&quot;&quot;\&quot;&quot;\&quot;\-#,##0"/>
    <numFmt numFmtId="321" formatCode="&quot;\&quot;#,##0.00;[Red]&quot;\&quot;&quot;\&quot;&quot;\&quot;&quot;\&quot;&quot;\&quot;&quot;\&quot;&quot;\&quot;\-#,##0.00"/>
    <numFmt numFmtId="322" formatCode="_ &quot;\&quot;* #,##0_ ;_ &quot;\&quot;* &quot;\&quot;&quot;\&quot;&quot;\&quot;&quot;\&quot;&quot;\&quot;&quot;\&quot;\-#,##0_ ;_ &quot;\&quot;* &quot;-&quot;_ ;_ @_ "/>
    <numFmt numFmtId="334" formatCode="&quot;\&quot;#,##0;&quot;\&quot;&quot;\&quot;&quot;\&quot;&quot;\&quot;&quot;\&quot;&quot;\&quot;&quot;\&quot;&quot;\&quot;&quot;\&quot;\-#,##0"/>
    <numFmt numFmtId="335" formatCode="&quot;\&quot;#,##0;[Red]&quot;\&quot;&quot;\&quot;&quot;\&quot;&quot;\&quot;&quot;\&quot;&quot;\&quot;&quot;\&quot;&quot;\&quot;&quot;\&quot;\-#,##0"/>
    <numFmt numFmtId="336" formatCode="&quot;\&quot;#,##0.00;&quot;\&quot;&quot;\&quot;&quot;\&quot;&quot;\&quot;&quot;\&quot;&quot;\&quot;&quot;\&quot;&quot;\&quot;&quot;\&quot;\-#,##0.00"/>
    <numFmt numFmtId="337" formatCode="&quot;\&quot;#,##0.00;[Red]&quot;\&quot;&quot;\&quot;&quot;\&quot;&quot;\&quot;&quot;\&quot;&quot;\&quot;&quot;\&quot;&quot;\&quot;&quot;\&quot;\-#,##0.00"/>
    <numFmt numFmtId="338" formatCode="_ &quot;\&quot;* #,##0_ ;_ &quot;\&quot;* &quot;\&quot;&quot;\&quot;&quot;\&quot;&quot;\&quot;&quot;\&quot;&quot;\&quot;&quot;\&quot;&quot;\&quot;\-#,##0_ ;_ &quot;\&quot;* &quot;-&quot;_ ;_ @_ "/>
    <numFmt numFmtId="340" formatCode="_ &quot;\&quot;* #,##0.00_ ;_ &quot;\&quot;* &quot;\&quot;&quot;\&quot;&quot;\&quot;&quot;\&quot;&quot;\&quot;&quot;\&quot;&quot;\&quot;&quot;\&quot;\-#,##0.00_ ;_ &quot;\&quot;* &quot;-&quot;??_ ;_ @_ "/>
    <numFmt numFmtId="341" formatCode="_ * #,##0.00_ ;_ * &quot;\&quot;&quot;\&quot;&quot;\&quot;&quot;\&quot;&quot;\&quot;&quot;\&quot;&quot;\&quot;&quot;\&quot;\-#,##0.00_ ;_ * &quot;-&quot;??_ ;_ @_ "/>
    <numFmt numFmtId="342" formatCode="&quot;\&quot;#,##0;&quot;\&quot;&quot;\&quot;&quot;\&quot;&quot;\&quot;&quot;\&quot;&quot;\&quot;&quot;\&quot;&quot;\&quot;&quot;\&quot;&quot;\&quot;\-#,##0"/>
    <numFmt numFmtId="343" formatCode="&quot;\&quot;#,##0;[Red]&quot;\&quot;&quot;\&quot;&quot;\&quot;&quot;\&quot;&quot;\&quot;&quot;\&quot;&quot;\&quot;&quot;\&quot;&quot;\&quot;&quot;\&quot;\-#,##0"/>
    <numFmt numFmtId="344" formatCode="&quot;\&quot;#,##0.00;&quot;\&quot;&quot;\&quot;&quot;\&quot;&quot;\&quot;&quot;\&quot;&quot;\&quot;&quot;\&quot;&quot;\&quot;&quot;\&quot;&quot;\&quot;\-#,##0.00"/>
    <numFmt numFmtId="345" formatCode="&quot;\&quot;#,##0.00;[Red]&quot;\&quot;&quot;\&quot;&quot;\&quot;&quot;\&quot;&quot;\&quot;&quot;\&quot;&quot;\&quot;&quot;\&quot;&quot;\&quot;&quot;\&quot;\-#,##0.00"/>
    <numFmt numFmtId="346" formatCode="_ &quot;\&quot;* #,##0_ ;_ &quot;\&quot;* &quot;\&quot;&quot;\&quot;&quot;\&quot;&quot;\&quot;&quot;\&quot;&quot;\&quot;&quot;\&quot;&quot;\&quot;&quot;\&quot;\-#,##0_ ;_ &quot;\&quot;* &quot;-&quot;_ ;_ @_ "/>
    <numFmt numFmtId="347" formatCode="_ * #,##0_ ;_ * &quot;\&quot;&quot;\&quot;&quot;\&quot;&quot;\&quot;&quot;\&quot;&quot;\&quot;&quot;\&quot;&quot;\&quot;&quot;\&quot;\-#,##0_ ;_ * &quot;-&quot;_ ;_ @_ "/>
    <numFmt numFmtId="348" formatCode="_ &quot;\&quot;* #,##0.00_ ;_ &quot;\&quot;* &quot;\&quot;&quot;\&quot;&quot;\&quot;&quot;\&quot;&quot;\&quot;&quot;\&quot;&quot;\&quot;&quot;\&quot;&quot;\&quot;\-#,##0.00_ ;_ &quot;\&quot;* &quot;-&quot;??_ ;_ @_ "/>
    <numFmt numFmtId="354" formatCode="_ &quot;\&quot;* #,##0_ ;_ &quot;\&quot;* &quot;\&quot;&quot;\&quot;&quot;\&quot;&quot;\&quot;&quot;\&quot;&quot;\&quot;&quot;\&quot;&quot;\&quot;&quot;\&quot;&quot;\&quot;\-#,##0_ ;_ &quot;\&quot;* &quot;-&quot;_ ;_ @_ "/>
    <numFmt numFmtId="358" formatCode="&quot;\&quot;#,##0;&quot;\&quot;&quot;\&quot;&quot;\&quot;&quot;\&quot;&quot;\&quot;&quot;\&quot;&quot;\&quot;&quot;\&quot;&quot;\&quot;&quot;\&quot;&quot;\&quot;&quot;\&quot;\-#,##0"/>
    <numFmt numFmtId="359" formatCode="&quot;\&quot;#,##0;[Red]&quot;\&quot;&quot;\&quot;&quot;\&quot;&quot;\&quot;&quot;\&quot;&quot;\&quot;&quot;\&quot;&quot;\&quot;&quot;\&quot;&quot;\&quot;&quot;\&quot;&quot;\&quot;\-#,##0"/>
  </numFmts>
  <fonts count="86">
    <font>
      <sz val="10"/>
      <name val="Arial"/>
    </font>
    <font>
      <sz val="10"/>
      <name val="Arial"/>
    </font>
    <font>
      <sz val="12"/>
      <name val="Arial"/>
      <family val="2"/>
    </font>
    <font>
      <sz val="12"/>
      <name val="???"/>
      <family val="1"/>
      <charset val="129"/>
    </font>
    <font>
      <sz val="10"/>
      <name val="???"/>
      <family val="3"/>
      <charset val="129"/>
    </font>
    <font>
      <sz val="11"/>
      <name val="??"/>
      <family val="3"/>
      <charset val="129"/>
    </font>
    <font>
      <sz val="10"/>
      <name val="Helv"/>
      <family val="2"/>
    </font>
    <font>
      <sz val="10"/>
      <name val="times new roman"/>
    </font>
    <font>
      <sz val="10"/>
      <name val="MS Sans Serif"/>
      <family val="2"/>
    </font>
    <font>
      <sz val="10"/>
      <name val="Arial"/>
      <family val="2"/>
    </font>
    <font>
      <sz val="12"/>
      <name val="???"/>
      <family val="3"/>
      <charset val="129"/>
    </font>
    <font>
      <sz val="11"/>
      <name val="???"/>
      <family val="1"/>
      <charset val="129"/>
    </font>
    <font>
      <sz val="11"/>
      <name val="???"/>
      <family val="3"/>
      <charset val="129"/>
    </font>
    <font>
      <sz val="10"/>
      <name val="Arial Narrow"/>
      <family val="2"/>
    </font>
    <font>
      <sz val="10"/>
      <name val="Geneva"/>
      <family val="2"/>
    </font>
    <font>
      <sz val="10"/>
      <name val="Book Antiqua"/>
      <family val="1"/>
    </font>
    <font>
      <sz val="10"/>
      <name val="Times New Roman"/>
      <family val="1"/>
    </font>
    <font>
      <sz val="10"/>
      <name val="Advisor SSi"/>
      <family val="1"/>
    </font>
    <font>
      <sz val="8"/>
      <name val="Arial"/>
      <family val="2"/>
    </font>
    <font>
      <sz val="10"/>
      <name val="MS Sans Serif"/>
    </font>
    <font>
      <b/>
      <u/>
      <sz val="11"/>
      <color indexed="37"/>
      <name val="Arial"/>
      <family val="2"/>
    </font>
    <font>
      <sz val="10"/>
      <color indexed="12"/>
      <name val="Arial"/>
      <family val="2"/>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name val="Univers (W1)"/>
      <family val="2"/>
    </font>
    <font>
      <sz val="14"/>
      <name val="AngsanaUPC"/>
      <family val="1"/>
    </font>
    <font>
      <sz val="9"/>
      <name val="Arial Narrow"/>
      <family val="2"/>
    </font>
    <font>
      <sz val="12"/>
      <name val="EucrosiaUPC"/>
      <family val="1"/>
    </font>
    <font>
      <sz val="14"/>
      <name val="CordiaUPC"/>
      <family val="1"/>
    </font>
    <font>
      <sz val="14"/>
      <name val="FreesiaUPC"/>
      <family val="1"/>
    </font>
    <font>
      <sz val="8.5"/>
      <name val="MS Sans Serif"/>
      <family val="2"/>
    </font>
    <font>
      <sz val="11"/>
      <name val="Book Antiqua"/>
      <family val="1"/>
    </font>
    <font>
      <sz val="10"/>
      <name val="Courier"/>
    </font>
    <font>
      <sz val="8"/>
      <name val="Tms Rmn"/>
    </font>
    <font>
      <sz val="10"/>
      <name val="TimesNewRomanPS"/>
      <family val="1"/>
    </font>
    <font>
      <sz val="8"/>
      <color indexed="12"/>
      <name val="Arial"/>
      <family val="2"/>
    </font>
    <font>
      <sz val="12"/>
      <name val="Times New Roman"/>
    </font>
    <font>
      <b/>
      <sz val="12"/>
      <name val="Times New Roman"/>
    </font>
    <font>
      <b/>
      <sz val="12"/>
      <color indexed="12"/>
      <name val="Times New Roman"/>
      <family val="1"/>
    </font>
    <font>
      <b/>
      <sz val="12"/>
      <color indexed="37"/>
      <name val="Times New Roman"/>
      <family val="1"/>
    </font>
    <font>
      <sz val="12"/>
      <color indexed="37"/>
      <name val="Times New Roman"/>
      <family val="1"/>
    </font>
    <font>
      <sz val="12"/>
      <color indexed="12"/>
      <name val="Times New Roman"/>
    </font>
    <font>
      <sz val="12"/>
      <color indexed="16"/>
      <name val="Times New Roman"/>
      <family val="1"/>
    </font>
    <font>
      <sz val="12"/>
      <name val="Helv"/>
    </font>
    <font>
      <u/>
      <sz val="12"/>
      <name val="Helv"/>
    </font>
    <font>
      <sz val="12"/>
      <color indexed="12"/>
      <name val="Helv"/>
    </font>
    <font>
      <sz val="9"/>
      <name val="Helv"/>
      <family val="2"/>
    </font>
    <font>
      <b/>
      <sz val="12"/>
      <name val="Helv"/>
    </font>
    <font>
      <sz val="12"/>
      <color indexed="17"/>
      <name val="Helv"/>
    </font>
    <font>
      <sz val="8"/>
      <color indexed="8"/>
      <name val="Arial"/>
      <family val="2"/>
    </font>
    <font>
      <b/>
      <sz val="10"/>
      <color indexed="8"/>
      <name val="Arial"/>
      <family val="2"/>
    </font>
    <font>
      <b/>
      <sz val="8"/>
      <color indexed="8"/>
      <name val="Arial"/>
      <family val="2"/>
    </font>
    <font>
      <b/>
      <sz val="8"/>
      <color indexed="10"/>
      <name val="Arial"/>
      <family val="2"/>
    </font>
    <font>
      <sz val="8"/>
      <color indexed="8"/>
      <name val="Arial"/>
    </font>
    <font>
      <b/>
      <sz val="8"/>
      <color indexed="12"/>
      <name val="Arial"/>
      <family val="2"/>
    </font>
    <font>
      <sz val="14"/>
      <name val="Arial"/>
      <family val="2"/>
    </font>
    <font>
      <b/>
      <sz val="12"/>
      <name val="Arial"/>
      <family val="2"/>
    </font>
    <font>
      <sz val="8"/>
      <color indexed="81"/>
      <name val="Tahoma"/>
    </font>
    <font>
      <b/>
      <sz val="8"/>
      <color indexed="81"/>
      <name val="Tahoma"/>
    </font>
    <font>
      <sz val="10"/>
      <color indexed="14"/>
      <name val="Arial"/>
      <family val="2"/>
    </font>
    <font>
      <b/>
      <sz val="8"/>
      <name val="Arial"/>
      <family val="2"/>
    </font>
    <font>
      <sz val="8"/>
      <color indexed="14"/>
      <name val="Arial"/>
      <family val="2"/>
    </font>
    <font>
      <b/>
      <sz val="10"/>
      <name val="Arial"/>
      <family val="2"/>
    </font>
    <font>
      <sz val="12"/>
      <color indexed="14"/>
      <name val="Times New Roman"/>
      <family val="1"/>
    </font>
    <font>
      <sz val="10"/>
      <color indexed="12"/>
      <name val="Arial"/>
    </font>
    <font>
      <b/>
      <u/>
      <sz val="10"/>
      <name val="Arial"/>
      <family val="2"/>
    </font>
    <font>
      <sz val="10"/>
      <color indexed="10"/>
      <name val="Arial"/>
      <family val="2"/>
    </font>
    <font>
      <b/>
      <sz val="10"/>
      <color indexed="16"/>
      <name val="Arial"/>
      <family val="2"/>
    </font>
    <font>
      <i/>
      <sz val="10"/>
      <name val="Arial"/>
      <family val="2"/>
    </font>
    <font>
      <b/>
      <sz val="10"/>
      <color indexed="18"/>
      <name val="Arial"/>
      <family val="2"/>
    </font>
    <font>
      <b/>
      <sz val="10"/>
      <color indexed="60"/>
      <name val="Arial"/>
      <family val="2"/>
    </font>
    <font>
      <b/>
      <sz val="8"/>
      <color indexed="16"/>
      <name val="Arial"/>
      <family val="2"/>
    </font>
    <font>
      <sz val="8"/>
      <color indexed="18"/>
      <name val="Arial"/>
      <family val="2"/>
    </font>
    <font>
      <sz val="10"/>
      <color indexed="18"/>
      <name val="Arial"/>
      <family val="2"/>
    </font>
    <font>
      <b/>
      <sz val="8"/>
      <color indexed="60"/>
      <name val="Arial"/>
      <family val="2"/>
    </font>
    <font>
      <b/>
      <sz val="14"/>
      <name val="Arial"/>
      <family val="2"/>
    </font>
    <font>
      <b/>
      <sz val="10"/>
      <color indexed="10"/>
      <name val="Arial"/>
      <family val="2"/>
    </font>
    <font>
      <b/>
      <sz val="16"/>
      <color indexed="10"/>
      <name val="Arial"/>
      <family val="2"/>
    </font>
    <font>
      <b/>
      <sz val="10"/>
      <color indexed="12"/>
      <name val="Arial"/>
      <family val="2"/>
    </font>
    <font>
      <u/>
      <sz val="10"/>
      <name val="Arial"/>
      <family val="2"/>
    </font>
    <font>
      <b/>
      <sz val="10"/>
      <color indexed="14"/>
      <name val="Arial"/>
      <family val="2"/>
    </font>
  </fonts>
  <fills count="7">
    <fill>
      <patternFill patternType="none"/>
    </fill>
    <fill>
      <patternFill patternType="gray125"/>
    </fill>
    <fill>
      <patternFill patternType="solid">
        <fgColor indexed="15"/>
        <bgColor indexed="64"/>
      </patternFill>
    </fill>
    <fill>
      <patternFill patternType="solid">
        <fgColor indexed="9"/>
        <bgColor indexed="9"/>
      </patternFill>
    </fill>
    <fill>
      <patternFill patternType="solid">
        <fgColor indexed="43"/>
        <bgColor indexed="64"/>
      </patternFill>
    </fill>
    <fill>
      <patternFill patternType="solid">
        <fgColor indexed="9"/>
        <bgColor indexed="64"/>
      </patternFill>
    </fill>
    <fill>
      <patternFill patternType="solid">
        <fgColor indexed="13"/>
        <bgColor indexed="64"/>
      </patternFill>
    </fill>
  </fills>
  <borders count="25">
    <border>
      <left/>
      <right/>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6">
    <xf numFmtId="0" fontId="0" fillId="0" borderId="0"/>
    <xf numFmtId="0" fontId="3" fillId="0" borderId="0"/>
    <xf numFmtId="43" fontId="1" fillId="0" borderId="0" applyFont="0" applyFill="0" applyBorder="0" applyAlignment="0" applyProtection="0"/>
    <xf numFmtId="44" fontId="1" fillId="0" borderId="0" applyFont="0" applyFill="0" applyBorder="0" applyAlignment="0" applyProtection="0"/>
    <xf numFmtId="6" fontId="5" fillId="0" borderId="0">
      <protection locked="0"/>
    </xf>
    <xf numFmtId="316" fontId="5" fillId="0" borderId="0">
      <protection locked="0"/>
    </xf>
    <xf numFmtId="0" fontId="20" fillId="0" borderId="0" applyNumberFormat="0" applyFill="0" applyBorder="0" applyAlignment="0" applyProtection="0"/>
    <xf numFmtId="301" fontId="5" fillId="0" borderId="0">
      <protection locked="0"/>
    </xf>
    <xf numFmtId="301" fontId="5" fillId="0" borderId="0">
      <protection locked="0"/>
    </xf>
    <xf numFmtId="0" fontId="21" fillId="0" borderId="1" applyNumberFormat="0" applyFill="0" applyAlignment="0" applyProtection="0"/>
    <xf numFmtId="294" fontId="5" fillId="0" borderId="0"/>
    <xf numFmtId="9" fontId="1" fillId="0" borderId="0" applyFont="0" applyFill="0" applyBorder="0" applyAlignment="0" applyProtection="0"/>
    <xf numFmtId="301" fontId="5" fillId="0" borderId="3">
      <protection locked="0"/>
    </xf>
    <xf numFmtId="37" fontId="18" fillId="4" borderId="0" applyNumberFormat="0" applyBorder="0" applyAlignment="0" applyProtection="0"/>
    <xf numFmtId="37" fontId="25" fillId="0" borderId="0"/>
    <xf numFmtId="3" fontId="40" fillId="0" borderId="1" applyProtection="0"/>
  </cellStyleXfs>
  <cellXfs count="552">
    <xf numFmtId="0" fontId="0" fillId="0" borderId="0" xfId="0"/>
    <xf numFmtId="0" fontId="0" fillId="0" borderId="0" xfId="0" applyAlignment="1">
      <alignment horizontal="left"/>
    </xf>
    <xf numFmtId="0" fontId="2" fillId="0" borderId="0" xfId="0" applyFont="1" applyAlignment="1">
      <alignment horizontal="left"/>
    </xf>
    <xf numFmtId="0" fontId="0" fillId="0" borderId="0" xfId="0" applyAlignment="1">
      <alignment horizontal="center"/>
    </xf>
    <xf numFmtId="0" fontId="0" fillId="0" borderId="2" xfId="0" applyBorder="1"/>
    <xf numFmtId="0" fontId="0" fillId="0" borderId="2" xfId="0" applyBorder="1" applyAlignment="1">
      <alignment horizontal="center"/>
    </xf>
    <xf numFmtId="165" fontId="0" fillId="0" borderId="0" xfId="2" applyNumberFormat="1" applyFont="1"/>
    <xf numFmtId="165" fontId="0" fillId="0" borderId="0" xfId="2" applyNumberFormat="1" applyFont="1" applyAlignment="1">
      <alignment horizontal="center"/>
    </xf>
    <xf numFmtId="165" fontId="0" fillId="0" borderId="0" xfId="2" applyNumberFormat="1" applyFont="1" applyAlignment="1"/>
    <xf numFmtId="17" fontId="0" fillId="0" borderId="2" xfId="0" applyNumberFormat="1" applyBorder="1" applyAlignment="1">
      <alignment horizontal="center"/>
    </xf>
    <xf numFmtId="0" fontId="0" fillId="0" borderId="0" xfId="0" applyBorder="1" applyAlignment="1">
      <alignment horizontal="center"/>
    </xf>
    <xf numFmtId="0" fontId="0" fillId="0" borderId="0" xfId="0" applyAlignment="1"/>
    <xf numFmtId="0" fontId="41" fillId="0" borderId="0" xfId="0" applyFont="1"/>
    <xf numFmtId="0" fontId="42" fillId="0" borderId="0" xfId="0" applyFont="1" applyAlignment="1">
      <alignment horizontal="left"/>
    </xf>
    <xf numFmtId="0" fontId="43" fillId="0" borderId="0" xfId="0" applyFont="1" applyAlignment="1">
      <alignment horizontal="left"/>
    </xf>
    <xf numFmtId="38" fontId="41" fillId="0" borderId="0" xfId="2" applyNumberFormat="1" applyFont="1"/>
    <xf numFmtId="184" fontId="41" fillId="0" borderId="0" xfId="0" applyNumberFormat="1" applyFont="1" applyProtection="1"/>
    <xf numFmtId="175" fontId="41" fillId="0" borderId="0" xfId="0" applyNumberFormat="1" applyFont="1" applyProtection="1"/>
    <xf numFmtId="0" fontId="44" fillId="0" borderId="0" xfId="0" applyFont="1" applyAlignment="1">
      <alignment horizontal="left"/>
    </xf>
    <xf numFmtId="0" fontId="45" fillId="0" borderId="0" xfId="0" applyFont="1"/>
    <xf numFmtId="38" fontId="45" fillId="0" borderId="0" xfId="2" applyNumberFormat="1" applyFont="1"/>
    <xf numFmtId="15" fontId="45" fillId="0" borderId="0" xfId="0" quotePrefix="1" applyNumberFormat="1" applyFont="1" applyAlignment="1" applyProtection="1">
      <alignment horizontal="left"/>
      <protection locked="0"/>
    </xf>
    <xf numFmtId="38" fontId="45" fillId="0" borderId="0" xfId="2" quotePrefix="1" applyNumberFormat="1" applyFont="1" applyAlignment="1" applyProtection="1">
      <alignment horizontal="left"/>
      <protection locked="0"/>
    </xf>
    <xf numFmtId="176" fontId="45" fillId="0" borderId="0" xfId="0" applyNumberFormat="1" applyFont="1" applyProtection="1">
      <protection locked="0"/>
    </xf>
    <xf numFmtId="14" fontId="44" fillId="0" borderId="0" xfId="0" applyNumberFormat="1" applyFont="1" applyAlignment="1">
      <alignment horizontal="left"/>
    </xf>
    <xf numFmtId="0" fontId="46" fillId="0" borderId="0" xfId="0" applyFont="1" applyAlignment="1" applyProtection="1">
      <alignment horizontal="left"/>
      <protection locked="0"/>
    </xf>
    <xf numFmtId="0" fontId="41" fillId="0" borderId="0" xfId="0" applyFont="1" applyAlignment="1">
      <alignment horizontal="left"/>
    </xf>
    <xf numFmtId="186" fontId="47" fillId="0" borderId="0" xfId="0" applyNumberFormat="1" applyFont="1" applyProtection="1">
      <protection locked="0"/>
    </xf>
    <xf numFmtId="185" fontId="46" fillId="0" borderId="0" xfId="0" applyNumberFormat="1" applyFont="1" applyProtection="1">
      <protection locked="0"/>
    </xf>
    <xf numFmtId="38" fontId="46" fillId="0" borderId="0" xfId="2" applyNumberFormat="1" applyFont="1" applyProtection="1">
      <protection locked="0"/>
    </xf>
    <xf numFmtId="38" fontId="48" fillId="0" borderId="0" xfId="2" applyNumberFormat="1" applyFont="1"/>
    <xf numFmtId="0" fontId="49" fillId="0" borderId="0" xfId="0" applyFont="1" applyAlignment="1">
      <alignment horizontal="left"/>
    </xf>
    <xf numFmtId="0" fontId="0" fillId="0" borderId="4" xfId="0" applyBorder="1" applyAlignment="1">
      <alignment horizontal="centerContinuous"/>
    </xf>
    <xf numFmtId="38" fontId="48" fillId="0" borderId="0" xfId="2" applyNumberFormat="1" applyFont="1" applyAlignment="1">
      <alignment horizontal="center"/>
    </xf>
    <xf numFmtId="38" fontId="48" fillId="0" borderId="2" xfId="2" applyNumberFormat="1" applyFont="1" applyBorder="1" applyAlignment="1">
      <alignment horizontal="center"/>
    </xf>
    <xf numFmtId="0" fontId="0" fillId="0" borderId="0" xfId="0" applyAlignment="1">
      <alignment horizontal="fill"/>
    </xf>
    <xf numFmtId="38" fontId="48" fillId="0" borderId="0" xfId="2" applyNumberFormat="1" applyFont="1" applyAlignment="1">
      <alignment horizontal="fill"/>
    </xf>
    <xf numFmtId="176" fontId="0" fillId="0" borderId="0" xfId="0" applyNumberFormat="1" applyAlignment="1">
      <alignment horizontal="right"/>
    </xf>
    <xf numFmtId="0" fontId="0" fillId="0" borderId="0" xfId="0" applyNumberFormat="1" applyProtection="1"/>
    <xf numFmtId="0" fontId="50" fillId="0" borderId="0" xfId="0" applyFont="1" applyProtection="1">
      <protection locked="0"/>
    </xf>
    <xf numFmtId="37" fontId="0" fillId="0" borderId="0" xfId="0" applyNumberFormat="1" applyProtection="1"/>
    <xf numFmtId="39" fontId="0" fillId="0" borderId="0" xfId="0" applyNumberFormat="1" applyProtection="1"/>
    <xf numFmtId="176" fontId="0" fillId="0" borderId="0" xfId="0" quotePrefix="1" applyNumberFormat="1" applyAlignment="1">
      <alignment horizontal="right"/>
    </xf>
    <xf numFmtId="37" fontId="0" fillId="0" borderId="2" xfId="0" applyNumberFormat="1" applyBorder="1" applyProtection="1"/>
    <xf numFmtId="39" fontId="0" fillId="0" borderId="2" xfId="0" applyNumberFormat="1" applyBorder="1" applyProtection="1"/>
    <xf numFmtId="17" fontId="0" fillId="0" borderId="0" xfId="0" applyNumberFormat="1"/>
    <xf numFmtId="185" fontId="0" fillId="0" borderId="0" xfId="0" applyNumberFormat="1" applyProtection="1"/>
    <xf numFmtId="37" fontId="0" fillId="0" borderId="5" xfId="0" applyNumberFormat="1" applyBorder="1" applyProtection="1"/>
    <xf numFmtId="39" fontId="0" fillId="0" borderId="5" xfId="0" applyNumberFormat="1" applyBorder="1" applyProtection="1"/>
    <xf numFmtId="0" fontId="51" fillId="0" borderId="0" xfId="0" applyFont="1" applyAlignment="1">
      <alignment horizontal="right"/>
    </xf>
    <xf numFmtId="39" fontId="0" fillId="0" borderId="0" xfId="0" applyNumberFormat="1"/>
    <xf numFmtId="186" fontId="0" fillId="0" borderId="0" xfId="0" applyNumberFormat="1"/>
    <xf numFmtId="0" fontId="52" fillId="0" borderId="0" xfId="0" applyFont="1" applyAlignment="1">
      <alignment horizontal="right"/>
    </xf>
    <xf numFmtId="0" fontId="0" fillId="0" borderId="0" xfId="0" applyBorder="1"/>
    <xf numFmtId="43" fontId="53" fillId="0" borderId="3" xfId="2" applyFont="1" applyBorder="1"/>
    <xf numFmtId="165" fontId="0" fillId="0" borderId="5" xfId="2" applyNumberFormat="1" applyFont="1" applyBorder="1"/>
    <xf numFmtId="43" fontId="0" fillId="0" borderId="0" xfId="2" applyFont="1"/>
    <xf numFmtId="14" fontId="0" fillId="0" borderId="0" xfId="0" applyNumberFormat="1"/>
    <xf numFmtId="44" fontId="0" fillId="0" borderId="0" xfId="3" applyFont="1"/>
    <xf numFmtId="0" fontId="54" fillId="0" borderId="0" xfId="0" applyFont="1" applyFill="1" applyBorder="1"/>
    <xf numFmtId="0" fontId="55" fillId="0" borderId="0" xfId="0" applyFont="1" applyFill="1" applyBorder="1" applyAlignment="1">
      <alignment horizontal="left"/>
    </xf>
    <xf numFmtId="0" fontId="56" fillId="0" borderId="0" xfId="0" applyFont="1" applyFill="1" applyBorder="1" applyAlignment="1">
      <alignment horizontal="left"/>
    </xf>
    <xf numFmtId="0" fontId="56" fillId="0" borderId="0" xfId="0" applyFont="1" applyFill="1" applyBorder="1"/>
    <xf numFmtId="7" fontId="54" fillId="0" borderId="0" xfId="0" applyNumberFormat="1" applyFont="1" applyFill="1" applyBorder="1"/>
    <xf numFmtId="221" fontId="54" fillId="0" borderId="0" xfId="0" applyNumberFormat="1" applyFont="1" applyFill="1" applyBorder="1"/>
    <xf numFmtId="0" fontId="18" fillId="0" borderId="0" xfId="0" applyFont="1"/>
    <xf numFmtId="0" fontId="54" fillId="0" borderId="0" xfId="0" applyFont="1" applyFill="1" applyBorder="1" applyAlignment="1">
      <alignment horizontal="left"/>
    </xf>
    <xf numFmtId="0" fontId="54" fillId="0" borderId="0" xfId="0" applyNumberFormat="1" applyFont="1" applyFill="1" applyBorder="1"/>
    <xf numFmtId="14" fontId="18" fillId="0" borderId="0" xfId="0" applyNumberFormat="1" applyFont="1"/>
    <xf numFmtId="21" fontId="54" fillId="0" borderId="0" xfId="0" applyNumberFormat="1" applyFont="1" applyFill="1" applyBorder="1"/>
    <xf numFmtId="0" fontId="54" fillId="0" borderId="0" xfId="0" applyFont="1" applyFill="1" applyBorder="1" applyAlignment="1">
      <alignment horizontal="center"/>
    </xf>
    <xf numFmtId="0" fontId="18" fillId="0" borderId="0" xfId="0" applyFont="1" applyBorder="1"/>
    <xf numFmtId="1" fontId="54" fillId="0" borderId="0" xfId="0" applyNumberFormat="1" applyFont="1" applyFill="1" applyBorder="1"/>
    <xf numFmtId="7" fontId="56" fillId="0" borderId="0" xfId="0" applyNumberFormat="1" applyFont="1" applyFill="1" applyBorder="1"/>
    <xf numFmtId="174" fontId="54" fillId="0" borderId="0" xfId="11" applyNumberFormat="1" applyFont="1" applyFill="1" applyBorder="1"/>
    <xf numFmtId="0" fontId="56" fillId="0" borderId="0" xfId="0" applyNumberFormat="1" applyFont="1" applyFill="1" applyBorder="1" applyAlignment="1">
      <alignment horizontal="left"/>
    </xf>
    <xf numFmtId="0" fontId="56" fillId="0" borderId="0" xfId="0" applyFont="1" applyFill="1" applyBorder="1" applyAlignment="1">
      <alignment horizontal="centerContinuous"/>
    </xf>
    <xf numFmtId="7" fontId="56" fillId="0" borderId="0" xfId="0" applyNumberFormat="1" applyFont="1" applyFill="1" applyBorder="1" applyAlignment="1">
      <alignment horizontal="centerContinuous"/>
    </xf>
    <xf numFmtId="221" fontId="56" fillId="0" borderId="0" xfId="0" applyNumberFormat="1" applyFont="1" applyFill="1" applyBorder="1" applyAlignment="1">
      <alignment horizontal="centerContinuous"/>
    </xf>
    <xf numFmtId="0" fontId="56" fillId="0" borderId="0" xfId="0" applyFont="1" applyFill="1" applyBorder="1" applyAlignment="1">
      <alignment horizontal="center"/>
    </xf>
    <xf numFmtId="1" fontId="56" fillId="0" borderId="0" xfId="0" applyNumberFormat="1" applyFont="1" applyFill="1" applyBorder="1" applyAlignment="1">
      <alignment horizontal="centerContinuous"/>
    </xf>
    <xf numFmtId="174" fontId="56" fillId="0" borderId="0" xfId="11" applyNumberFormat="1" applyFont="1" applyFill="1" applyBorder="1" applyAlignment="1">
      <alignment horizontal="centerContinuous"/>
    </xf>
    <xf numFmtId="0" fontId="56" fillId="0" borderId="0" xfId="0" applyNumberFormat="1" applyFont="1" applyFill="1" applyBorder="1" applyAlignment="1">
      <alignment horizontal="centerContinuous"/>
    </xf>
    <xf numFmtId="7" fontId="56" fillId="0" borderId="0" xfId="0" applyNumberFormat="1" applyFont="1" applyFill="1" applyBorder="1" applyAlignment="1">
      <alignment horizontal="center"/>
    </xf>
    <xf numFmtId="221" fontId="56" fillId="0" borderId="0" xfId="0" applyNumberFormat="1" applyFont="1" applyFill="1" applyBorder="1" applyAlignment="1">
      <alignment horizontal="center"/>
    </xf>
    <xf numFmtId="1" fontId="56" fillId="0" borderId="0" xfId="0" applyNumberFormat="1" applyFont="1" applyFill="1" applyBorder="1" applyAlignment="1">
      <alignment horizontal="center"/>
    </xf>
    <xf numFmtId="174" fontId="56" fillId="0" borderId="0" xfId="11" applyNumberFormat="1" applyFont="1" applyFill="1" applyBorder="1" applyAlignment="1">
      <alignment horizontal="center"/>
    </xf>
    <xf numFmtId="0" fontId="56" fillId="0" borderId="0" xfId="0" applyNumberFormat="1" applyFont="1" applyFill="1" applyBorder="1" applyAlignment="1">
      <alignment horizontal="center"/>
    </xf>
    <xf numFmtId="0" fontId="56" fillId="0" borderId="2" xfId="0" applyFont="1" applyFill="1" applyBorder="1" applyAlignment="1">
      <alignment horizontal="center"/>
    </xf>
    <xf numFmtId="7" fontId="56" fillId="0" borderId="2" xfId="0" applyNumberFormat="1" applyFont="1" applyFill="1" applyBorder="1" applyAlignment="1">
      <alignment horizontal="center"/>
    </xf>
    <xf numFmtId="221" fontId="56" fillId="0" borderId="2" xfId="0" applyNumberFormat="1" applyFont="1" applyFill="1" applyBorder="1" applyAlignment="1">
      <alignment horizontal="center"/>
    </xf>
    <xf numFmtId="1" fontId="56" fillId="0" borderId="2" xfId="0" applyNumberFormat="1" applyFont="1" applyFill="1" applyBorder="1" applyAlignment="1">
      <alignment horizontal="center"/>
    </xf>
    <xf numFmtId="174" fontId="56" fillId="0" borderId="2" xfId="11" applyNumberFormat="1" applyFont="1" applyFill="1" applyBorder="1" applyAlignment="1">
      <alignment horizontal="center"/>
    </xf>
    <xf numFmtId="0" fontId="56" fillId="0" borderId="2" xfId="0" applyNumberFormat="1" applyFont="1" applyFill="1" applyBorder="1" applyAlignment="1">
      <alignment horizontal="center"/>
    </xf>
    <xf numFmtId="0" fontId="57" fillId="0" borderId="0" xfId="0" applyFont="1" applyFill="1" applyBorder="1" applyAlignment="1">
      <alignment horizontal="center"/>
    </xf>
    <xf numFmtId="7" fontId="57" fillId="0" borderId="0" xfId="0" applyNumberFormat="1" applyFont="1" applyFill="1" applyBorder="1" applyAlignment="1">
      <alignment horizontal="center"/>
    </xf>
    <xf numFmtId="1" fontId="54" fillId="0" borderId="0" xfId="0" applyNumberFormat="1" applyFont="1" applyFill="1" applyBorder="1" applyAlignment="1">
      <alignment horizontal="center"/>
    </xf>
    <xf numFmtId="3" fontId="58" fillId="0" borderId="0" xfId="0" applyNumberFormat="1" applyFont="1" applyFill="1" applyBorder="1" applyAlignment="1">
      <alignment horizontal="center"/>
    </xf>
    <xf numFmtId="174" fontId="54" fillId="0" borderId="0" xfId="11" applyNumberFormat="1" applyFont="1" applyFill="1" applyBorder="1" applyAlignment="1">
      <alignment horizontal="center"/>
    </xf>
    <xf numFmtId="14" fontId="54" fillId="0" borderId="0" xfId="0" applyNumberFormat="1" applyFont="1" applyFill="1" applyBorder="1" applyAlignment="1">
      <alignment horizontal="center"/>
    </xf>
    <xf numFmtId="3" fontId="54" fillId="0" borderId="0" xfId="0" applyNumberFormat="1" applyFont="1" applyFill="1" applyBorder="1"/>
    <xf numFmtId="14" fontId="54" fillId="0" borderId="0" xfId="0" applyNumberFormat="1" applyFont="1" applyFill="1" applyBorder="1" applyAlignment="1"/>
    <xf numFmtId="0" fontId="18" fillId="0" borderId="0" xfId="0" applyNumberFormat="1" applyFont="1"/>
    <xf numFmtId="0" fontId="18" fillId="0" borderId="0" xfId="0" applyFont="1" applyAlignment="1"/>
    <xf numFmtId="174" fontId="18" fillId="0" borderId="0" xfId="11" applyNumberFormat="1" applyFont="1"/>
    <xf numFmtId="44" fontId="54" fillId="0" borderId="0" xfId="0" applyNumberFormat="1" applyFont="1" applyFill="1" applyBorder="1"/>
    <xf numFmtId="0" fontId="0" fillId="0" borderId="0" xfId="0" applyNumberFormat="1"/>
    <xf numFmtId="14" fontId="54" fillId="0" borderId="0" xfId="0" applyNumberFormat="1" applyFont="1" applyFill="1" applyBorder="1"/>
    <xf numFmtId="0" fontId="55" fillId="0" borderId="0" xfId="0" applyFont="1" applyFill="1" applyBorder="1"/>
    <xf numFmtId="7" fontId="55" fillId="0" borderId="0" xfId="0" applyNumberFormat="1" applyFont="1" applyFill="1" applyBorder="1"/>
    <xf numFmtId="43" fontId="1" fillId="0" borderId="0" xfId="2"/>
    <xf numFmtId="43" fontId="0" fillId="0" borderId="2" xfId="2" applyFont="1" applyBorder="1" applyAlignment="1">
      <alignment horizontal="center"/>
    </xf>
    <xf numFmtId="43" fontId="0" fillId="0" borderId="0" xfId="0" applyNumberFormat="1"/>
    <xf numFmtId="185" fontId="0" fillId="0" borderId="2" xfId="0" applyNumberFormat="1" applyBorder="1"/>
    <xf numFmtId="0" fontId="0" fillId="0" borderId="3" xfId="0" applyBorder="1"/>
    <xf numFmtId="43" fontId="0" fillId="0" borderId="3" xfId="2" applyFont="1" applyBorder="1"/>
    <xf numFmtId="165" fontId="0" fillId="0" borderId="0" xfId="2" applyNumberFormat="1" applyFont="1" applyBorder="1"/>
    <xf numFmtId="14" fontId="0" fillId="0" borderId="2" xfId="0" applyNumberFormat="1" applyBorder="1" applyAlignment="1">
      <alignment horizontal="center"/>
    </xf>
    <xf numFmtId="14" fontId="44" fillId="0" borderId="0" xfId="0" quotePrefix="1" applyNumberFormat="1" applyFont="1" applyAlignment="1">
      <alignment horizontal="left"/>
    </xf>
    <xf numFmtId="165" fontId="41" fillId="0" borderId="0" xfId="2" applyNumberFormat="1" applyFont="1"/>
    <xf numFmtId="165" fontId="0" fillId="0" borderId="2" xfId="2" applyNumberFormat="1" applyFont="1" applyBorder="1" applyAlignment="1">
      <alignment horizontal="center"/>
    </xf>
    <xf numFmtId="165" fontId="0" fillId="0" borderId="0" xfId="2" applyNumberFormat="1" applyFont="1" applyAlignment="1">
      <alignment horizontal="fill"/>
    </xf>
    <xf numFmtId="165" fontId="50" fillId="0" borderId="0" xfId="2" applyNumberFormat="1" applyFont="1" applyProtection="1">
      <protection locked="0"/>
    </xf>
    <xf numFmtId="165" fontId="50" fillId="0" borderId="2" xfId="2" applyNumberFormat="1" applyFont="1" applyBorder="1" applyProtection="1">
      <protection locked="0"/>
    </xf>
    <xf numFmtId="165" fontId="0" fillId="0" borderId="2" xfId="2" applyNumberFormat="1" applyFont="1" applyBorder="1"/>
    <xf numFmtId="0" fontId="2" fillId="0" borderId="0" xfId="0" applyFont="1"/>
    <xf numFmtId="43" fontId="2" fillId="0" borderId="0" xfId="2" applyFont="1"/>
    <xf numFmtId="0" fontId="2" fillId="0" borderId="0" xfId="0" applyFont="1" applyAlignment="1">
      <alignment horizontal="center"/>
    </xf>
    <xf numFmtId="0" fontId="2" fillId="0" borderId="2" xfId="0" applyFont="1" applyBorder="1" applyAlignment="1">
      <alignment horizontal="center"/>
    </xf>
    <xf numFmtId="165" fontId="2" fillId="0" borderId="0" xfId="2" applyNumberFormat="1" applyFont="1" applyAlignment="1">
      <alignment horizontal="center"/>
    </xf>
    <xf numFmtId="215" fontId="2" fillId="0" borderId="0" xfId="2" applyNumberFormat="1" applyFont="1"/>
    <xf numFmtId="165" fontId="2" fillId="0" borderId="0" xfId="0" applyNumberFormat="1" applyFont="1"/>
    <xf numFmtId="0" fontId="2" fillId="0" borderId="0" xfId="0" applyFont="1" applyBorder="1" applyAlignment="1">
      <alignment horizontal="center"/>
    </xf>
    <xf numFmtId="0" fontId="61" fillId="0" borderId="0" xfId="0" applyFont="1"/>
    <xf numFmtId="199" fontId="21" fillId="0" borderId="0" xfId="0" applyNumberFormat="1" applyFont="1" applyAlignment="1"/>
    <xf numFmtId="165" fontId="21" fillId="0" borderId="0" xfId="2" applyNumberFormat="1" applyFont="1" applyAlignment="1">
      <alignment horizontal="center"/>
    </xf>
    <xf numFmtId="9" fontId="21" fillId="0" borderId="0" xfId="0" applyNumberFormat="1" applyFont="1"/>
    <xf numFmtId="165" fontId="21" fillId="0" borderId="0" xfId="2" applyNumberFormat="1" applyFont="1" applyAlignment="1"/>
    <xf numFmtId="0" fontId="21" fillId="0" borderId="0" xfId="0" applyFont="1"/>
    <xf numFmtId="165" fontId="21" fillId="0" borderId="0" xfId="2" applyNumberFormat="1" applyFont="1"/>
    <xf numFmtId="0" fontId="21" fillId="0" borderId="0" xfId="0" applyFont="1" applyAlignment="1">
      <alignment horizontal="center"/>
    </xf>
    <xf numFmtId="14" fontId="21" fillId="0" borderId="0" xfId="0" applyNumberFormat="1" applyFont="1"/>
    <xf numFmtId="0" fontId="64" fillId="0" borderId="0" xfId="0" applyFont="1"/>
    <xf numFmtId="0" fontId="65" fillId="0" borderId="0" xfId="0" applyFont="1" applyFill="1" applyBorder="1" applyAlignment="1">
      <alignment horizontal="left"/>
    </xf>
    <xf numFmtId="1" fontId="65" fillId="0" borderId="0" xfId="0" applyNumberFormat="1" applyFont="1" applyFill="1" applyBorder="1"/>
    <xf numFmtId="0" fontId="65" fillId="0" borderId="0" xfId="0" applyFont="1"/>
    <xf numFmtId="14" fontId="59" fillId="0" borderId="0" xfId="0" applyNumberFormat="1" applyFont="1" applyFill="1" applyBorder="1"/>
    <xf numFmtId="174" fontId="40" fillId="0" borderId="0" xfId="0" applyNumberFormat="1" applyFont="1" applyFill="1" applyBorder="1"/>
    <xf numFmtId="44" fontId="65" fillId="0" borderId="0" xfId="0" applyNumberFormat="1" applyFont="1" applyFill="1" applyBorder="1" applyAlignment="1">
      <alignment horizontal="center"/>
    </xf>
    <xf numFmtId="43" fontId="54" fillId="0" borderId="0" xfId="2" applyFont="1" applyFill="1" applyBorder="1" applyAlignment="1">
      <alignment horizontal="right"/>
    </xf>
    <xf numFmtId="43" fontId="18" fillId="0" borderId="0" xfId="2" applyFont="1" applyAlignment="1">
      <alignment horizontal="right"/>
    </xf>
    <xf numFmtId="43" fontId="0" fillId="0" borderId="0" xfId="2" applyFont="1" applyAlignment="1">
      <alignment horizontal="right"/>
    </xf>
    <xf numFmtId="43" fontId="18" fillId="0" borderId="5" xfId="2" applyFont="1" applyBorder="1" applyAlignment="1">
      <alignment horizontal="right"/>
    </xf>
    <xf numFmtId="43" fontId="54" fillId="0" borderId="5" xfId="2" applyFont="1" applyFill="1" applyBorder="1" applyAlignment="1">
      <alignment horizontal="right"/>
    </xf>
    <xf numFmtId="165" fontId="54" fillId="0" borderId="0" xfId="2" applyNumberFormat="1" applyFont="1" applyFill="1" applyBorder="1" applyAlignment="1">
      <alignment horizontal="right"/>
    </xf>
    <xf numFmtId="43" fontId="40" fillId="0" borderId="0" xfId="2" applyFont="1" applyFill="1" applyBorder="1" applyAlignment="1">
      <alignment horizontal="right"/>
    </xf>
    <xf numFmtId="43" fontId="40" fillId="0" borderId="2" xfId="2" applyFont="1" applyFill="1" applyBorder="1" applyAlignment="1">
      <alignment horizontal="right"/>
    </xf>
    <xf numFmtId="165" fontId="40" fillId="0" borderId="0" xfId="2" applyNumberFormat="1" applyFont="1" applyFill="1" applyBorder="1" applyAlignment="1">
      <alignment horizontal="right"/>
    </xf>
    <xf numFmtId="168" fontId="40" fillId="0" borderId="0" xfId="2" applyNumberFormat="1" applyFont="1" applyFill="1" applyBorder="1" applyAlignment="1">
      <alignment horizontal="right"/>
    </xf>
    <xf numFmtId="168" fontId="40" fillId="0" borderId="2" xfId="2" applyNumberFormat="1" applyFont="1" applyFill="1" applyBorder="1" applyAlignment="1">
      <alignment horizontal="right"/>
    </xf>
    <xf numFmtId="168" fontId="54" fillId="0" borderId="0" xfId="2" applyNumberFormat="1" applyFont="1" applyFill="1" applyBorder="1" applyAlignment="1">
      <alignment horizontal="right"/>
    </xf>
    <xf numFmtId="168" fontId="0" fillId="0" borderId="0" xfId="2" applyNumberFormat="1" applyFont="1" applyAlignment="1">
      <alignment horizontal="right"/>
    </xf>
    <xf numFmtId="168" fontId="18" fillId="0" borderId="0" xfId="2" applyNumberFormat="1" applyFont="1" applyAlignment="1">
      <alignment horizontal="right"/>
    </xf>
    <xf numFmtId="43" fontId="66" fillId="0" borderId="2" xfId="2" applyFont="1" applyBorder="1" applyAlignment="1">
      <alignment horizontal="right"/>
    </xf>
    <xf numFmtId="43" fontId="54" fillId="0" borderId="0" xfId="2" applyFont="1" applyFill="1" applyBorder="1"/>
    <xf numFmtId="43" fontId="56" fillId="0" borderId="0" xfId="2" applyFont="1" applyFill="1" applyBorder="1" applyAlignment="1">
      <alignment horizontal="center"/>
    </xf>
    <xf numFmtId="43" fontId="54" fillId="0" borderId="2" xfId="2" applyFont="1" applyFill="1" applyBorder="1"/>
    <xf numFmtId="43" fontId="18" fillId="0" borderId="0" xfId="2" applyFont="1"/>
    <xf numFmtId="43" fontId="54" fillId="0" borderId="5" xfId="2" applyFont="1" applyFill="1" applyBorder="1"/>
    <xf numFmtId="39" fontId="54" fillId="0" borderId="0" xfId="3" applyNumberFormat="1" applyFont="1" applyFill="1" applyBorder="1"/>
    <xf numFmtId="39" fontId="56" fillId="0" borderId="0" xfId="3" applyNumberFormat="1" applyFont="1" applyFill="1" applyBorder="1" applyAlignment="1">
      <alignment horizontal="center"/>
    </xf>
    <xf numFmtId="39" fontId="54" fillId="0" borderId="2" xfId="3" applyNumberFormat="1" applyFont="1" applyFill="1" applyBorder="1"/>
    <xf numFmtId="39" fontId="18" fillId="0" borderId="0" xfId="3" applyNumberFormat="1" applyFont="1"/>
    <xf numFmtId="0" fontId="67" fillId="0" borderId="5" xfId="0" applyNumberFormat="1" applyFont="1" applyFill="1" applyBorder="1"/>
    <xf numFmtId="44" fontId="67" fillId="0" borderId="5" xfId="0" applyNumberFormat="1" applyFont="1" applyFill="1" applyBorder="1"/>
    <xf numFmtId="3" fontId="67" fillId="0" borderId="5" xfId="0" applyNumberFormat="1" applyFont="1" applyFill="1" applyBorder="1"/>
    <xf numFmtId="3" fontId="59" fillId="0" borderId="0" xfId="0" applyNumberFormat="1" applyFont="1" applyFill="1" applyBorder="1" applyAlignment="1">
      <alignment horizontal="center"/>
    </xf>
    <xf numFmtId="14" fontId="59" fillId="0" borderId="0" xfId="0" applyNumberFormat="1" applyFont="1" applyFill="1" applyBorder="1" applyAlignment="1">
      <alignment horizontal="center"/>
    </xf>
    <xf numFmtId="186" fontId="68" fillId="0" borderId="0" xfId="0" applyNumberFormat="1" applyFont="1" applyProtection="1">
      <protection locked="0"/>
    </xf>
    <xf numFmtId="176" fontId="21" fillId="0" borderId="0" xfId="0" applyNumberFormat="1" applyFont="1" applyAlignment="1">
      <alignment horizontal="right"/>
    </xf>
    <xf numFmtId="176" fontId="21" fillId="0" borderId="0" xfId="0" quotePrefix="1" applyNumberFormat="1" applyFont="1" applyAlignment="1">
      <alignment horizontal="right"/>
    </xf>
    <xf numFmtId="38" fontId="50" fillId="0" borderId="0" xfId="2" applyNumberFormat="1" applyFont="1" applyAlignment="1">
      <alignment horizontal="right"/>
    </xf>
    <xf numFmtId="0" fontId="69" fillId="0" borderId="0" xfId="0" applyFont="1"/>
    <xf numFmtId="38" fontId="50" fillId="0" borderId="0" xfId="2" quotePrefix="1" applyNumberFormat="1" applyFont="1" applyAlignment="1">
      <alignment horizontal="right"/>
    </xf>
    <xf numFmtId="0" fontId="21" fillId="0" borderId="0" xfId="0" applyNumberFormat="1" applyFont="1" applyProtection="1"/>
    <xf numFmtId="199" fontId="21" fillId="0" borderId="0" xfId="0" applyNumberFormat="1" applyFont="1" applyProtection="1"/>
    <xf numFmtId="43" fontId="64" fillId="0" borderId="0" xfId="2" applyFont="1"/>
    <xf numFmtId="168" fontId="48" fillId="0" borderId="0" xfId="2" applyNumberFormat="1" applyFont="1"/>
    <xf numFmtId="165" fontId="64" fillId="0" borderId="0" xfId="2" applyNumberFormat="1" applyFont="1" applyAlignment="1"/>
    <xf numFmtId="165" fontId="9" fillId="0" borderId="6" xfId="2" applyNumberFormat="1" applyFont="1" applyBorder="1" applyAlignment="1"/>
    <xf numFmtId="165" fontId="9" fillId="0" borderId="0" xfId="2" applyNumberFormat="1" applyFont="1" applyAlignment="1"/>
    <xf numFmtId="165" fontId="9" fillId="0" borderId="0" xfId="2" applyNumberFormat="1" applyFont="1" applyBorder="1" applyAlignment="1"/>
    <xf numFmtId="43" fontId="0" fillId="0" borderId="4" xfId="2" applyFont="1" applyBorder="1" applyAlignment="1"/>
    <xf numFmtId="43" fontId="21" fillId="0" borderId="0" xfId="2" applyFont="1"/>
    <xf numFmtId="165" fontId="0" fillId="0" borderId="0" xfId="0" applyNumberFormat="1"/>
    <xf numFmtId="16" fontId="0" fillId="0" borderId="2" xfId="0" applyNumberFormat="1" applyBorder="1" applyAlignment="1">
      <alignment horizontal="center"/>
    </xf>
    <xf numFmtId="165" fontId="9" fillId="0" borderId="0" xfId="2" quotePrefix="1" applyNumberFormat="1" applyFont="1" applyAlignment="1"/>
    <xf numFmtId="165" fontId="0" fillId="0" borderId="0" xfId="0" applyNumberFormat="1" applyAlignment="1"/>
    <xf numFmtId="43" fontId="0" fillId="0" borderId="0" xfId="2" applyFont="1" applyBorder="1" applyAlignment="1"/>
    <xf numFmtId="199" fontId="21" fillId="0" borderId="0" xfId="0" applyNumberFormat="1" applyFont="1"/>
    <xf numFmtId="0" fontId="67" fillId="0" borderId="0" xfId="0" applyFont="1"/>
    <xf numFmtId="43" fontId="67" fillId="0" borderId="0" xfId="2" applyFont="1" applyBorder="1" applyAlignment="1"/>
    <xf numFmtId="198" fontId="64" fillId="0" borderId="0" xfId="0" applyNumberFormat="1" applyFont="1"/>
    <xf numFmtId="16" fontId="0" fillId="0" borderId="0" xfId="0" applyNumberFormat="1" applyAlignment="1"/>
    <xf numFmtId="16" fontId="0" fillId="0" borderId="0" xfId="0" applyNumberFormat="1"/>
    <xf numFmtId="165" fontId="0" fillId="0" borderId="6" xfId="2" applyNumberFormat="1" applyFont="1" applyBorder="1" applyAlignment="1"/>
    <xf numFmtId="201" fontId="21" fillId="0" borderId="0" xfId="0" applyNumberFormat="1" applyFont="1" applyAlignment="1"/>
    <xf numFmtId="9" fontId="0" fillId="0" borderId="0" xfId="0" applyNumberFormat="1" applyAlignment="1">
      <alignment horizontal="center"/>
    </xf>
    <xf numFmtId="0" fontId="9" fillId="0" borderId="0" xfId="0" applyFont="1"/>
    <xf numFmtId="0" fontId="67" fillId="0" borderId="7" xfId="0" applyFont="1" applyBorder="1" applyAlignment="1">
      <alignment horizontal="center"/>
    </xf>
    <xf numFmtId="0" fontId="0" fillId="0" borderId="8" xfId="0" applyBorder="1"/>
    <xf numFmtId="165" fontId="9" fillId="0" borderId="8" xfId="2" applyNumberFormat="1" applyFont="1" applyBorder="1" applyAlignment="1"/>
    <xf numFmtId="0" fontId="67" fillId="0" borderId="7" xfId="0" applyFont="1" applyBorder="1"/>
    <xf numFmtId="165" fontId="0" fillId="0" borderId="8" xfId="2" applyNumberFormat="1" applyFont="1" applyBorder="1" applyAlignment="1"/>
    <xf numFmtId="0" fontId="0" fillId="0" borderId="9" xfId="0" applyBorder="1"/>
    <xf numFmtId="200" fontId="0" fillId="0" borderId="0" xfId="0" applyNumberFormat="1" applyAlignment="1"/>
    <xf numFmtId="221" fontId="59" fillId="0" borderId="0" xfId="0" applyNumberFormat="1" applyFont="1" applyFill="1" applyBorder="1" applyAlignment="1">
      <alignment horizontal="center"/>
    </xf>
    <xf numFmtId="0" fontId="0" fillId="0" borderId="7" xfId="0" applyBorder="1"/>
    <xf numFmtId="43" fontId="0" fillId="0" borderId="8" xfId="2" applyFont="1" applyBorder="1" applyAlignment="1"/>
    <xf numFmtId="165" fontId="0" fillId="0" borderId="8" xfId="0" applyNumberFormat="1" applyBorder="1" applyAlignment="1"/>
    <xf numFmtId="0" fontId="67" fillId="0" borderId="8" xfId="0" applyFont="1" applyBorder="1"/>
    <xf numFmtId="17" fontId="0" fillId="0" borderId="10" xfId="0" applyNumberFormat="1" applyBorder="1" applyAlignment="1">
      <alignment horizontal="center"/>
    </xf>
    <xf numFmtId="199" fontId="21" fillId="0" borderId="9" xfId="0" applyNumberFormat="1" applyFont="1" applyBorder="1" applyAlignment="1"/>
    <xf numFmtId="0" fontId="0" fillId="0" borderId="9" xfId="0" applyBorder="1" applyAlignment="1"/>
    <xf numFmtId="165" fontId="21" fillId="0" borderId="9" xfId="2" applyNumberFormat="1" applyFont="1" applyBorder="1" applyAlignment="1"/>
    <xf numFmtId="165" fontId="9" fillId="0" borderId="9" xfId="2" applyNumberFormat="1" applyFont="1" applyBorder="1" applyAlignment="1"/>
    <xf numFmtId="165" fontId="9" fillId="0" borderId="11" xfId="2" applyNumberFormat="1" applyFont="1" applyBorder="1" applyAlignment="1"/>
    <xf numFmtId="165" fontId="9" fillId="0" borderId="12" xfId="2" applyNumberFormat="1" applyFont="1" applyBorder="1" applyAlignment="1"/>
    <xf numFmtId="165" fontId="0" fillId="0" borderId="12" xfId="2" applyNumberFormat="1" applyFont="1" applyBorder="1" applyAlignment="1"/>
    <xf numFmtId="201" fontId="21" fillId="0" borderId="9" xfId="0" applyNumberFormat="1" applyFont="1" applyBorder="1" applyAlignment="1"/>
    <xf numFmtId="165" fontId="0" fillId="0" borderId="11" xfId="2" applyNumberFormat="1" applyFont="1" applyBorder="1" applyAlignment="1"/>
    <xf numFmtId="16" fontId="0" fillId="0" borderId="10" xfId="0" applyNumberFormat="1" applyBorder="1" applyAlignment="1">
      <alignment horizontal="center"/>
    </xf>
    <xf numFmtId="165" fontId="0" fillId="0" borderId="9" xfId="2" applyNumberFormat="1" applyFont="1" applyBorder="1"/>
    <xf numFmtId="165" fontId="9" fillId="0" borderId="9" xfId="2" quotePrefix="1" applyNumberFormat="1" applyFont="1" applyBorder="1" applyAlignment="1"/>
    <xf numFmtId="165" fontId="0" fillId="0" borderId="12" xfId="2" applyNumberFormat="1" applyFont="1" applyBorder="1"/>
    <xf numFmtId="165" fontId="0" fillId="0" borderId="9" xfId="0" applyNumberFormat="1" applyBorder="1" applyAlignment="1"/>
    <xf numFmtId="165" fontId="9" fillId="0" borderId="3" xfId="2" applyNumberFormat="1" applyFont="1" applyBorder="1"/>
    <xf numFmtId="165" fontId="0" fillId="0" borderId="0" xfId="0" applyNumberFormat="1" applyBorder="1"/>
    <xf numFmtId="165" fontId="67" fillId="0" borderId="5" xfId="2" quotePrefix="1" applyNumberFormat="1" applyFont="1" applyBorder="1"/>
    <xf numFmtId="0" fontId="0" fillId="0" borderId="0" xfId="0" quotePrefix="1"/>
    <xf numFmtId="0" fontId="0" fillId="0" borderId="0" xfId="0" quotePrefix="1" applyAlignment="1"/>
    <xf numFmtId="201" fontId="71" fillId="0" borderId="0" xfId="0" applyNumberFormat="1" applyFont="1" applyAlignment="1"/>
    <xf numFmtId="165" fontId="0" fillId="0" borderId="0" xfId="2" applyNumberFormat="1" applyFont="1" applyBorder="1" applyAlignment="1"/>
    <xf numFmtId="43" fontId="67" fillId="0" borderId="13" xfId="2" applyFont="1" applyBorder="1" applyAlignment="1"/>
    <xf numFmtId="165" fontId="0" fillId="0" borderId="8" xfId="2" applyNumberFormat="1" applyFont="1" applyFill="1" applyBorder="1" applyAlignment="1"/>
    <xf numFmtId="0" fontId="0" fillId="0" borderId="4" xfId="0" applyBorder="1"/>
    <xf numFmtId="165" fontId="0" fillId="0" borderId="4" xfId="2" applyNumberFormat="1" applyFont="1" applyBorder="1" applyAlignment="1"/>
    <xf numFmtId="165" fontId="0" fillId="5" borderId="4" xfId="2" applyNumberFormat="1" applyFont="1" applyFill="1" applyBorder="1" applyAlignment="1"/>
    <xf numFmtId="165" fontId="0" fillId="0" borderId="4" xfId="2" applyNumberFormat="1" applyFont="1" applyFill="1" applyBorder="1" applyAlignment="1"/>
    <xf numFmtId="0" fontId="0" fillId="0" borderId="4" xfId="0" applyBorder="1" applyAlignment="1">
      <alignment horizontal="center"/>
    </xf>
    <xf numFmtId="0" fontId="0" fillId="0" borderId="4" xfId="0" applyBorder="1" applyAlignment="1"/>
    <xf numFmtId="0" fontId="0" fillId="0" borderId="14" xfId="0" applyBorder="1" applyAlignment="1"/>
    <xf numFmtId="165" fontId="21" fillId="0" borderId="4" xfId="2" applyNumberFormat="1" applyFont="1" applyBorder="1" applyAlignment="1"/>
    <xf numFmtId="165" fontId="0" fillId="0" borderId="4" xfId="0" applyNumberFormat="1" applyBorder="1" applyAlignment="1"/>
    <xf numFmtId="165" fontId="9" fillId="0" borderId="14" xfId="2" applyNumberFormat="1" applyFont="1" applyBorder="1" applyAlignment="1"/>
    <xf numFmtId="165" fontId="0" fillId="0" borderId="4" xfId="0" applyNumberFormat="1" applyBorder="1"/>
    <xf numFmtId="165" fontId="0" fillId="0" borderId="8" xfId="2" applyNumberFormat="1" applyFont="1" applyBorder="1"/>
    <xf numFmtId="3" fontId="21" fillId="0" borderId="0" xfId="0" applyNumberFormat="1" applyFont="1" applyBorder="1"/>
    <xf numFmtId="0" fontId="21" fillId="0" borderId="0" xfId="0" applyFont="1" applyBorder="1"/>
    <xf numFmtId="0" fontId="0" fillId="0" borderId="0" xfId="0" applyAlignment="1">
      <alignment horizontal="right"/>
    </xf>
    <xf numFmtId="43" fontId="0" fillId="0" borderId="4" xfId="0" applyNumberFormat="1" applyBorder="1"/>
    <xf numFmtId="43" fontId="0" fillId="0" borderId="3" xfId="0" applyNumberFormat="1" applyBorder="1"/>
    <xf numFmtId="0" fontId="72" fillId="5" borderId="0" xfId="0" applyFont="1" applyFill="1" applyAlignment="1">
      <alignment horizontal="center"/>
    </xf>
    <xf numFmtId="211" fontId="72" fillId="5" borderId="0" xfId="3" applyNumberFormat="1" applyFont="1" applyFill="1" applyAlignment="1">
      <alignment horizontal="center"/>
    </xf>
    <xf numFmtId="14" fontId="74" fillId="5" borderId="0" xfId="0" applyNumberFormat="1" applyFont="1" applyFill="1" applyAlignment="1">
      <alignment horizontal="center"/>
    </xf>
    <xf numFmtId="10" fontId="74" fillId="5" borderId="0" xfId="11" applyNumberFormat="1" applyFont="1" applyFill="1" applyAlignment="1">
      <alignment horizontal="center"/>
    </xf>
    <xf numFmtId="0" fontId="74" fillId="5" borderId="0" xfId="0" applyFont="1" applyFill="1" applyAlignment="1">
      <alignment horizontal="center"/>
    </xf>
    <xf numFmtId="211" fontId="67" fillId="5" borderId="0" xfId="3" applyNumberFormat="1" applyFont="1" applyFill="1"/>
    <xf numFmtId="0" fontId="67" fillId="5" borderId="0" xfId="0" applyFont="1" applyFill="1"/>
    <xf numFmtId="0" fontId="67" fillId="5" borderId="0" xfId="0" applyFont="1" applyFill="1" applyAlignment="1">
      <alignment horizontal="center"/>
    </xf>
    <xf numFmtId="211" fontId="1" fillId="5" borderId="0" xfId="3" applyNumberFormat="1" applyFill="1"/>
    <xf numFmtId="0" fontId="0" fillId="5" borderId="0" xfId="0" applyFill="1" applyAlignment="1">
      <alignment horizontal="center"/>
    </xf>
    <xf numFmtId="211" fontId="67" fillId="5" borderId="0" xfId="3" applyNumberFormat="1" applyFont="1" applyFill="1" applyAlignment="1">
      <alignment horizontal="center"/>
    </xf>
    <xf numFmtId="0" fontId="79" fillId="5" borderId="0" xfId="0" applyFont="1" applyFill="1" applyAlignment="1">
      <alignment horizontal="center" wrapText="1"/>
    </xf>
    <xf numFmtId="0" fontId="79" fillId="5" borderId="0" xfId="0" applyFont="1" applyFill="1" applyAlignment="1">
      <alignment wrapText="1"/>
    </xf>
    <xf numFmtId="0" fontId="76" fillId="5" borderId="0" xfId="0" applyFont="1" applyFill="1" applyAlignment="1">
      <alignment horizontal="center"/>
    </xf>
    <xf numFmtId="0" fontId="73" fillId="5" borderId="0" xfId="0" applyFont="1" applyFill="1" applyAlignment="1">
      <alignment horizontal="left"/>
    </xf>
    <xf numFmtId="0" fontId="0" fillId="5" borderId="0" xfId="0" applyFill="1"/>
    <xf numFmtId="165" fontId="0" fillId="5" borderId="0" xfId="0" applyNumberFormat="1" applyFill="1"/>
    <xf numFmtId="0" fontId="74" fillId="5" borderId="0" xfId="0" applyFont="1" applyFill="1" applyAlignment="1">
      <alignment horizontal="right"/>
    </xf>
    <xf numFmtId="165" fontId="0" fillId="5" borderId="0" xfId="2" applyNumberFormat="1" applyFont="1" applyFill="1" applyAlignment="1">
      <alignment horizontal="center"/>
    </xf>
    <xf numFmtId="0" fontId="75" fillId="5" borderId="0" xfId="0" applyFont="1" applyFill="1" applyAlignment="1">
      <alignment horizontal="center"/>
    </xf>
    <xf numFmtId="0" fontId="74" fillId="5" borderId="0" xfId="0" applyFont="1" applyFill="1"/>
    <xf numFmtId="0" fontId="77" fillId="5" borderId="0" xfId="0" applyFont="1" applyFill="1" applyBorder="1" applyAlignment="1">
      <alignment horizontal="left" wrapText="1"/>
    </xf>
    <xf numFmtId="0" fontId="77" fillId="5" borderId="0" xfId="0" applyFont="1" applyFill="1" applyBorder="1" applyAlignment="1">
      <alignment horizontal="left"/>
    </xf>
    <xf numFmtId="0" fontId="18" fillId="5" borderId="0" xfId="0" applyFont="1" applyFill="1" applyBorder="1"/>
    <xf numFmtId="0" fontId="18" fillId="5" borderId="0" xfId="0" applyFont="1" applyFill="1"/>
    <xf numFmtId="0" fontId="78" fillId="5" borderId="15" xfId="0" applyFont="1" applyFill="1" applyBorder="1" applyAlignment="1">
      <alignment horizontal="left" wrapText="1"/>
    </xf>
    <xf numFmtId="0" fontId="78" fillId="5" borderId="15" xfId="0" applyFont="1" applyFill="1" applyBorder="1" applyAlignment="1">
      <alignment horizontal="center"/>
    </xf>
    <xf numFmtId="14" fontId="78" fillId="5" borderId="15" xfId="0" applyNumberFormat="1" applyFont="1" applyFill="1" applyBorder="1" applyAlignment="1">
      <alignment horizontal="center"/>
    </xf>
    <xf numFmtId="197" fontId="78" fillId="5" borderId="15" xfId="0" applyNumberFormat="1" applyFont="1" applyFill="1" applyBorder="1" applyAlignment="1">
      <alignment horizontal="center"/>
    </xf>
    <xf numFmtId="10" fontId="78" fillId="5" borderId="15" xfId="11" applyNumberFormat="1" applyFont="1" applyFill="1" applyBorder="1" applyAlignment="1">
      <alignment horizontal="center"/>
    </xf>
    <xf numFmtId="10" fontId="78" fillId="5" borderId="15" xfId="11" applyNumberFormat="1" applyFont="1" applyFill="1" applyBorder="1"/>
    <xf numFmtId="43" fontId="78" fillId="5" borderId="15" xfId="0" applyNumberFormat="1" applyFont="1" applyFill="1" applyBorder="1"/>
    <xf numFmtId="165" fontId="78" fillId="5" borderId="15" xfId="0" applyNumberFormat="1" applyFont="1" applyFill="1" applyBorder="1"/>
    <xf numFmtId="165" fontId="0" fillId="5" borderId="0" xfId="2" applyNumberFormat="1" applyFont="1" applyFill="1"/>
    <xf numFmtId="0" fontId="78" fillId="5" borderId="15" xfId="0" applyFont="1" applyFill="1" applyBorder="1" applyAlignment="1">
      <alignment horizontal="left"/>
    </xf>
    <xf numFmtId="165" fontId="78" fillId="5" borderId="15" xfId="2" applyNumberFormat="1" applyFont="1" applyFill="1" applyBorder="1" applyAlignment="1">
      <alignment horizontal="center"/>
    </xf>
    <xf numFmtId="165" fontId="1" fillId="5" borderId="0" xfId="2" applyNumberFormat="1" applyFill="1"/>
    <xf numFmtId="0" fontId="0" fillId="5" borderId="0" xfId="0" applyFill="1" applyAlignment="1">
      <alignment horizontal="left"/>
    </xf>
    <xf numFmtId="0" fontId="18" fillId="5" borderId="0" xfId="0" applyFont="1" applyFill="1" applyAlignment="1">
      <alignment horizontal="center"/>
    </xf>
    <xf numFmtId="0" fontId="0" fillId="5" borderId="0" xfId="0" applyFill="1" applyBorder="1" applyAlignment="1">
      <alignment horizontal="center"/>
    </xf>
    <xf numFmtId="165" fontId="78" fillId="5" borderId="0" xfId="2" applyNumberFormat="1" applyFont="1" applyFill="1" applyBorder="1" applyAlignment="1">
      <alignment horizontal="center"/>
    </xf>
    <xf numFmtId="43" fontId="78" fillId="5" borderId="0" xfId="0" applyNumberFormat="1" applyFont="1" applyFill="1" applyBorder="1"/>
    <xf numFmtId="0" fontId="80" fillId="5" borderId="0" xfId="0" applyFont="1" applyFill="1" applyAlignment="1">
      <alignment horizontal="center"/>
    </xf>
    <xf numFmtId="0" fontId="71" fillId="0" borderId="0" xfId="0" applyFont="1"/>
    <xf numFmtId="0" fontId="60" fillId="0" borderId="16" xfId="0" applyFont="1" applyBorder="1"/>
    <xf numFmtId="14" fontId="60" fillId="0" borderId="14" xfId="0" applyNumberFormat="1" applyFont="1" applyBorder="1"/>
    <xf numFmtId="0" fontId="60" fillId="0" borderId="17" xfId="0" applyFont="1" applyBorder="1"/>
    <xf numFmtId="165" fontId="60" fillId="0" borderId="9" xfId="2" applyNumberFormat="1" applyFont="1" applyBorder="1"/>
    <xf numFmtId="0" fontId="60" fillId="0" borderId="18" xfId="0" applyFont="1" applyBorder="1"/>
    <xf numFmtId="165" fontId="60" fillId="0" borderId="10" xfId="2" applyNumberFormat="1" applyFont="1" applyBorder="1"/>
    <xf numFmtId="211" fontId="0" fillId="0" borderId="0" xfId="3" applyNumberFormat="1" applyFont="1"/>
    <xf numFmtId="9" fontId="67" fillId="0" borderId="0" xfId="0" applyNumberFormat="1" applyFont="1"/>
    <xf numFmtId="9" fontId="0" fillId="0" borderId="0" xfId="0" applyNumberFormat="1"/>
    <xf numFmtId="165" fontId="0" fillId="0" borderId="14" xfId="0" applyNumberFormat="1" applyBorder="1" applyAlignment="1"/>
    <xf numFmtId="165" fontId="0" fillId="0" borderId="9" xfId="0" applyNumberFormat="1" applyBorder="1"/>
    <xf numFmtId="165" fontId="0" fillId="0" borderId="9" xfId="2" applyNumberFormat="1" applyFont="1" applyBorder="1" applyAlignment="1"/>
    <xf numFmtId="165" fontId="0" fillId="0" borderId="14" xfId="2" applyNumberFormat="1" applyFont="1" applyBorder="1"/>
    <xf numFmtId="165" fontId="9" fillId="0" borderId="8" xfId="2" applyNumberFormat="1" applyFont="1" applyFill="1" applyBorder="1" applyAlignment="1"/>
    <xf numFmtId="218" fontId="59" fillId="0" borderId="0" xfId="11" applyNumberFormat="1" applyFont="1" applyFill="1" applyBorder="1" applyAlignment="1">
      <alignment horizontal="center"/>
    </xf>
    <xf numFmtId="218" fontId="54" fillId="0" borderId="0" xfId="11" applyNumberFormat="1" applyFont="1" applyFill="1" applyBorder="1" applyAlignment="1">
      <alignment horizontal="center"/>
    </xf>
    <xf numFmtId="168" fontId="59" fillId="0" borderId="0" xfId="2" applyNumberFormat="1" applyFont="1" applyFill="1" applyBorder="1" applyAlignment="1">
      <alignment horizontal="right"/>
    </xf>
    <xf numFmtId="165" fontId="59" fillId="0" borderId="0" xfId="2" applyNumberFormat="1" applyFont="1" applyFill="1" applyBorder="1" applyAlignment="1">
      <alignment horizontal="right"/>
    </xf>
    <xf numFmtId="3" fontId="58" fillId="0" borderId="0" xfId="0" applyNumberFormat="1" applyFont="1" applyFill="1" applyBorder="1" applyAlignment="1">
      <alignment horizontal="right"/>
    </xf>
    <xf numFmtId="165" fontId="2" fillId="0" borderId="0" xfId="2" applyNumberFormat="1" applyFont="1" applyBorder="1" applyAlignment="1">
      <alignment horizontal="center"/>
    </xf>
    <xf numFmtId="165" fontId="9" fillId="0" borderId="0" xfId="2" applyNumberFormat="1" applyFont="1" applyAlignment="1">
      <alignment horizontal="center"/>
    </xf>
    <xf numFmtId="43" fontId="9" fillId="0" borderId="0" xfId="2" applyNumberFormat="1" applyFont="1" applyAlignment="1"/>
    <xf numFmtId="14" fontId="71" fillId="5" borderId="15" xfId="0" applyNumberFormat="1" applyFont="1" applyFill="1" applyBorder="1" applyAlignment="1">
      <alignment horizontal="left" wrapText="1"/>
    </xf>
    <xf numFmtId="200" fontId="71" fillId="0" borderId="0" xfId="0" applyNumberFormat="1" applyFont="1" applyAlignment="1"/>
    <xf numFmtId="165" fontId="2" fillId="0" borderId="0" xfId="2" applyNumberFormat="1" applyFont="1" applyBorder="1"/>
    <xf numFmtId="165" fontId="2" fillId="0" borderId="0" xfId="2" applyNumberFormat="1" applyFont="1" applyBorder="1" applyAlignment="1">
      <alignment horizontal="left"/>
    </xf>
    <xf numFmtId="165" fontId="64" fillId="0" borderId="8" xfId="2" applyNumberFormat="1" applyFont="1" applyBorder="1" applyAlignment="1"/>
    <xf numFmtId="165" fontId="0" fillId="0" borderId="19" xfId="0" applyNumberFormat="1" applyBorder="1"/>
    <xf numFmtId="165" fontId="0" fillId="0" borderId="20" xfId="0" applyNumberFormat="1" applyBorder="1"/>
    <xf numFmtId="165" fontId="21" fillId="5" borderId="0" xfId="2" applyNumberFormat="1" applyFont="1" applyFill="1" applyAlignment="1"/>
    <xf numFmtId="165" fontId="9" fillId="5" borderId="8" xfId="2" applyNumberFormat="1" applyFont="1" applyFill="1" applyBorder="1" applyAlignment="1"/>
    <xf numFmtId="165" fontId="0" fillId="5" borderId="8" xfId="2" applyNumberFormat="1" applyFont="1" applyFill="1" applyBorder="1" applyAlignment="1"/>
    <xf numFmtId="14" fontId="21" fillId="0" borderId="0" xfId="0" applyNumberFormat="1" applyFont="1" applyBorder="1"/>
    <xf numFmtId="14" fontId="9" fillId="0" borderId="0" xfId="0" applyNumberFormat="1" applyFont="1" applyAlignment="1">
      <alignment horizontal="left"/>
    </xf>
    <xf numFmtId="0" fontId="0" fillId="0" borderId="9" xfId="0" applyBorder="1" applyAlignment="1">
      <alignment horizontal="center"/>
    </xf>
    <xf numFmtId="199" fontId="21" fillId="0" borderId="0" xfId="0" applyNumberFormat="1" applyFont="1" applyBorder="1" applyAlignment="1"/>
    <xf numFmtId="0" fontId="0" fillId="0" borderId="0" xfId="0" applyBorder="1" applyAlignment="1"/>
    <xf numFmtId="200" fontId="21" fillId="0" borderId="0" xfId="0" applyNumberFormat="1" applyFont="1"/>
    <xf numFmtId="165" fontId="21" fillId="0" borderId="0" xfId="2" applyNumberFormat="1" applyFont="1" applyBorder="1" applyAlignment="1"/>
    <xf numFmtId="43" fontId="9" fillId="0" borderId="0" xfId="2" applyFont="1" applyBorder="1" applyAlignment="1"/>
    <xf numFmtId="43" fontId="9" fillId="0" borderId="9" xfId="2" applyFont="1" applyBorder="1" applyAlignment="1"/>
    <xf numFmtId="43" fontId="9" fillId="0" borderId="0" xfId="2" quotePrefix="1" applyFont="1" applyAlignment="1"/>
    <xf numFmtId="43" fontId="9" fillId="0" borderId="0" xfId="2" quotePrefix="1" applyFont="1" applyBorder="1" applyAlignment="1"/>
    <xf numFmtId="43" fontId="9" fillId="0" borderId="9" xfId="2" quotePrefix="1" applyFont="1" applyBorder="1" applyAlignment="1"/>
    <xf numFmtId="43" fontId="9" fillId="0" borderId="0" xfId="2" applyFont="1" applyAlignment="1"/>
    <xf numFmtId="43" fontId="0" fillId="0" borderId="0" xfId="2" applyFont="1" applyBorder="1"/>
    <xf numFmtId="43" fontId="0" fillId="0" borderId="9" xfId="2" applyFont="1" applyBorder="1"/>
    <xf numFmtId="43" fontId="9" fillId="0" borderId="6" xfId="2" applyFont="1" applyBorder="1" applyAlignment="1"/>
    <xf numFmtId="43" fontId="81" fillId="0" borderId="0" xfId="0" applyNumberFormat="1" applyFont="1"/>
    <xf numFmtId="2" fontId="21" fillId="0" borderId="0" xfId="0" applyNumberFormat="1" applyFont="1"/>
    <xf numFmtId="10" fontId="9" fillId="0" borderId="0" xfId="11" applyNumberFormat="1" applyFont="1" applyBorder="1" applyAlignment="1"/>
    <xf numFmtId="10" fontId="9" fillId="0" borderId="9" xfId="11" applyNumberFormat="1" applyFont="1" applyBorder="1" applyAlignment="1"/>
    <xf numFmtId="218" fontId="9" fillId="0" borderId="0" xfId="11" applyNumberFormat="1" applyFont="1"/>
    <xf numFmtId="2" fontId="21" fillId="0" borderId="9" xfId="0" applyNumberFormat="1" applyFont="1" applyBorder="1"/>
    <xf numFmtId="10" fontId="21" fillId="0" borderId="0" xfId="11" applyNumberFormat="1" applyFont="1"/>
    <xf numFmtId="1" fontId="9" fillId="0" borderId="0" xfId="0" applyNumberFormat="1" applyFont="1" applyBorder="1"/>
    <xf numFmtId="1" fontId="9" fillId="0" borderId="9" xfId="0" applyNumberFormat="1" applyFont="1" applyBorder="1"/>
    <xf numFmtId="1" fontId="9" fillId="0" borderId="0" xfId="0" applyNumberFormat="1" applyFont="1"/>
    <xf numFmtId="14" fontId="21" fillId="0" borderId="9" xfId="0" applyNumberFormat="1" applyFont="1" applyBorder="1"/>
    <xf numFmtId="14" fontId="9" fillId="0" borderId="0" xfId="0" applyNumberFormat="1" applyFont="1"/>
    <xf numFmtId="14" fontId="9" fillId="0" borderId="9" xfId="0" applyNumberFormat="1" applyFont="1" applyBorder="1"/>
    <xf numFmtId="1" fontId="0" fillId="0" borderId="0" xfId="0" applyNumberFormat="1" applyBorder="1"/>
    <xf numFmtId="1" fontId="0" fillId="0" borderId="9" xfId="0" applyNumberFormat="1" applyBorder="1"/>
    <xf numFmtId="1" fontId="0" fillId="0" borderId="0" xfId="0" applyNumberFormat="1"/>
    <xf numFmtId="200" fontId="0" fillId="0" borderId="0" xfId="0" applyNumberFormat="1" applyBorder="1"/>
    <xf numFmtId="218" fontId="0" fillId="0" borderId="0" xfId="11" applyNumberFormat="1" applyFont="1" applyBorder="1"/>
    <xf numFmtId="43" fontId="0" fillId="0" borderId="6" xfId="2" applyFont="1" applyBorder="1"/>
    <xf numFmtId="14" fontId="9" fillId="0" borderId="2" xfId="0" applyNumberFormat="1" applyFont="1" applyBorder="1" applyAlignment="1">
      <alignment horizontal="center"/>
    </xf>
    <xf numFmtId="14" fontId="9" fillId="0" borderId="18" xfId="0" applyNumberFormat="1" applyFont="1" applyBorder="1" applyAlignment="1">
      <alignment horizontal="center"/>
    </xf>
    <xf numFmtId="14" fontId="9" fillId="0" borderId="0" xfId="0" quotePrefix="1" applyNumberFormat="1" applyFont="1" applyAlignment="1">
      <alignment horizontal="right"/>
    </xf>
    <xf numFmtId="199" fontId="9" fillId="0" borderId="0" xfId="0" applyNumberFormat="1" applyFont="1" applyFill="1" applyBorder="1" applyAlignment="1"/>
    <xf numFmtId="165" fontId="9" fillId="0" borderId="0" xfId="2" quotePrefix="1" applyNumberFormat="1" applyFont="1" applyBorder="1" applyAlignment="1"/>
    <xf numFmtId="165" fontId="0" fillId="0" borderId="12" xfId="2" applyNumberFormat="1" applyFont="1" applyFill="1" applyBorder="1" applyAlignment="1"/>
    <xf numFmtId="165" fontId="0" fillId="0" borderId="8" xfId="2" applyNumberFormat="1" applyFont="1" applyFill="1" applyBorder="1"/>
    <xf numFmtId="165" fontId="0" fillId="0" borderId="0" xfId="2" applyNumberFormat="1" applyFont="1" applyFill="1" applyBorder="1"/>
    <xf numFmtId="0" fontId="0" fillId="0" borderId="0" xfId="0" applyFill="1" applyBorder="1" applyAlignment="1"/>
    <xf numFmtId="165" fontId="0" fillId="0" borderId="0" xfId="0" applyNumberFormat="1" applyFill="1" applyBorder="1" applyAlignment="1"/>
    <xf numFmtId="165" fontId="9" fillId="0" borderId="0" xfId="2" applyNumberFormat="1" applyFont="1" applyFill="1" applyBorder="1" applyAlignment="1"/>
    <xf numFmtId="0" fontId="0" fillId="0" borderId="0" xfId="0" applyFill="1" applyBorder="1"/>
    <xf numFmtId="165" fontId="0" fillId="0" borderId="0" xfId="0" applyNumberFormat="1" applyFill="1" applyBorder="1"/>
    <xf numFmtId="213" fontId="0" fillId="0" borderId="0" xfId="2" applyNumberFormat="1" applyFont="1"/>
    <xf numFmtId="213" fontId="21" fillId="0" borderId="0" xfId="2" applyNumberFormat="1" applyFont="1"/>
    <xf numFmtId="199" fontId="9" fillId="0" borderId="0" xfId="0" applyNumberFormat="1" applyFont="1" applyAlignment="1"/>
    <xf numFmtId="165" fontId="21" fillId="0" borderId="0" xfId="2" applyNumberFormat="1" applyFont="1" applyBorder="1" applyAlignment="1">
      <alignment horizontal="center"/>
    </xf>
    <xf numFmtId="199" fontId="9" fillId="0" borderId="0" xfId="0" applyNumberFormat="1" applyFont="1"/>
    <xf numFmtId="0" fontId="9" fillId="0" borderId="0" xfId="0" applyFont="1" applyBorder="1"/>
    <xf numFmtId="0" fontId="9" fillId="0" borderId="9" xfId="0" applyFont="1" applyBorder="1"/>
    <xf numFmtId="168" fontId="21" fillId="0" borderId="0" xfId="2" applyNumberFormat="1" applyFont="1" applyAlignment="1"/>
    <xf numFmtId="165" fontId="21" fillId="0" borderId="0" xfId="0" applyNumberFormat="1" applyFont="1" applyAlignment="1"/>
    <xf numFmtId="215" fontId="21" fillId="0" borderId="0" xfId="2" applyNumberFormat="1" applyFont="1"/>
    <xf numFmtId="215" fontId="0" fillId="0" borderId="0" xfId="2" applyNumberFormat="1" applyFont="1"/>
    <xf numFmtId="199" fontId="9" fillId="0" borderId="0" xfId="0" quotePrefix="1" applyNumberFormat="1" applyFont="1" applyAlignment="1"/>
    <xf numFmtId="201" fontId="9" fillId="0" borderId="0" xfId="0" quotePrefix="1" applyNumberFormat="1" applyFont="1" applyAlignment="1"/>
    <xf numFmtId="14" fontId="0" fillId="0" borderId="0" xfId="0" applyNumberFormat="1" applyAlignment="1"/>
    <xf numFmtId="165" fontId="21" fillId="0" borderId="0" xfId="0" applyNumberFormat="1" applyFont="1" applyFill="1" applyBorder="1" applyAlignment="1"/>
    <xf numFmtId="14" fontId="0" fillId="0" borderId="0" xfId="0" applyNumberFormat="1" applyAlignment="1">
      <alignment horizontal="left"/>
    </xf>
    <xf numFmtId="17" fontId="0" fillId="0" borderId="0" xfId="0" applyNumberFormat="1" applyBorder="1" applyAlignment="1">
      <alignment horizontal="center"/>
    </xf>
    <xf numFmtId="165" fontId="9" fillId="0" borderId="0" xfId="2" applyNumberFormat="1" applyFont="1"/>
    <xf numFmtId="0" fontId="73" fillId="0" borderId="0" xfId="0" applyFont="1" applyAlignment="1">
      <alignment horizontal="center"/>
    </xf>
    <xf numFmtId="165" fontId="64" fillId="0" borderId="0" xfId="0" applyNumberFormat="1" applyFont="1"/>
    <xf numFmtId="165" fontId="21" fillId="0" borderId="0" xfId="0" applyNumberFormat="1" applyFont="1"/>
    <xf numFmtId="10" fontId="0" fillId="0" borderId="0" xfId="0" applyNumberFormat="1"/>
    <xf numFmtId="12" fontId="0" fillId="0" borderId="0" xfId="0" applyNumberFormat="1"/>
    <xf numFmtId="201" fontId="21" fillId="0" borderId="0" xfId="0" quotePrefix="1" applyNumberFormat="1" applyFont="1" applyAlignment="1"/>
    <xf numFmtId="0" fontId="9" fillId="0" borderId="0" xfId="0" applyFont="1" applyAlignment="1">
      <alignment horizontal="left"/>
    </xf>
    <xf numFmtId="43" fontId="9" fillId="0" borderId="0" xfId="2" applyFont="1"/>
    <xf numFmtId="0" fontId="9" fillId="0" borderId="0" xfId="0" applyFont="1" applyAlignment="1">
      <alignment horizontal="center"/>
    </xf>
    <xf numFmtId="0" fontId="67" fillId="0" borderId="0" xfId="0" applyFont="1" applyAlignment="1">
      <alignment horizontal="left"/>
    </xf>
    <xf numFmtId="208" fontId="9" fillId="0" borderId="0" xfId="0" quotePrefix="1" applyNumberFormat="1" applyFont="1" applyAlignment="1">
      <alignment horizontal="center"/>
    </xf>
    <xf numFmtId="43" fontId="9" fillId="0" borderId="2" xfId="2" applyFont="1" applyBorder="1" applyAlignment="1">
      <alignment horizontal="center"/>
    </xf>
    <xf numFmtId="0" fontId="9" fillId="0" borderId="2" xfId="0" applyFont="1" applyBorder="1" applyAlignment="1">
      <alignment horizontal="center"/>
    </xf>
    <xf numFmtId="43" fontId="9" fillId="0" borderId="0" xfId="2" applyFont="1" applyBorder="1" applyAlignment="1">
      <alignment horizontal="center"/>
    </xf>
    <xf numFmtId="200" fontId="64" fillId="0" borderId="0" xfId="0" applyNumberFormat="1" applyFont="1" applyBorder="1" applyAlignment="1">
      <alignment horizontal="center"/>
    </xf>
    <xf numFmtId="200" fontId="64" fillId="0" borderId="0" xfId="0" quotePrefix="1" applyNumberFormat="1" applyFont="1" applyBorder="1" applyAlignment="1">
      <alignment horizontal="center"/>
    </xf>
    <xf numFmtId="0" fontId="9" fillId="0" borderId="0" xfId="0" applyFont="1" applyBorder="1" applyAlignment="1">
      <alignment horizontal="center"/>
    </xf>
    <xf numFmtId="43" fontId="9" fillId="0" borderId="0" xfId="2" applyFont="1" applyAlignment="1">
      <alignment horizontal="center"/>
    </xf>
    <xf numFmtId="165" fontId="64" fillId="0" borderId="0" xfId="2" applyNumberFormat="1" applyFont="1" applyBorder="1" applyAlignment="1">
      <alignment horizontal="right"/>
    </xf>
    <xf numFmtId="165" fontId="9" fillId="0" borderId="0" xfId="2" applyNumberFormat="1" applyFont="1" applyBorder="1" applyAlignment="1">
      <alignment horizontal="right"/>
    </xf>
    <xf numFmtId="165" fontId="9" fillId="0" borderId="6" xfId="2" applyNumberFormat="1" applyFont="1" applyBorder="1" applyAlignment="1">
      <alignment horizontal="center"/>
    </xf>
    <xf numFmtId="165" fontId="64" fillId="0" borderId="6" xfId="2" applyNumberFormat="1" applyFont="1" applyBorder="1" applyAlignment="1">
      <alignment horizontal="right"/>
    </xf>
    <xf numFmtId="165" fontId="9" fillId="0" borderId="6" xfId="2" applyNumberFormat="1" applyFont="1" applyBorder="1"/>
    <xf numFmtId="165" fontId="9" fillId="0" borderId="0" xfId="2" applyNumberFormat="1" applyFont="1" applyBorder="1" applyAlignment="1">
      <alignment horizontal="left"/>
    </xf>
    <xf numFmtId="165" fontId="9" fillId="0" borderId="0" xfId="2" applyNumberFormat="1" applyFont="1" applyBorder="1" applyAlignment="1">
      <alignment horizontal="center"/>
    </xf>
    <xf numFmtId="165" fontId="71" fillId="0" borderId="0" xfId="2" applyNumberFormat="1" applyFont="1"/>
    <xf numFmtId="165" fontId="9" fillId="0" borderId="3" xfId="2" applyNumberFormat="1" applyFont="1" applyBorder="1" applyAlignment="1">
      <alignment horizontal="center"/>
    </xf>
    <xf numFmtId="165" fontId="9" fillId="0" borderId="0" xfId="0" applyNumberFormat="1" applyFont="1"/>
    <xf numFmtId="215" fontId="9" fillId="0" borderId="0" xfId="2" applyNumberFormat="1" applyFont="1"/>
    <xf numFmtId="165" fontId="9" fillId="0" borderId="0" xfId="2" applyNumberFormat="1" applyFont="1" applyBorder="1"/>
    <xf numFmtId="0" fontId="9" fillId="0" borderId="21" xfId="0" applyFont="1" applyBorder="1" applyAlignment="1">
      <alignment horizontal="left"/>
    </xf>
    <xf numFmtId="0" fontId="9" fillId="0" borderId="11" xfId="0" applyFont="1" applyBorder="1"/>
    <xf numFmtId="0" fontId="9" fillId="0" borderId="17" xfId="0" applyFont="1" applyBorder="1" applyAlignment="1">
      <alignment horizontal="left"/>
    </xf>
    <xf numFmtId="0" fontId="9" fillId="0" borderId="18" xfId="0" applyFont="1" applyBorder="1" applyAlignment="1">
      <alignment horizontal="left"/>
    </xf>
    <xf numFmtId="0" fontId="9" fillId="0" borderId="10" xfId="0" applyFont="1" applyBorder="1"/>
    <xf numFmtId="16" fontId="9" fillId="0" borderId="0" xfId="0" applyNumberFormat="1" applyFont="1"/>
    <xf numFmtId="0" fontId="9" fillId="0" borderId="18" xfId="0" applyFont="1" applyBorder="1"/>
    <xf numFmtId="165" fontId="21" fillId="0" borderId="6" xfId="2" applyNumberFormat="1" applyFont="1" applyBorder="1" applyAlignment="1">
      <alignment horizontal="center"/>
    </xf>
    <xf numFmtId="0" fontId="21" fillId="0" borderId="0" xfId="0" applyFont="1" applyAlignment="1">
      <alignment vertical="top"/>
    </xf>
    <xf numFmtId="14" fontId="21" fillId="0" borderId="0" xfId="0" applyNumberFormat="1" applyFont="1" applyAlignment="1">
      <alignment vertical="top"/>
    </xf>
    <xf numFmtId="165" fontId="21" fillId="0" borderId="0" xfId="2" applyNumberFormat="1" applyFont="1" applyAlignment="1">
      <alignment vertical="top"/>
    </xf>
    <xf numFmtId="165" fontId="0" fillId="0" borderId="0" xfId="2" applyNumberFormat="1" applyFont="1" applyAlignment="1">
      <alignment vertical="top"/>
    </xf>
    <xf numFmtId="0" fontId="21" fillId="0" borderId="0" xfId="0" applyFont="1" applyAlignment="1">
      <alignment vertical="top" wrapText="1"/>
    </xf>
    <xf numFmtId="17" fontId="21" fillId="0" borderId="0" xfId="0" applyNumberFormat="1" applyFont="1" applyAlignment="1">
      <alignment vertical="top"/>
    </xf>
    <xf numFmtId="199" fontId="21" fillId="0" borderId="0" xfId="0" applyNumberFormat="1" applyFont="1" applyAlignment="1">
      <alignment vertical="top"/>
    </xf>
    <xf numFmtId="165" fontId="0" fillId="0" borderId="3" xfId="0" applyNumberFormat="1" applyBorder="1"/>
    <xf numFmtId="168" fontId="0" fillId="0" borderId="5" xfId="0" applyNumberFormat="1" applyBorder="1"/>
    <xf numFmtId="14" fontId="9" fillId="0" borderId="0" xfId="0" applyNumberFormat="1" applyFont="1" applyBorder="1"/>
    <xf numFmtId="199" fontId="9" fillId="0" borderId="0" xfId="0" quotePrefix="1" applyNumberFormat="1" applyFont="1" applyBorder="1" applyAlignment="1"/>
    <xf numFmtId="0" fontId="81" fillId="0" borderId="0" xfId="0" applyFont="1"/>
    <xf numFmtId="0" fontId="82" fillId="0" borderId="0" xfId="0" applyFont="1"/>
    <xf numFmtId="0" fontId="0" fillId="0" borderId="16" xfId="0" applyBorder="1"/>
    <xf numFmtId="14" fontId="0" fillId="0" borderId="4" xfId="0" quotePrefix="1" applyNumberFormat="1" applyBorder="1"/>
    <xf numFmtId="14" fontId="0" fillId="0" borderId="14" xfId="0" quotePrefix="1" applyNumberFormat="1" applyBorder="1"/>
    <xf numFmtId="0" fontId="0" fillId="0" borderId="0" xfId="0" quotePrefix="1" applyNumberFormat="1"/>
    <xf numFmtId="0" fontId="83" fillId="0" borderId="0" xfId="0" applyFont="1" applyAlignment="1">
      <alignment horizontal="left"/>
    </xf>
    <xf numFmtId="14" fontId="67" fillId="0" borderId="0" xfId="0" applyNumberFormat="1" applyFont="1" applyAlignment="1">
      <alignment horizontal="left"/>
    </xf>
    <xf numFmtId="0" fontId="0" fillId="0" borderId="22" xfId="0" applyBorder="1" applyAlignment="1"/>
    <xf numFmtId="0" fontId="9" fillId="0" borderId="9" xfId="0" applyFont="1" applyBorder="1" applyAlignment="1">
      <alignment horizontal="center"/>
    </xf>
    <xf numFmtId="0" fontId="9" fillId="0" borderId="23" xfId="0" applyFont="1" applyBorder="1" applyAlignment="1">
      <alignment horizontal="center"/>
    </xf>
    <xf numFmtId="17" fontId="9" fillId="0" borderId="23" xfId="0" applyNumberFormat="1" applyFont="1" applyBorder="1" applyAlignment="1">
      <alignment horizontal="center"/>
    </xf>
    <xf numFmtId="17" fontId="9" fillId="0" borderId="10" xfId="0" applyNumberFormat="1" applyFont="1" applyBorder="1" applyAlignment="1">
      <alignment horizontal="center"/>
    </xf>
    <xf numFmtId="199" fontId="9" fillId="0" borderId="0" xfId="0" applyNumberFormat="1" applyFont="1" applyBorder="1" applyAlignment="1"/>
    <xf numFmtId="199" fontId="21" fillId="0" borderId="23" xfId="0" applyNumberFormat="1" applyFont="1" applyBorder="1" applyAlignment="1"/>
    <xf numFmtId="0" fontId="9" fillId="0" borderId="23" xfId="0" applyFont="1" applyBorder="1" applyAlignment="1"/>
    <xf numFmtId="0" fontId="9" fillId="0" borderId="9" xfId="0" applyFont="1" applyBorder="1" applyAlignment="1"/>
    <xf numFmtId="0" fontId="9" fillId="0" borderId="24" xfId="0" applyFont="1" applyBorder="1" applyAlignment="1"/>
    <xf numFmtId="165" fontId="1" fillId="0" borderId="0" xfId="2" applyNumberFormat="1" applyAlignment="1"/>
    <xf numFmtId="165" fontId="1" fillId="0" borderId="0" xfId="2" applyNumberFormat="1" applyBorder="1"/>
    <xf numFmtId="165" fontId="21" fillId="0" borderId="23" xfId="2" applyNumberFormat="1" applyFont="1" applyBorder="1" applyAlignment="1"/>
    <xf numFmtId="43" fontId="9" fillId="0" borderId="22" xfId="2" applyFont="1" applyBorder="1" applyAlignment="1"/>
    <xf numFmtId="43" fontId="9" fillId="0" borderId="23" xfId="2" applyFont="1" applyBorder="1" applyAlignment="1"/>
    <xf numFmtId="43" fontId="1" fillId="0" borderId="0" xfId="2" applyBorder="1"/>
    <xf numFmtId="43" fontId="1" fillId="0" borderId="23" xfId="2" applyBorder="1"/>
    <xf numFmtId="43" fontId="1" fillId="0" borderId="9" xfId="2" applyBorder="1"/>
    <xf numFmtId="165" fontId="9" fillId="0" borderId="23" xfId="2" applyNumberFormat="1" applyFont="1" applyBorder="1" applyAlignment="1"/>
    <xf numFmtId="198" fontId="21" fillId="0" borderId="0" xfId="0" applyNumberFormat="1" applyFont="1"/>
    <xf numFmtId="10" fontId="9" fillId="0" borderId="23" xfId="11" applyNumberFormat="1" applyFont="1" applyBorder="1" applyAlignment="1"/>
    <xf numFmtId="2" fontId="21" fillId="0" borderId="23" xfId="0" applyNumberFormat="1" applyFont="1" applyBorder="1"/>
    <xf numFmtId="218" fontId="21" fillId="0" borderId="0" xfId="11" applyNumberFormat="1" applyFont="1"/>
    <xf numFmtId="1" fontId="9" fillId="0" borderId="23" xfId="0" applyNumberFormat="1" applyFont="1" applyBorder="1"/>
    <xf numFmtId="14" fontId="21" fillId="0" borderId="23" xfId="0" applyNumberFormat="1" applyFont="1" applyBorder="1"/>
    <xf numFmtId="1" fontId="0" fillId="0" borderId="23" xfId="0" applyNumberFormat="1" applyBorder="1"/>
    <xf numFmtId="218" fontId="1" fillId="0" borderId="0" xfId="11" applyNumberFormat="1" applyBorder="1"/>
    <xf numFmtId="43" fontId="1" fillId="0" borderId="6" xfId="2" applyBorder="1"/>
    <xf numFmtId="0" fontId="0" fillId="0" borderId="23" xfId="0" applyBorder="1"/>
    <xf numFmtId="43" fontId="0" fillId="0" borderId="2" xfId="0" applyNumberFormat="1" applyBorder="1"/>
    <xf numFmtId="43" fontId="21" fillId="0" borderId="2" xfId="0" applyNumberFormat="1" applyFont="1" applyBorder="1"/>
    <xf numFmtId="0" fontId="0" fillId="0" borderId="24" xfId="0" applyBorder="1"/>
    <xf numFmtId="43" fontId="0" fillId="0" borderId="5" xfId="0" applyNumberFormat="1" applyBorder="1"/>
    <xf numFmtId="165" fontId="0" fillId="0" borderId="3" xfId="2" applyNumberFormat="1" applyFont="1" applyBorder="1"/>
    <xf numFmtId="0" fontId="67" fillId="0" borderId="0" xfId="0" applyFont="1" applyFill="1"/>
    <xf numFmtId="43" fontId="9" fillId="0" borderId="6" xfId="2" applyFont="1" applyBorder="1"/>
    <xf numFmtId="218" fontId="9" fillId="0" borderId="0" xfId="11" applyNumberFormat="1" applyFont="1" applyBorder="1" applyAlignment="1"/>
    <xf numFmtId="43" fontId="1" fillId="0" borderId="6" xfId="2" quotePrefix="1" applyFont="1" applyBorder="1"/>
    <xf numFmtId="200" fontId="9" fillId="0" borderId="0" xfId="0" applyNumberFormat="1" applyFont="1" applyBorder="1" applyAlignment="1">
      <alignment horizontal="center"/>
    </xf>
    <xf numFmtId="0" fontId="81" fillId="0" borderId="22" xfId="0" applyFont="1" applyBorder="1" applyAlignment="1">
      <alignment horizontal="left"/>
    </xf>
    <xf numFmtId="0" fontId="9" fillId="0" borderId="23" xfId="0" applyFont="1" applyBorder="1" applyAlignment="1">
      <alignment horizontal="left"/>
    </xf>
    <xf numFmtId="0" fontId="9" fillId="0" borderId="24" xfId="0" applyFont="1" applyBorder="1" applyAlignment="1">
      <alignment horizontal="left"/>
    </xf>
    <xf numFmtId="165" fontId="21" fillId="0" borderId="0" xfId="2" applyNumberFormat="1" applyFont="1" applyBorder="1" applyAlignment="1">
      <alignment horizontal="right"/>
    </xf>
    <xf numFmtId="0" fontId="9" fillId="0" borderId="17" xfId="0" applyFont="1" applyBorder="1" applyAlignment="1">
      <alignment horizontal="right"/>
    </xf>
    <xf numFmtId="8" fontId="9" fillId="0" borderId="9" xfId="3" applyNumberFormat="1" applyFont="1" applyBorder="1" applyAlignment="1">
      <alignment horizontal="center"/>
    </xf>
    <xf numFmtId="0" fontId="84" fillId="0" borderId="17" xfId="0" applyFont="1" applyBorder="1" applyAlignment="1">
      <alignment horizontal="left"/>
    </xf>
    <xf numFmtId="0" fontId="9" fillId="0" borderId="0" xfId="0" applyFont="1" applyBorder="1" applyAlignment="1">
      <alignment horizontal="right"/>
    </xf>
    <xf numFmtId="0" fontId="84" fillId="0" borderId="21" xfId="0" applyFont="1" applyBorder="1" applyAlignment="1">
      <alignment horizontal="left"/>
    </xf>
    <xf numFmtId="0" fontId="2" fillId="0" borderId="6" xfId="0" applyFont="1" applyBorder="1" applyAlignment="1">
      <alignment horizontal="center"/>
    </xf>
    <xf numFmtId="0" fontId="2" fillId="0" borderId="17" xfId="0" applyFont="1" applyBorder="1" applyAlignment="1">
      <alignment horizontal="center"/>
    </xf>
    <xf numFmtId="197" fontId="9" fillId="5" borderId="15" xfId="0" applyNumberFormat="1" applyFont="1" applyFill="1" applyBorder="1" applyAlignment="1">
      <alignment horizontal="center"/>
    </xf>
    <xf numFmtId="165" fontId="9" fillId="5" borderId="15" xfId="2" applyNumberFormat="1" applyFont="1" applyFill="1" applyBorder="1" applyAlignment="1">
      <alignment horizontal="center"/>
    </xf>
    <xf numFmtId="0" fontId="9" fillId="5" borderId="15" xfId="0" applyFont="1" applyFill="1" applyBorder="1" applyAlignment="1">
      <alignment horizontal="center"/>
    </xf>
    <xf numFmtId="0" fontId="21" fillId="0" borderId="0" xfId="0" applyFont="1" applyAlignment="1">
      <alignment horizontal="center" vertical="top"/>
    </xf>
    <xf numFmtId="0" fontId="67" fillId="0" borderId="0" xfId="0" applyFont="1" applyAlignment="1">
      <alignment horizontal="center"/>
    </xf>
    <xf numFmtId="0" fontId="85" fillId="0" borderId="0" xfId="0" applyFont="1"/>
    <xf numFmtId="1" fontId="64" fillId="0" borderId="0" xfId="0" applyNumberFormat="1" applyFont="1"/>
    <xf numFmtId="200" fontId="64" fillId="0" borderId="0" xfId="0" applyNumberFormat="1" applyFont="1"/>
    <xf numFmtId="0" fontId="9" fillId="0" borderId="23" xfId="0" applyFont="1" applyBorder="1"/>
    <xf numFmtId="0" fontId="9" fillId="0" borderId="24" xfId="0" applyFont="1" applyBorder="1"/>
    <xf numFmtId="0" fontId="81" fillId="0" borderId="22" xfId="0" applyFont="1" applyBorder="1"/>
    <xf numFmtId="169" fontId="0" fillId="0" borderId="0" xfId="0" applyNumberFormat="1"/>
    <xf numFmtId="169" fontId="0" fillId="0" borderId="0" xfId="0" applyNumberFormat="1" applyAlignment="1">
      <alignment horizontal="left"/>
    </xf>
    <xf numFmtId="0" fontId="84" fillId="0" borderId="0" xfId="0" applyFont="1" applyAlignment="1">
      <alignment horizontal="center"/>
    </xf>
    <xf numFmtId="165" fontId="21" fillId="0" borderId="0" xfId="2" applyNumberFormat="1" applyFont="1" applyFill="1"/>
    <xf numFmtId="0" fontId="21" fillId="0" borderId="0" xfId="2" applyNumberFormat="1" applyFont="1" applyFill="1"/>
    <xf numFmtId="165" fontId="0" fillId="0" borderId="0" xfId="2" quotePrefix="1" applyNumberFormat="1" applyFont="1"/>
    <xf numFmtId="0" fontId="67" fillId="6" borderId="0" xfId="0" applyFont="1" applyFill="1"/>
    <xf numFmtId="0" fontId="0" fillId="6" borderId="0" xfId="0" applyFill="1"/>
    <xf numFmtId="165" fontId="0" fillId="6" borderId="0" xfId="2" applyNumberFormat="1" applyFont="1" applyFill="1"/>
    <xf numFmtId="0" fontId="0" fillId="0" borderId="6" xfId="0" applyBorder="1"/>
    <xf numFmtId="0" fontId="0" fillId="0" borderId="11" xfId="0" applyBorder="1"/>
    <xf numFmtId="0" fontId="0" fillId="0" borderId="17" xfId="0" applyBorder="1"/>
    <xf numFmtId="0" fontId="0" fillId="0" borderId="18" xfId="0" applyBorder="1"/>
    <xf numFmtId="0" fontId="0" fillId="0" borderId="10" xfId="0" applyBorder="1"/>
    <xf numFmtId="0" fontId="67" fillId="0" borderId="21" xfId="0" applyFont="1" applyBorder="1"/>
    <xf numFmtId="169" fontId="67" fillId="0" borderId="0" xfId="0" applyNumberFormat="1" applyFont="1" applyAlignment="1">
      <alignment horizontal="left"/>
    </xf>
    <xf numFmtId="8" fontId="9" fillId="0" borderId="9" xfId="3" quotePrefix="1" applyNumberFormat="1" applyFont="1" applyBorder="1" applyAlignment="1">
      <alignment horizontal="center"/>
    </xf>
    <xf numFmtId="43" fontId="81" fillId="0" borderId="0" xfId="2" applyFont="1"/>
    <xf numFmtId="0" fontId="84" fillId="0" borderId="0" xfId="0" applyFont="1" applyBorder="1" applyAlignment="1">
      <alignment horizontal="center"/>
    </xf>
    <xf numFmtId="0" fontId="84" fillId="0" borderId="9" xfId="0" applyFont="1" applyBorder="1" applyAlignment="1">
      <alignment horizontal="center"/>
    </xf>
    <xf numFmtId="7" fontId="0" fillId="0" borderId="0" xfId="3" applyNumberFormat="1" applyFont="1" applyBorder="1"/>
    <xf numFmtId="7" fontId="0" fillId="0" borderId="9" xfId="3" applyNumberFormat="1" applyFont="1" applyBorder="1"/>
    <xf numFmtId="0" fontId="0" fillId="0" borderId="0" xfId="0" quotePrefix="1" applyBorder="1"/>
    <xf numFmtId="0" fontId="0" fillId="0" borderId="2" xfId="0" quotePrefix="1" applyBorder="1"/>
    <xf numFmtId="199" fontId="0" fillId="0" borderId="0" xfId="0" applyNumberFormat="1"/>
    <xf numFmtId="199" fontId="0" fillId="0" borderId="0" xfId="0" quotePrefix="1" applyNumberFormat="1"/>
    <xf numFmtId="14" fontId="64" fillId="0" borderId="0" xfId="0" applyNumberFormat="1" applyFont="1"/>
    <xf numFmtId="43" fontId="0" fillId="6" borderId="0" xfId="2" applyFont="1" applyFill="1"/>
    <xf numFmtId="10" fontId="21" fillId="0" borderId="0" xfId="11" applyNumberFormat="1" applyFont="1" applyBorder="1" applyAlignment="1"/>
    <xf numFmtId="199" fontId="64" fillId="0" borderId="0" xfId="0" applyNumberFormat="1" applyFont="1" applyBorder="1" applyAlignment="1"/>
  </cellXfs>
  <cellStyles count="16">
    <cellStyle name="??_?.????" xfId="1"/>
    <cellStyle name="Comma" xfId="2" builtinId="3"/>
    <cellStyle name="Currency" xfId="3" builtinId="4"/>
    <cellStyle name="Date" xfId="4"/>
    <cellStyle name="Fixed" xfId="5"/>
    <cellStyle name="HEADER" xfId="6"/>
    <cellStyle name="Heading1" xfId="7"/>
    <cellStyle name="Heading2" xfId="8"/>
    <cellStyle name="HIGHLIGHT" xfId="9"/>
    <cellStyle name="Normal" xfId="0" builtinId="0"/>
    <cellStyle name="Normal - Style1" xfId="10"/>
    <cellStyle name="Percent" xfId="11" builtinId="5"/>
    <cellStyle name="Total" xfId="12" builtinId="25" customBuiltin="1"/>
    <cellStyle name="Unprot" xfId="13"/>
    <cellStyle name="Unprot$" xfId="14"/>
    <cellStyle name="Unprotect"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50" b="1" i="0" u="none" strike="noStrike" baseline="0">
                <a:solidFill>
                  <a:srgbClr val="000000"/>
                </a:solidFill>
                <a:latin typeface="Arial"/>
                <a:ea typeface="Arial"/>
                <a:cs typeface="Arial"/>
              </a:defRPr>
            </a:pPr>
            <a:r>
              <a:rPr lang="en-US"/>
              <a:t>V@R</a:t>
            </a:r>
          </a:p>
        </c:rich>
      </c:tx>
      <c:layout>
        <c:manualLayout>
          <c:xMode val="edge"/>
          <c:yMode val="edge"/>
          <c:x val="0.45915603477533684"/>
          <c:y val="4.4609665427509292E-2"/>
        </c:manualLayout>
      </c:layout>
      <c:overlay val="0"/>
      <c:spPr>
        <a:noFill/>
        <a:ln w="25400">
          <a:noFill/>
        </a:ln>
      </c:spPr>
    </c:title>
    <c:autoTitleDeleted val="0"/>
    <c:plotArea>
      <c:layout>
        <c:manualLayout>
          <c:layoutTarget val="inner"/>
          <c:xMode val="edge"/>
          <c:yMode val="edge"/>
          <c:x val="0.17183139951715057"/>
          <c:y val="8.9219330855018569E-2"/>
          <c:w val="0.78873429286560914"/>
          <c:h val="0.8029739776951672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3.5656274948348901</c:v>
                </c:pt>
              </c:numCache>
            </c:numRef>
          </c:val>
          <c:extLst>
            <c:ext xmlns:c16="http://schemas.microsoft.com/office/drawing/2014/chart" uri="{C3380CC4-5D6E-409C-BE32-E72D297353CC}">
              <c16:uniqueId val="{00000000-C632-4D6F-AA76-943E603F8AA2}"/>
            </c:ext>
          </c:extLst>
        </c:ser>
        <c:dLbls>
          <c:showLegendKey val="0"/>
          <c:showVal val="0"/>
          <c:showCatName val="0"/>
          <c:showSerName val="0"/>
          <c:showPercent val="0"/>
          <c:showBubbleSize val="0"/>
        </c:dLbls>
        <c:gapWidth val="150"/>
        <c:axId val="184461376"/>
        <c:axId val="1"/>
      </c:barChart>
      <c:catAx>
        <c:axId val="1844613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550" b="1" i="0" u="none" strike="noStrike" baseline="0">
                    <a:solidFill>
                      <a:srgbClr val="000000"/>
                    </a:solidFill>
                    <a:latin typeface="Arial"/>
                    <a:ea typeface="Arial"/>
                    <a:cs typeface="Arial"/>
                  </a:defRPr>
                </a:pPr>
                <a:r>
                  <a:rPr lang="en-US"/>
                  <a:t>Exposure ($MM)</a:t>
                </a:r>
              </a:p>
            </c:rich>
          </c:tx>
          <c:layout>
            <c:manualLayout>
              <c:xMode val="edge"/>
              <c:yMode val="edge"/>
              <c:x val="2.816908188805747E-2"/>
              <c:y val="0.32713754646840149"/>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844613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Open Position</a:t>
            </a:r>
          </a:p>
        </c:rich>
      </c:tx>
      <c:layout>
        <c:manualLayout>
          <c:xMode val="edge"/>
          <c:yMode val="edge"/>
          <c:x val="0.37958127312985507"/>
          <c:y val="4.4444484632237984E-2"/>
        </c:manualLayout>
      </c:layout>
      <c:overlay val="0"/>
      <c:spPr>
        <a:noFill/>
        <a:ln w="25400">
          <a:noFill/>
        </a:ln>
      </c:spPr>
    </c:title>
    <c:autoTitleDeleted val="0"/>
    <c:plotArea>
      <c:layout>
        <c:manualLayout>
          <c:layoutTarget val="inner"/>
          <c:xMode val="edge"/>
          <c:yMode val="edge"/>
          <c:x val="0.1753927262048296"/>
          <c:y val="0.10000009042253546"/>
          <c:w val="0.78010496132894347"/>
          <c:h val="0.78518589516953763"/>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3.5656274948348901</c:v>
                </c:pt>
              </c:numCache>
            </c:numRef>
          </c:val>
          <c:extLst>
            <c:ext xmlns:c16="http://schemas.microsoft.com/office/drawing/2014/chart" uri="{C3380CC4-5D6E-409C-BE32-E72D297353CC}">
              <c16:uniqueId val="{00000000-5FB2-4395-83D8-DBB956668870}"/>
            </c:ext>
          </c:extLst>
        </c:ser>
        <c:dLbls>
          <c:showLegendKey val="0"/>
          <c:showVal val="0"/>
          <c:showCatName val="0"/>
          <c:showSerName val="0"/>
          <c:showPercent val="0"/>
          <c:showBubbleSize val="0"/>
        </c:dLbls>
        <c:gapWidth val="150"/>
        <c:axId val="184547168"/>
        <c:axId val="1"/>
      </c:barChart>
      <c:catAx>
        <c:axId val="184547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550" b="1" i="0" u="none" strike="noStrike" baseline="0">
                    <a:solidFill>
                      <a:srgbClr val="000000"/>
                    </a:solidFill>
                    <a:latin typeface="Arial"/>
                    <a:ea typeface="Arial"/>
                    <a:cs typeface="Arial"/>
                  </a:defRPr>
                </a:pPr>
                <a:r>
                  <a:rPr lang="en-US"/>
                  <a:t>Exposure ($MM)</a:t>
                </a:r>
              </a:p>
            </c:rich>
          </c:tx>
          <c:layout>
            <c:manualLayout>
              <c:xMode val="edge"/>
              <c:yMode val="edge"/>
              <c:x val="4.1884830138466764E-2"/>
              <c:y val="0.32962992768909843"/>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454716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50" b="1" i="0" u="none" strike="noStrike" baseline="0">
                <a:solidFill>
                  <a:srgbClr val="000000"/>
                </a:solidFill>
                <a:latin typeface="Arial"/>
                <a:ea typeface="Arial"/>
                <a:cs typeface="Arial"/>
              </a:defRPr>
            </a:pPr>
            <a:r>
              <a:rPr lang="en-US"/>
              <a:t>V@R</a:t>
            </a:r>
          </a:p>
        </c:rich>
      </c:tx>
      <c:layout>
        <c:manualLayout>
          <c:xMode val="edge"/>
          <c:yMode val="edge"/>
          <c:x val="0.45938548137429125"/>
          <c:y val="4.4217778872076278E-2"/>
        </c:manualLayout>
      </c:layout>
      <c:overlay val="0"/>
      <c:spPr>
        <a:noFill/>
        <a:ln w="25400">
          <a:noFill/>
        </a:ln>
      </c:spPr>
    </c:title>
    <c:autoTitleDeleted val="0"/>
    <c:plotArea>
      <c:layout>
        <c:manualLayout>
          <c:layoutTarget val="inner"/>
          <c:xMode val="edge"/>
          <c:yMode val="edge"/>
          <c:x val="0.19047690691129146"/>
          <c:y val="8.8435557744152529E-2"/>
          <c:w val="0.76190762764516584"/>
          <c:h val="0.80952549011955033"/>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3.5656274948348901</c:v>
                </c:pt>
              </c:numCache>
            </c:numRef>
          </c:val>
          <c:extLst>
            <c:ext xmlns:c16="http://schemas.microsoft.com/office/drawing/2014/chart" uri="{C3380CC4-5D6E-409C-BE32-E72D297353CC}">
              <c16:uniqueId val="{00000000-DBAE-449C-A6D2-39411CAA4E10}"/>
            </c:ext>
          </c:extLst>
        </c:ser>
        <c:dLbls>
          <c:showLegendKey val="0"/>
          <c:showVal val="0"/>
          <c:showCatName val="0"/>
          <c:showSerName val="0"/>
          <c:showPercent val="0"/>
          <c:showBubbleSize val="0"/>
        </c:dLbls>
        <c:gapWidth val="150"/>
        <c:axId val="184604808"/>
        <c:axId val="1"/>
      </c:barChart>
      <c:catAx>
        <c:axId val="18460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575" b="1" i="0" u="none" strike="noStrike" baseline="0">
                    <a:solidFill>
                      <a:srgbClr val="000000"/>
                    </a:solidFill>
                    <a:latin typeface="Arial"/>
                    <a:ea typeface="Arial"/>
                    <a:cs typeface="Arial"/>
                  </a:defRPr>
                </a:pPr>
                <a:r>
                  <a:rPr lang="en-US"/>
                  <a:t>Exposure ($MM)</a:t>
                </a:r>
              </a:p>
            </c:rich>
          </c:tx>
          <c:layout>
            <c:manualLayout>
              <c:xMode val="edge"/>
              <c:yMode val="edge"/>
              <c:x val="4.4818095743833289E-2"/>
              <c:y val="0.34013676055443293"/>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8460480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Open Position</a:t>
            </a:r>
          </a:p>
        </c:rich>
      </c:tx>
      <c:layout>
        <c:manualLayout>
          <c:xMode val="edge"/>
          <c:yMode val="edge"/>
          <c:x val="0.38120140887761184"/>
          <c:y val="4.4067924256599993E-2"/>
        </c:manualLayout>
      </c:layout>
      <c:overlay val="0"/>
      <c:spPr>
        <a:noFill/>
        <a:ln w="25400">
          <a:noFill/>
        </a:ln>
      </c:spPr>
    </c:title>
    <c:autoTitleDeleted val="0"/>
    <c:plotArea>
      <c:layout>
        <c:manualLayout>
          <c:layoutTarget val="inner"/>
          <c:xMode val="edge"/>
          <c:yMode val="edge"/>
          <c:x val="0.25848588684166829"/>
          <c:y val="9.152568884063074E-2"/>
          <c:w val="0.70496150956818615"/>
          <c:h val="0.81017183825595362"/>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3.5656274948348901</c:v>
                </c:pt>
              </c:numCache>
            </c:numRef>
          </c:val>
          <c:extLst>
            <c:ext xmlns:c16="http://schemas.microsoft.com/office/drawing/2014/chart" uri="{C3380CC4-5D6E-409C-BE32-E72D297353CC}">
              <c16:uniqueId val="{00000000-6536-43B9-97D7-5E872359393E}"/>
            </c:ext>
          </c:extLst>
        </c:ser>
        <c:dLbls>
          <c:showLegendKey val="0"/>
          <c:showVal val="0"/>
          <c:showCatName val="0"/>
          <c:showSerName val="0"/>
          <c:showPercent val="0"/>
          <c:showBubbleSize val="0"/>
        </c:dLbls>
        <c:gapWidth val="150"/>
        <c:axId val="184272040"/>
        <c:axId val="1"/>
      </c:barChart>
      <c:catAx>
        <c:axId val="184272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Exposure ($MM)</a:t>
                </a:r>
              </a:p>
            </c:rich>
          </c:tx>
          <c:layout>
            <c:manualLayout>
              <c:xMode val="edge"/>
              <c:yMode val="edge"/>
              <c:x val="0.12271552203594352"/>
              <c:y val="0.34237387307050759"/>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427204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403860</xdr:colOff>
      <xdr:row>45</xdr:row>
      <xdr:rowOff>152400</xdr:rowOff>
    </xdr:from>
    <xdr:to>
      <xdr:col>3</xdr:col>
      <xdr:colOff>7620</xdr:colOff>
      <xdr:row>57</xdr:row>
      <xdr:rowOff>0</xdr:rowOff>
    </xdr:to>
    <xdr:graphicFrame macro="">
      <xdr:nvGraphicFramePr>
        <xdr:cNvPr id="2062"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243840</xdr:colOff>
      <xdr:row>45</xdr:row>
      <xdr:rowOff>144780</xdr:rowOff>
    </xdr:from>
    <xdr:to>
      <xdr:col>6</xdr:col>
      <xdr:colOff>723900</xdr:colOff>
      <xdr:row>57</xdr:row>
      <xdr:rowOff>0</xdr:rowOff>
    </xdr:to>
    <xdr:graphicFrame macro="">
      <xdr:nvGraphicFramePr>
        <xdr:cNvPr id="2064"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78</xdr:row>
      <xdr:rowOff>0</xdr:rowOff>
    </xdr:from>
    <xdr:to>
      <xdr:col>2</xdr:col>
      <xdr:colOff>739140</xdr:colOff>
      <xdr:row>90</xdr:row>
      <xdr:rowOff>68580</xdr:rowOff>
    </xdr:to>
    <xdr:graphicFrame macro="">
      <xdr:nvGraphicFramePr>
        <xdr:cNvPr id="2065"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78</xdr:row>
      <xdr:rowOff>0</xdr:rowOff>
    </xdr:from>
    <xdr:to>
      <xdr:col>6</xdr:col>
      <xdr:colOff>487680</xdr:colOff>
      <xdr:row>90</xdr:row>
      <xdr:rowOff>76200</xdr:rowOff>
    </xdr:to>
    <xdr:graphicFrame macro="">
      <xdr:nvGraphicFramePr>
        <xdr:cNvPr id="2066"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ComSupport/Corp%20Equity/Gary%20Peng/frwd_schedul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CorpEquity/Garyfr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CorpEquity/Phantom%20Stock/00%2001/Phantom%20MTM%2000%2001%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_x0000__x0000_"/>
      <sheetName val="Apr 1996"/>
      <sheetName val="May 1996"/>
      <sheetName val="Jun 1996"/>
      <sheetName val="Jul 1996"/>
      <sheetName val="Aug 1996"/>
      <sheetName val="Sep 1996"/>
      <sheetName val="Oct 1996"/>
      <sheetName val="Nov 1996"/>
      <sheetName val="Dec 1996"/>
      <sheetName val="Jan 1997"/>
      <sheetName val="Feb 1997"/>
      <sheetName val="Mar 1997"/>
      <sheetName val="Apr 1997"/>
      <sheetName val="May 1997"/>
      <sheetName val="June 1997"/>
      <sheetName val="July 1997"/>
      <sheetName val="Aug 1997"/>
      <sheetName val="Sep 1997"/>
      <sheetName val="Oct 1997"/>
      <sheetName val="Nov 1997"/>
      <sheetName val="Dec 1997"/>
      <sheetName val="Jan 1998"/>
      <sheetName val="Feb 1998"/>
      <sheetName val="Mar 1998"/>
      <sheetName val="Apr 1998"/>
      <sheetName val="May 1998"/>
      <sheetName val="June 1998"/>
      <sheetName val="July 1998 "/>
      <sheetName val="August 98"/>
      <sheetName val="September 98"/>
      <sheetName val="October 98"/>
      <sheetName val="November 98"/>
      <sheetName val="December 98"/>
      <sheetName val="January 1999"/>
      <sheetName val="February 1999 "/>
      <sheetName val="March 1999"/>
      <sheetName val="Notes"/>
      <sheetName val="Gary Peng"/>
      <sheetName val="Procedures"/>
      <sheetName val="June 1999 "/>
    </sheetNames>
    <sheetDataSet>
      <sheetData sheetId="0"/>
      <sheetData sheetId="1"/>
      <sheetData sheetId="2"/>
      <sheetData sheetId="3"/>
      <sheetData sheetId="4"/>
      <sheetData sheetId="5"/>
      <sheetData sheetId="6"/>
      <sheetData sheetId="7"/>
      <sheetData sheetId="8"/>
      <sheetData sheetId="9"/>
      <sheetData sheetId="10" refreshError="1">
        <row r="26">
          <cell r="V26">
            <v>3395900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_x0000__x0000_"/>
      <sheetName val="Apr 1996"/>
      <sheetName val="May 1996"/>
      <sheetName val="Jun 1996"/>
      <sheetName val="Jul 1996"/>
      <sheetName val="Aug 1996"/>
      <sheetName val="Sep 1996"/>
      <sheetName val="Oct 1996"/>
      <sheetName val="Nov 1996"/>
      <sheetName val="Dec 1996"/>
      <sheetName val="Jan 1997"/>
      <sheetName val="Feb 1997"/>
      <sheetName val="Mar 1997"/>
      <sheetName val="Apr 1997"/>
      <sheetName val="May 1997"/>
      <sheetName val="June 1997"/>
      <sheetName val="July 1997"/>
      <sheetName val="Aug 1997"/>
      <sheetName val="Sep 1997"/>
      <sheetName val="Oct 1997"/>
      <sheetName val="Nov 1997"/>
      <sheetName val="Dec 1997"/>
      <sheetName val="Jan 1998"/>
      <sheetName val="Feb 1998"/>
      <sheetName val="Mar 1998"/>
      <sheetName val="Apr 1998"/>
      <sheetName val="May 1998"/>
      <sheetName val="June 1998"/>
      <sheetName val="July 1998 "/>
      <sheetName val="August 98"/>
      <sheetName val="September 98"/>
      <sheetName val="October 98"/>
      <sheetName val="November 98"/>
      <sheetName val="December 98"/>
      <sheetName val="January 1999"/>
      <sheetName val="February 1999 "/>
      <sheetName val="March 1999"/>
      <sheetName val="April 1999"/>
      <sheetName val="May 1999"/>
      <sheetName val="June 1999"/>
      <sheetName val="July 1999"/>
      <sheetName val="New July 99"/>
      <sheetName val="Notes"/>
      <sheetName val="Gary Peng"/>
      <sheetName val="Procedu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47">
          <cell r="V47">
            <v>6703300</v>
          </cell>
          <cell r="Z47">
            <v>44.546394720246639</v>
          </cell>
        </row>
      </sheetData>
      <sheetData sheetId="41"/>
      <sheetData sheetId="42"/>
      <sheetData sheetId="43"/>
      <sheetData sheetId="44"/>
      <sheetData sheetId="4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Report"/>
      <sheetName val="1303665"/>
      <sheetName val="1303687"/>
    </sheetNames>
    <sheetDataSet>
      <sheetData sheetId="0"/>
      <sheetData sheetId="1">
        <row r="7">
          <cell r="C7">
            <v>36525</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Y49"/>
  <sheetViews>
    <sheetView workbookViewId="0">
      <selection activeCell="C6" sqref="C6"/>
    </sheetView>
  </sheetViews>
  <sheetFormatPr defaultColWidth="9.109375" defaultRowHeight="13.2"/>
  <cols>
    <col min="1" max="1" width="5.109375" style="271" customWidth="1"/>
    <col min="2" max="2" width="18.88671875" style="271" customWidth="1"/>
    <col min="3" max="3" width="20.33203125" style="271" customWidth="1"/>
    <col min="4" max="4" width="4.6640625" style="271" customWidth="1"/>
    <col min="5" max="5" width="4.109375" style="271" customWidth="1"/>
    <col min="6" max="6" width="17.44140625" style="271" customWidth="1"/>
    <col min="7" max="7" width="20.44140625" style="271" customWidth="1"/>
    <col min="8" max="8" width="15" style="271" customWidth="1"/>
    <col min="9" max="9" width="11.5546875" style="271" customWidth="1"/>
    <col min="10" max="10" width="14.6640625" style="271" customWidth="1"/>
    <col min="11" max="11" width="18" style="271" customWidth="1"/>
    <col min="12" max="13" width="11.5546875" style="271" customWidth="1"/>
    <col min="14" max="14" width="10.44140625" style="277" customWidth="1"/>
    <col min="15" max="15" width="9.6640625" style="277" customWidth="1"/>
    <col min="16" max="16" width="12.33203125" style="277" customWidth="1"/>
    <col min="17" max="17" width="13.88671875" style="277" hidden="1" customWidth="1"/>
    <col min="18" max="18" width="15.44140625" style="277" hidden="1" customWidth="1"/>
    <col min="19" max="19" width="15" style="277" customWidth="1"/>
    <col min="20" max="25" width="12" style="277" customWidth="1"/>
    <col min="26" max="16384" width="9.109375" style="277"/>
  </cols>
  <sheetData>
    <row r="2" spans="1:25">
      <c r="A2"/>
      <c r="B2" s="305" t="s">
        <v>209</v>
      </c>
      <c r="C2"/>
      <c r="D2"/>
      <c r="E2"/>
      <c r="F2" s="305" t="s">
        <v>210</v>
      </c>
      <c r="G2"/>
      <c r="H2"/>
      <c r="I2"/>
      <c r="J2"/>
      <c r="K2"/>
      <c r="L2"/>
      <c r="M2"/>
      <c r="N2"/>
      <c r="O2"/>
      <c r="P2"/>
      <c r="Q2"/>
      <c r="R2"/>
      <c r="S2"/>
      <c r="T2"/>
      <c r="U2"/>
    </row>
    <row r="3" spans="1:25" ht="17.399999999999999">
      <c r="A3"/>
      <c r="B3" s="306" t="s">
        <v>22</v>
      </c>
      <c r="C3" s="307">
        <f>AndyJeff!B9</f>
        <v>36707</v>
      </c>
      <c r="D3"/>
      <c r="E3"/>
      <c r="F3" s="306" t="s">
        <v>22</v>
      </c>
      <c r="G3" s="307">
        <f t="shared" ref="G3:G8" si="0">C3</f>
        <v>36707</v>
      </c>
      <c r="H3"/>
      <c r="I3"/>
      <c r="J3"/>
      <c r="K3"/>
      <c r="L3"/>
      <c r="M3"/>
      <c r="N3"/>
      <c r="O3"/>
      <c r="P3"/>
      <c r="Q3"/>
      <c r="R3"/>
      <c r="S3"/>
      <c r="T3"/>
      <c r="U3"/>
    </row>
    <row r="4" spans="1:25" ht="17.399999999999999">
      <c r="A4"/>
      <c r="B4" s="308" t="s">
        <v>211</v>
      </c>
      <c r="C4" s="309">
        <f>-VaR!B1</f>
        <v>3565627.4948348901</v>
      </c>
      <c r="D4"/>
      <c r="E4"/>
      <c r="F4" s="308" t="s">
        <v>211</v>
      </c>
      <c r="G4" s="309">
        <f t="shared" si="0"/>
        <v>3565627.4948348901</v>
      </c>
      <c r="H4"/>
      <c r="I4"/>
      <c r="J4"/>
      <c r="K4"/>
      <c r="L4"/>
      <c r="M4"/>
      <c r="N4"/>
      <c r="O4"/>
      <c r="P4"/>
      <c r="Q4"/>
      <c r="R4"/>
      <c r="S4"/>
      <c r="T4"/>
      <c r="U4"/>
    </row>
    <row r="5" spans="1:25" ht="17.399999999999999">
      <c r="A5"/>
      <c r="B5" s="308" t="s">
        <v>197</v>
      </c>
      <c r="C5" s="309">
        <f>VaR!H4</f>
        <v>106218600</v>
      </c>
      <c r="D5"/>
      <c r="E5"/>
      <c r="F5" s="308" t="s">
        <v>197</v>
      </c>
      <c r="G5" s="309">
        <f t="shared" si="0"/>
        <v>106218600</v>
      </c>
      <c r="H5"/>
      <c r="I5"/>
      <c r="J5"/>
      <c r="K5"/>
      <c r="L5"/>
      <c r="M5"/>
      <c r="N5"/>
      <c r="O5"/>
      <c r="P5"/>
      <c r="Q5"/>
      <c r="R5"/>
      <c r="S5"/>
      <c r="T5"/>
      <c r="U5"/>
    </row>
    <row r="6" spans="1:25" ht="17.399999999999999">
      <c r="A6"/>
      <c r="B6" s="308" t="s">
        <v>212</v>
      </c>
      <c r="C6" s="309">
        <f>Report!J55</f>
        <v>-6528188.7699999996</v>
      </c>
      <c r="D6"/>
      <c r="E6"/>
      <c r="F6" s="308" t="s">
        <v>212</v>
      </c>
      <c r="G6" s="309">
        <f t="shared" si="0"/>
        <v>-6528188.7699999996</v>
      </c>
      <c r="H6"/>
      <c r="I6"/>
      <c r="J6"/>
      <c r="K6"/>
      <c r="L6"/>
      <c r="M6"/>
      <c r="N6"/>
      <c r="O6"/>
      <c r="P6"/>
      <c r="Q6"/>
      <c r="R6"/>
      <c r="S6"/>
      <c r="T6"/>
      <c r="U6"/>
    </row>
    <row r="7" spans="1:25" ht="17.399999999999999">
      <c r="A7"/>
      <c r="B7" s="308" t="s">
        <v>213</v>
      </c>
      <c r="C7" s="309">
        <f>Report!G55</f>
        <v>14986919.300000001</v>
      </c>
      <c r="D7"/>
      <c r="E7"/>
      <c r="F7" s="308" t="s">
        <v>213</v>
      </c>
      <c r="G7" s="309">
        <f t="shared" si="0"/>
        <v>14986919.300000001</v>
      </c>
      <c r="H7"/>
      <c r="I7"/>
      <c r="J7"/>
      <c r="K7"/>
      <c r="L7"/>
      <c r="M7"/>
      <c r="N7"/>
      <c r="O7"/>
      <c r="P7"/>
      <c r="Q7"/>
      <c r="R7"/>
      <c r="S7"/>
      <c r="T7"/>
      <c r="U7"/>
    </row>
    <row r="8" spans="1:25" ht="17.399999999999999">
      <c r="A8"/>
      <c r="B8" s="310" t="s">
        <v>214</v>
      </c>
      <c r="C8" s="311">
        <f>Report!K55</f>
        <v>97268766.230000004</v>
      </c>
      <c r="D8"/>
      <c r="E8"/>
      <c r="F8" s="310" t="s">
        <v>214</v>
      </c>
      <c r="G8" s="311">
        <f t="shared" si="0"/>
        <v>97268766.230000004</v>
      </c>
      <c r="H8"/>
      <c r="I8"/>
      <c r="J8"/>
      <c r="K8"/>
      <c r="L8"/>
      <c r="M8"/>
      <c r="N8"/>
      <c r="O8"/>
      <c r="P8"/>
      <c r="Q8"/>
      <c r="R8"/>
      <c r="S8"/>
      <c r="T8"/>
      <c r="U8"/>
    </row>
    <row r="9" spans="1:25">
      <c r="A9"/>
      <c r="B9"/>
      <c r="C9"/>
      <c r="D9"/>
      <c r="E9"/>
      <c r="F9"/>
      <c r="G9"/>
      <c r="H9"/>
      <c r="I9"/>
      <c r="J9"/>
      <c r="K9"/>
      <c r="L9"/>
      <c r="M9"/>
      <c r="N9"/>
      <c r="O9"/>
      <c r="P9"/>
      <c r="Q9"/>
      <c r="R9"/>
      <c r="S9"/>
      <c r="T9"/>
      <c r="U9"/>
    </row>
    <row r="10" spans="1:25">
      <c r="A10"/>
      <c r="B10"/>
      <c r="C10" s="6"/>
      <c r="D10"/>
      <c r="E10"/>
      <c r="F10"/>
      <c r="G10"/>
      <c r="H10"/>
      <c r="I10"/>
      <c r="J10"/>
      <c r="K10"/>
      <c r="L10"/>
      <c r="M10"/>
      <c r="N10"/>
      <c r="O10"/>
      <c r="P10"/>
      <c r="Q10"/>
      <c r="R10"/>
      <c r="S10"/>
      <c r="T10"/>
      <c r="U10"/>
    </row>
    <row r="11" spans="1:25" ht="15">
      <c r="A11"/>
      <c r="B11" s="331"/>
      <c r="C11"/>
      <c r="D11"/>
      <c r="E11"/>
      <c r="F11"/>
      <c r="G11"/>
      <c r="H11"/>
      <c r="I11"/>
      <c r="J11"/>
      <c r="K11"/>
      <c r="L11"/>
      <c r="M11"/>
      <c r="N11"/>
      <c r="O11"/>
      <c r="P11"/>
      <c r="Q11"/>
      <c r="R11"/>
      <c r="S11"/>
      <c r="T11"/>
      <c r="U11"/>
    </row>
    <row r="12" spans="1:25" ht="15">
      <c r="A12"/>
      <c r="B12" s="331"/>
      <c r="C12" s="129"/>
      <c r="D12" s="129"/>
      <c r="E12" s="127"/>
      <c r="F12" s="325"/>
      <c r="G12"/>
      <c r="H12"/>
      <c r="I12"/>
      <c r="J12"/>
      <c r="K12"/>
      <c r="L12"/>
      <c r="M12"/>
      <c r="N12"/>
      <c r="O12"/>
      <c r="P12"/>
      <c r="Q12"/>
      <c r="R12"/>
      <c r="S12"/>
      <c r="T12"/>
      <c r="U12"/>
      <c r="V12" s="298"/>
      <c r="W12" s="298"/>
      <c r="X12" s="298"/>
      <c r="Y12" s="298"/>
    </row>
    <row r="13" spans="1:25" ht="15">
      <c r="A13"/>
      <c r="B13" s="331"/>
      <c r="C13" s="129"/>
      <c r="D13" s="129"/>
      <c r="E13" s="127"/>
      <c r="F13" s="325"/>
      <c r="G13"/>
      <c r="H13"/>
      <c r="I13"/>
      <c r="J13"/>
      <c r="K13"/>
      <c r="L13"/>
      <c r="M13"/>
      <c r="N13"/>
      <c r="O13"/>
      <c r="P13"/>
      <c r="Q13"/>
      <c r="R13"/>
      <c r="S13"/>
      <c r="T13"/>
      <c r="U13"/>
    </row>
    <row r="14" spans="1:25" ht="15">
      <c r="A14"/>
      <c r="B14" s="331"/>
      <c r="C14" s="129"/>
      <c r="D14" s="129"/>
      <c r="E14" s="127"/>
      <c r="F14" s="325"/>
      <c r="G14"/>
      <c r="H14"/>
      <c r="I14"/>
      <c r="J14"/>
      <c r="K14"/>
      <c r="L14"/>
      <c r="M14"/>
      <c r="N14"/>
      <c r="O14"/>
      <c r="P14"/>
      <c r="Q14"/>
      <c r="R14"/>
      <c r="S14"/>
      <c r="T14"/>
      <c r="U14"/>
    </row>
    <row r="15" spans="1:25" ht="15">
      <c r="A15"/>
      <c r="B15" s="331"/>
      <c r="C15" s="129"/>
      <c r="D15" s="129"/>
      <c r="E15" s="325"/>
      <c r="F15" s="330"/>
      <c r="G15"/>
      <c r="H15"/>
      <c r="I15"/>
      <c r="J15"/>
      <c r="K15"/>
      <c r="L15"/>
      <c r="M15"/>
      <c r="N15"/>
      <c r="O15"/>
      <c r="P15"/>
      <c r="Q15"/>
      <c r="R15"/>
      <c r="S15"/>
      <c r="T15"/>
      <c r="U15"/>
    </row>
    <row r="16" spans="1:25" ht="15">
      <c r="A16"/>
      <c r="B16" s="126"/>
      <c r="C16" s="129"/>
      <c r="D16" s="129"/>
      <c r="E16" s="325"/>
      <c r="F16" s="330"/>
      <c r="G16"/>
      <c r="H16"/>
      <c r="I16"/>
      <c r="J16"/>
      <c r="K16"/>
      <c r="L16"/>
      <c r="M16"/>
      <c r="N16"/>
      <c r="O16"/>
      <c r="P16"/>
      <c r="Q16"/>
      <c r="R16"/>
      <c r="S16"/>
      <c r="T16"/>
      <c r="U16"/>
    </row>
    <row r="17" spans="1:21" ht="15">
      <c r="A17"/>
      <c r="B17" s="126"/>
      <c r="C17" s="129"/>
      <c r="D17" s="129"/>
      <c r="E17" s="325"/>
      <c r="F17" s="330"/>
      <c r="G17"/>
      <c r="H17"/>
      <c r="I17"/>
      <c r="J17"/>
      <c r="K17"/>
      <c r="L17"/>
      <c r="M17"/>
      <c r="N17"/>
      <c r="O17"/>
      <c r="P17"/>
      <c r="Q17"/>
      <c r="R17"/>
      <c r="S17"/>
      <c r="T17"/>
      <c r="U17"/>
    </row>
    <row r="18" spans="1:21" ht="15">
      <c r="A18"/>
      <c r="B18" s="126"/>
      <c r="C18" s="129"/>
      <c r="D18" s="129"/>
      <c r="E18" s="325"/>
      <c r="F18" s="330"/>
      <c r="G18"/>
      <c r="H18"/>
      <c r="I18"/>
      <c r="J18"/>
      <c r="K18"/>
      <c r="L18"/>
      <c r="M18"/>
      <c r="N18"/>
      <c r="O18"/>
      <c r="P18"/>
      <c r="Q18"/>
      <c r="R18"/>
      <c r="S18"/>
      <c r="T18"/>
      <c r="U18"/>
    </row>
    <row r="19" spans="1:21" ht="15">
      <c r="A19"/>
      <c r="B19" s="126"/>
      <c r="C19" s="129"/>
      <c r="D19" s="129"/>
      <c r="E19" s="325"/>
      <c r="F19" s="330"/>
      <c r="G19"/>
      <c r="H19"/>
      <c r="I19"/>
      <c r="J19"/>
      <c r="K19"/>
      <c r="L19"/>
      <c r="M19"/>
      <c r="N19"/>
      <c r="O19"/>
      <c r="P19"/>
      <c r="Q19"/>
      <c r="R19"/>
      <c r="S19"/>
      <c r="T19"/>
      <c r="U19"/>
    </row>
    <row r="20" spans="1:21" ht="15">
      <c r="A20"/>
      <c r="B20" s="126"/>
      <c r="C20" s="129"/>
      <c r="D20" s="129"/>
      <c r="E20" s="325"/>
      <c r="F20" s="330"/>
      <c r="G20"/>
      <c r="H20"/>
      <c r="I20"/>
      <c r="J20"/>
      <c r="K20"/>
      <c r="L20"/>
      <c r="M20"/>
      <c r="N20"/>
      <c r="O20"/>
      <c r="P20"/>
      <c r="Q20"/>
      <c r="R20"/>
      <c r="S20"/>
      <c r="T20"/>
      <c r="U20"/>
    </row>
    <row r="21" spans="1:21" ht="15">
      <c r="A21"/>
      <c r="B21" s="126"/>
      <c r="C21" s="129"/>
      <c r="D21" s="129"/>
      <c r="E21" s="325"/>
      <c r="F21" s="330"/>
      <c r="G21"/>
      <c r="H21"/>
      <c r="I21"/>
      <c r="J21"/>
      <c r="K21"/>
      <c r="L21"/>
      <c r="M21"/>
      <c r="N21"/>
      <c r="O21"/>
      <c r="P21"/>
      <c r="Q21"/>
      <c r="R21"/>
      <c r="S21"/>
      <c r="T21"/>
      <c r="U21"/>
    </row>
    <row r="22" spans="1:21" ht="15">
      <c r="A22"/>
      <c r="B22" s="126"/>
      <c r="C22" s="129"/>
      <c r="D22" s="129"/>
      <c r="E22" s="325"/>
      <c r="F22" s="330"/>
      <c r="G22"/>
      <c r="H22"/>
      <c r="I22"/>
      <c r="J22"/>
      <c r="K22"/>
      <c r="L22"/>
      <c r="M22"/>
      <c r="N22"/>
      <c r="O22"/>
      <c r="P22"/>
      <c r="Q22"/>
      <c r="R22"/>
      <c r="S22"/>
      <c r="T22"/>
      <c r="U22"/>
    </row>
    <row r="23" spans="1:21" ht="15">
      <c r="A23"/>
      <c r="B23" s="126"/>
      <c r="C23" s="129"/>
      <c r="D23" s="129"/>
      <c r="E23" s="325"/>
      <c r="F23" s="330"/>
      <c r="G23"/>
      <c r="H23"/>
      <c r="I23"/>
      <c r="J23"/>
      <c r="K23"/>
      <c r="L23"/>
      <c r="M23"/>
      <c r="N23"/>
      <c r="O23"/>
      <c r="P23"/>
      <c r="Q23"/>
      <c r="R23"/>
      <c r="S23"/>
      <c r="T23"/>
      <c r="U23"/>
    </row>
    <row r="24" spans="1:21" ht="15">
      <c r="A24"/>
      <c r="B24" s="126"/>
      <c r="C24" s="129"/>
      <c r="D24" s="129"/>
      <c r="E24" s="325"/>
      <c r="F24" s="330"/>
      <c r="G24"/>
      <c r="H24"/>
      <c r="I24"/>
      <c r="J24"/>
      <c r="K24"/>
      <c r="L24"/>
      <c r="M24"/>
      <c r="N24"/>
      <c r="O24"/>
      <c r="P24"/>
      <c r="Q24"/>
      <c r="R24"/>
      <c r="S24"/>
      <c r="T24"/>
      <c r="U24"/>
    </row>
    <row r="25" spans="1:21" ht="15">
      <c r="A25"/>
      <c r="B25" s="126"/>
      <c r="C25" s="129"/>
      <c r="D25" s="129"/>
      <c r="E25" s="325"/>
      <c r="F25" s="330"/>
      <c r="G25"/>
      <c r="H25"/>
      <c r="I25"/>
      <c r="J25"/>
      <c r="K25"/>
      <c r="L25"/>
      <c r="M25"/>
      <c r="N25"/>
      <c r="O25"/>
      <c r="P25"/>
      <c r="Q25"/>
      <c r="R25"/>
      <c r="S25"/>
      <c r="T25"/>
      <c r="U25"/>
    </row>
    <row r="26" spans="1:21" ht="15">
      <c r="A26"/>
      <c r="B26" s="126"/>
      <c r="C26" s="129"/>
      <c r="D26" s="129"/>
      <c r="E26" s="325"/>
      <c r="F26" s="330"/>
      <c r="G26"/>
      <c r="H26"/>
      <c r="I26"/>
      <c r="J26"/>
      <c r="K26"/>
      <c r="L26"/>
      <c r="M26"/>
      <c r="N26"/>
      <c r="O26"/>
      <c r="P26"/>
      <c r="Q26"/>
      <c r="R26"/>
      <c r="S26"/>
      <c r="T26"/>
      <c r="U26"/>
    </row>
    <row r="27" spans="1:21" ht="15">
      <c r="A27"/>
      <c r="B27" s="126"/>
      <c r="C27" s="129"/>
      <c r="D27" s="129"/>
      <c r="E27" s="325"/>
      <c r="F27" s="330"/>
      <c r="G27"/>
      <c r="H27"/>
      <c r="I27"/>
      <c r="J27"/>
      <c r="K27"/>
      <c r="L27"/>
      <c r="M27"/>
      <c r="N27"/>
      <c r="O27"/>
      <c r="P27"/>
      <c r="Q27"/>
      <c r="R27"/>
      <c r="S27"/>
      <c r="T27"/>
      <c r="U27"/>
    </row>
    <row r="28" spans="1:21" ht="15">
      <c r="A28"/>
      <c r="B28" s="126"/>
      <c r="C28" s="129"/>
      <c r="D28" s="129"/>
      <c r="E28" s="325"/>
      <c r="F28" s="330"/>
      <c r="G28"/>
      <c r="H28"/>
      <c r="I28"/>
      <c r="J28"/>
      <c r="K28"/>
      <c r="L28"/>
      <c r="M28"/>
      <c r="N28"/>
      <c r="O28"/>
      <c r="P28"/>
      <c r="Q28"/>
      <c r="R28"/>
      <c r="S28"/>
      <c r="T28"/>
      <c r="U28"/>
    </row>
    <row r="29" spans="1:21" ht="15">
      <c r="A29"/>
      <c r="B29" s="126"/>
      <c r="C29" s="129"/>
      <c r="D29" s="129"/>
      <c r="E29" s="325"/>
      <c r="F29" s="330"/>
      <c r="G29"/>
      <c r="H29"/>
      <c r="I29"/>
      <c r="J29"/>
      <c r="K29"/>
      <c r="L29"/>
      <c r="M29"/>
      <c r="N29"/>
      <c r="O29"/>
      <c r="P29"/>
      <c r="Q29"/>
      <c r="R29"/>
      <c r="S29"/>
      <c r="T29"/>
      <c r="U29"/>
    </row>
    <row r="30" spans="1:21" ht="15">
      <c r="A30"/>
      <c r="B30" s="126"/>
      <c r="C30" s="129"/>
      <c r="D30" s="129"/>
      <c r="E30" s="325"/>
      <c r="F30" s="330"/>
      <c r="G30"/>
      <c r="H30"/>
      <c r="I30"/>
      <c r="J30"/>
      <c r="K30"/>
      <c r="L30"/>
      <c r="M30"/>
      <c r="N30"/>
      <c r="O30"/>
      <c r="P30"/>
      <c r="Q30"/>
      <c r="R30"/>
      <c r="S30"/>
      <c r="T30"/>
      <c r="U30"/>
    </row>
    <row r="31" spans="1:21" ht="15">
      <c r="A31"/>
      <c r="B31" s="126"/>
      <c r="C31" s="129"/>
      <c r="D31" s="129"/>
      <c r="E31" s="325"/>
      <c r="F31" s="330"/>
      <c r="G31"/>
      <c r="H31"/>
      <c r="I31"/>
      <c r="J31"/>
      <c r="K31"/>
      <c r="L31"/>
      <c r="M31"/>
      <c r="N31"/>
      <c r="O31"/>
      <c r="P31"/>
      <c r="Q31"/>
      <c r="R31"/>
      <c r="S31"/>
      <c r="T31"/>
      <c r="U31"/>
    </row>
    <row r="32" spans="1:21" ht="15">
      <c r="A32"/>
      <c r="B32" s="126"/>
      <c r="C32" s="129"/>
      <c r="D32" s="129"/>
      <c r="E32" s="325"/>
      <c r="F32" s="330"/>
      <c r="G32"/>
      <c r="H32"/>
      <c r="I32"/>
      <c r="J32"/>
      <c r="K32"/>
      <c r="L32"/>
      <c r="M32"/>
      <c r="N32"/>
      <c r="O32"/>
      <c r="P32"/>
      <c r="Q32"/>
      <c r="R32"/>
      <c r="S32"/>
      <c r="T32"/>
      <c r="U32"/>
    </row>
    <row r="33" spans="1:21" ht="15">
      <c r="A33"/>
      <c r="B33" s="126"/>
      <c r="C33" s="129"/>
      <c r="D33" s="129"/>
      <c r="E33" s="325"/>
      <c r="F33" s="330"/>
      <c r="G33"/>
      <c r="H33"/>
      <c r="I33"/>
      <c r="J33"/>
      <c r="K33"/>
      <c r="L33"/>
      <c r="M33"/>
      <c r="N33"/>
      <c r="O33"/>
      <c r="P33"/>
      <c r="Q33"/>
      <c r="R33"/>
      <c r="S33"/>
      <c r="T33"/>
      <c r="U33"/>
    </row>
    <row r="34" spans="1:21" ht="15">
      <c r="A34"/>
      <c r="B34" s="126"/>
      <c r="C34" s="129"/>
      <c r="D34" s="129"/>
      <c r="E34" s="325"/>
      <c r="F34" s="330"/>
      <c r="G34"/>
      <c r="H34"/>
      <c r="I34"/>
      <c r="J34"/>
      <c r="K34"/>
      <c r="L34"/>
      <c r="M34"/>
      <c r="N34"/>
      <c r="O34"/>
      <c r="P34"/>
      <c r="Q34"/>
      <c r="R34"/>
      <c r="S34"/>
      <c r="T34"/>
      <c r="U34"/>
    </row>
    <row r="35" spans="1:21" ht="15">
      <c r="A35"/>
      <c r="B35" s="126"/>
      <c r="C35" s="129"/>
      <c r="D35" s="129"/>
      <c r="E35" s="325"/>
      <c r="F35" s="330"/>
      <c r="G35"/>
      <c r="H35"/>
      <c r="I35"/>
      <c r="J35"/>
      <c r="K35"/>
      <c r="L35"/>
      <c r="M35"/>
      <c r="N35"/>
      <c r="O35"/>
      <c r="P35"/>
      <c r="Q35"/>
      <c r="R35"/>
      <c r="S35"/>
      <c r="T35"/>
      <c r="U35"/>
    </row>
    <row r="36" spans="1:21" ht="15">
      <c r="A36"/>
      <c r="B36" s="126"/>
      <c r="C36" s="129"/>
      <c r="D36" s="129"/>
      <c r="E36" s="325"/>
      <c r="F36" s="330"/>
      <c r="G36"/>
      <c r="H36"/>
      <c r="I36"/>
      <c r="J36"/>
      <c r="K36"/>
      <c r="L36"/>
      <c r="M36"/>
      <c r="N36"/>
      <c r="O36"/>
      <c r="P36"/>
      <c r="Q36"/>
      <c r="R36"/>
      <c r="S36"/>
      <c r="T36"/>
      <c r="U36"/>
    </row>
    <row r="37" spans="1:21" ht="15">
      <c r="A37"/>
      <c r="B37" s="331" t="s">
        <v>229</v>
      </c>
      <c r="C37"/>
      <c r="D37"/>
      <c r="E37" s="53"/>
      <c r="F37" s="53"/>
      <c r="G37"/>
      <c r="H37"/>
      <c r="I37"/>
      <c r="J37"/>
      <c r="K37"/>
      <c r="L37"/>
      <c r="M37"/>
      <c r="N37"/>
      <c r="O37"/>
      <c r="P37"/>
      <c r="Q37"/>
      <c r="R37"/>
      <c r="S37"/>
      <c r="T37"/>
      <c r="U37"/>
    </row>
    <row r="38" spans="1:21">
      <c r="A38"/>
      <c r="B38"/>
      <c r="C38"/>
      <c r="D38"/>
      <c r="E38"/>
      <c r="F38"/>
      <c r="G38"/>
      <c r="H38"/>
      <c r="I38"/>
      <c r="J38"/>
      <c r="K38"/>
      <c r="L38"/>
      <c r="M38"/>
      <c r="N38"/>
      <c r="O38"/>
      <c r="P38"/>
      <c r="Q38"/>
      <c r="R38"/>
      <c r="S38"/>
      <c r="T38"/>
      <c r="U38"/>
    </row>
    <row r="39" spans="1:21">
      <c r="A39"/>
      <c r="B39"/>
      <c r="C39"/>
      <c r="D39"/>
      <c r="E39"/>
      <c r="F39"/>
      <c r="G39"/>
      <c r="H39"/>
      <c r="I39"/>
      <c r="J39"/>
      <c r="K39"/>
      <c r="L39"/>
      <c r="M39"/>
      <c r="N39"/>
      <c r="O39"/>
      <c r="P39"/>
      <c r="Q39"/>
      <c r="R39"/>
      <c r="S39"/>
      <c r="T39"/>
      <c r="U39"/>
    </row>
    <row r="40" spans="1:21">
      <c r="A40"/>
      <c r="B40"/>
      <c r="C40"/>
      <c r="D40"/>
      <c r="E40"/>
      <c r="F40"/>
      <c r="G40"/>
      <c r="H40"/>
      <c r="I40"/>
      <c r="J40"/>
      <c r="K40"/>
      <c r="L40"/>
      <c r="M40"/>
      <c r="N40"/>
      <c r="O40"/>
      <c r="P40"/>
      <c r="Q40"/>
      <c r="R40"/>
      <c r="S40"/>
      <c r="T40"/>
      <c r="U40"/>
    </row>
    <row r="41" spans="1:21">
      <c r="A41"/>
      <c r="B41"/>
      <c r="C41"/>
      <c r="D41"/>
      <c r="E41"/>
      <c r="F41"/>
      <c r="G41"/>
      <c r="H41"/>
      <c r="I41"/>
      <c r="J41"/>
      <c r="K41"/>
      <c r="L41"/>
      <c r="M41"/>
      <c r="N41"/>
      <c r="O41"/>
      <c r="P41"/>
      <c r="Q41"/>
      <c r="R41"/>
      <c r="S41"/>
      <c r="T41"/>
      <c r="U41"/>
    </row>
    <row r="42" spans="1:21">
      <c r="A42"/>
      <c r="B42"/>
      <c r="C42"/>
      <c r="D42"/>
      <c r="E42"/>
      <c r="F42"/>
      <c r="G42"/>
      <c r="H42"/>
      <c r="I42"/>
      <c r="J42"/>
      <c r="K42"/>
      <c r="L42"/>
      <c r="M42"/>
      <c r="N42"/>
      <c r="O42"/>
      <c r="P42"/>
      <c r="Q42"/>
      <c r="R42"/>
      <c r="S42"/>
      <c r="T42"/>
      <c r="U42"/>
    </row>
    <row r="43" spans="1:21">
      <c r="A43"/>
      <c r="B43"/>
      <c r="C43"/>
      <c r="D43"/>
      <c r="E43"/>
      <c r="F43"/>
      <c r="G43"/>
      <c r="H43"/>
      <c r="I43"/>
      <c r="J43"/>
      <c r="K43"/>
      <c r="L43"/>
      <c r="M43"/>
      <c r="N43"/>
      <c r="O43"/>
      <c r="P43"/>
      <c r="Q43"/>
      <c r="R43"/>
      <c r="S43"/>
      <c r="T43"/>
      <c r="U43"/>
    </row>
    <row r="44" spans="1:21">
      <c r="A44"/>
      <c r="B44"/>
      <c r="C44"/>
      <c r="D44"/>
      <c r="E44"/>
      <c r="F44"/>
      <c r="G44"/>
      <c r="H44"/>
      <c r="I44"/>
      <c r="J44"/>
      <c r="K44"/>
      <c r="L44"/>
      <c r="M44"/>
      <c r="N44"/>
      <c r="O44"/>
      <c r="P44"/>
      <c r="Q44"/>
      <c r="R44"/>
      <c r="S44"/>
      <c r="T44"/>
      <c r="U44"/>
    </row>
    <row r="45" spans="1:21">
      <c r="A45"/>
      <c r="B45"/>
      <c r="C45"/>
      <c r="D45"/>
      <c r="E45"/>
      <c r="F45"/>
      <c r="G45"/>
      <c r="H45"/>
      <c r="I45"/>
      <c r="J45"/>
      <c r="K45"/>
      <c r="L45"/>
      <c r="M45"/>
      <c r="N45"/>
      <c r="O45"/>
      <c r="P45"/>
      <c r="Q45"/>
      <c r="R45"/>
      <c r="S45"/>
      <c r="T45"/>
      <c r="U45"/>
    </row>
    <row r="46" spans="1:21">
      <c r="A46"/>
      <c r="B46"/>
      <c r="C46"/>
      <c r="D46"/>
      <c r="E46"/>
      <c r="F46"/>
      <c r="G46"/>
      <c r="H46"/>
      <c r="I46"/>
      <c r="J46"/>
      <c r="K46"/>
      <c r="L46"/>
      <c r="M46"/>
      <c r="N46"/>
      <c r="O46"/>
      <c r="P46"/>
      <c r="Q46"/>
      <c r="R46"/>
      <c r="S46"/>
      <c r="T46"/>
      <c r="U46"/>
    </row>
    <row r="47" spans="1:21">
      <c r="A47"/>
      <c r="B47"/>
      <c r="C47"/>
      <c r="D47"/>
      <c r="E47"/>
      <c r="F47"/>
      <c r="G47"/>
      <c r="H47"/>
      <c r="I47"/>
      <c r="J47"/>
      <c r="K47"/>
      <c r="L47"/>
      <c r="M47"/>
      <c r="N47"/>
      <c r="O47"/>
      <c r="P47"/>
      <c r="Q47"/>
      <c r="R47"/>
      <c r="S47"/>
      <c r="T47"/>
      <c r="U47"/>
    </row>
    <row r="48" spans="1:21">
      <c r="A48"/>
      <c r="B48"/>
      <c r="C48"/>
      <c r="D48"/>
      <c r="E48"/>
      <c r="F48"/>
      <c r="G48"/>
      <c r="H48"/>
      <c r="I48"/>
      <c r="J48"/>
      <c r="K48"/>
      <c r="L48"/>
      <c r="M48"/>
      <c r="N48"/>
      <c r="O48"/>
      <c r="P48"/>
      <c r="Q48"/>
      <c r="R48"/>
      <c r="S48"/>
      <c r="T48"/>
      <c r="U48"/>
    </row>
    <row r="49" spans="1:21">
      <c r="A49"/>
      <c r="B49"/>
      <c r="C49"/>
      <c r="D49"/>
      <c r="E49"/>
      <c r="F49"/>
      <c r="G49"/>
      <c r="H49"/>
      <c r="I49"/>
      <c r="J49"/>
      <c r="K49"/>
      <c r="L49"/>
      <c r="M49"/>
      <c r="N49"/>
      <c r="O49"/>
      <c r="P49"/>
      <c r="Q49"/>
      <c r="R49"/>
      <c r="S49"/>
      <c r="T49"/>
      <c r="U49"/>
    </row>
  </sheetData>
  <pageMargins left="0.75" right="0.75" top="1" bottom="1" header="0.5" footer="0.5"/>
  <pageSetup orientation="portrait" horizontalDpi="0" r:id="rId1"/>
  <headerFooter alignWithMargins="0">
    <oddFooter>&amp;L&amp;F  &amp;A&amp;R&amp;D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2:AB40"/>
  <sheetViews>
    <sheetView zoomScaleNormal="100" workbookViewId="0">
      <selection activeCell="A26" sqref="A26"/>
    </sheetView>
  </sheetViews>
  <sheetFormatPr defaultRowHeight="13.2"/>
  <cols>
    <col min="1" max="1" width="12.5546875" customWidth="1"/>
    <col min="2" max="3" width="13.88671875" customWidth="1"/>
    <col min="4" max="5" width="15.44140625" bestFit="1" customWidth="1"/>
    <col min="6" max="6" width="1.44140625" customWidth="1"/>
    <col min="7" max="8" width="15.44140625" customWidth="1"/>
    <col min="9" max="9" width="15.44140625" bestFit="1" customWidth="1"/>
    <col min="10" max="10" width="1.44140625" customWidth="1"/>
    <col min="11" max="12" width="15.44140625" customWidth="1"/>
    <col min="13" max="13" width="13.88671875" bestFit="1" customWidth="1"/>
    <col min="14" max="14" width="1.44140625" customWidth="1"/>
    <col min="15" max="15" width="13.88671875" customWidth="1"/>
    <col min="16" max="16" width="1.44140625" customWidth="1"/>
    <col min="17" max="17" width="14.44140625" bestFit="1" customWidth="1"/>
    <col min="18" max="18" width="13.88671875" bestFit="1" customWidth="1"/>
    <col min="19" max="19" width="14.44140625" bestFit="1" customWidth="1"/>
    <col min="20" max="20" width="1.33203125" customWidth="1"/>
    <col min="21" max="23" width="13.88671875" bestFit="1" customWidth="1"/>
    <col min="24" max="24" width="1.33203125" customWidth="1"/>
    <col min="25" max="25" width="14.44140625" bestFit="1" customWidth="1"/>
    <col min="26" max="26" width="1.44140625" customWidth="1"/>
    <col min="27" max="27" width="14.88671875" customWidth="1"/>
    <col min="28" max="28" width="11.88671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36678</v>
      </c>
      <c r="G3" s="57">
        <f>+$D$10</f>
        <v>36678</v>
      </c>
      <c r="H3" s="57">
        <f>+$D$10</f>
        <v>36678</v>
      </c>
      <c r="K3" s="57">
        <f>+$D$10</f>
        <v>36678</v>
      </c>
      <c r="L3" s="57">
        <f>+$D$10</f>
        <v>36678</v>
      </c>
      <c r="Q3" s="57">
        <f>+$D$10</f>
        <v>36678</v>
      </c>
      <c r="R3" s="57">
        <f>+$D$10</f>
        <v>36678</v>
      </c>
      <c r="U3" s="57">
        <f>+$D$10</f>
        <v>36678</v>
      </c>
      <c r="V3" s="57">
        <f>+$D$10</f>
        <v>36678</v>
      </c>
    </row>
    <row r="4" spans="1:27">
      <c r="A4" t="s">
        <v>342</v>
      </c>
      <c r="C4" s="57"/>
      <c r="D4" s="57">
        <f>IF(+D$18&lt;1,C4,D$18)</f>
        <v>36762</v>
      </c>
      <c r="G4" s="57">
        <f>IF(+G$18&lt;1,D4,G$18)</f>
        <v>36762</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36678</v>
      </c>
      <c r="E6" s="245"/>
      <c r="F6" s="245"/>
      <c r="G6" s="456">
        <f>MIN(G2:G5)</f>
        <v>36678</v>
      </c>
      <c r="H6" s="456">
        <f>MIN(H2:H5)</f>
        <v>36678</v>
      </c>
      <c r="I6" s="245"/>
      <c r="J6" s="245"/>
      <c r="K6" s="456">
        <f>MIN(K2:K5)</f>
        <v>36678</v>
      </c>
      <c r="L6" s="457">
        <f>MIN(L2:L5)</f>
        <v>36678</v>
      </c>
      <c r="Q6" s="456">
        <f>MIN(Q2:Q5)</f>
        <v>36678</v>
      </c>
      <c r="R6" s="457">
        <f>MIN(R2:R5)</f>
        <v>36678</v>
      </c>
      <c r="U6" s="456">
        <f>MIN(U2:U5)</f>
        <v>36678</v>
      </c>
      <c r="V6" s="457">
        <f>MIN(V2:V5)</f>
        <v>36678</v>
      </c>
    </row>
    <row r="9" spans="1:27">
      <c r="A9" s="200" t="s">
        <v>259</v>
      </c>
      <c r="C9" s="259" t="s">
        <v>174</v>
      </c>
      <c r="D9" s="338">
        <v>36670</v>
      </c>
    </row>
    <row r="10" spans="1:27" ht="13.8" thickBot="1">
      <c r="A10" s="200" t="s">
        <v>416</v>
      </c>
      <c r="B10" s="516"/>
      <c r="C10" s="259" t="s">
        <v>175</v>
      </c>
      <c r="D10" s="338">
        <v>36678</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551">
        <v>73.75</v>
      </c>
      <c r="E14" s="466">
        <f>+D14</f>
        <v>73.75</v>
      </c>
      <c r="F14" s="222"/>
      <c r="G14" s="466">
        <f>LOOKUP(G6,Input!$A$20:$A$827,Input!$B$20:$B$827)</f>
        <v>71.125</v>
      </c>
      <c r="H14" s="466">
        <f>LOOKUP(H6,Input!$A$20:$A$827,Input!$B$20:$B$827)</f>
        <v>71.125</v>
      </c>
      <c r="I14" s="466">
        <f>+H14</f>
        <v>71.125</v>
      </c>
      <c r="J14" s="222"/>
      <c r="K14" s="466">
        <f>LOOKUP(K6,Input!$A$20:$A$827,Input!$B$20:$B$827)</f>
        <v>71.125</v>
      </c>
      <c r="L14" s="466">
        <f>LOOKUP(L6,Input!$A$20:$A$827,Input!$B$20:$B$827)</f>
        <v>71.125</v>
      </c>
      <c r="M14" s="466">
        <f>+L14</f>
        <v>71.125</v>
      </c>
      <c r="N14" s="222"/>
      <c r="O14" s="53"/>
      <c r="P14" s="467"/>
      <c r="Q14" s="466">
        <f>LOOKUP(Q6,Input!$A$20:$A$827,Input!$B$20:$B$827)</f>
        <v>71.125</v>
      </c>
      <c r="R14" s="466">
        <f>LOOKUP(R6,Input!$A$20:$A$827,Input!$B$20:$B$827)</f>
        <v>71.125</v>
      </c>
      <c r="S14" s="466">
        <f>+R14</f>
        <v>71.125</v>
      </c>
      <c r="T14" s="222"/>
      <c r="U14" s="466">
        <f>LOOKUP(U6,Input!$A$20:$A$827,Input!$B$20:$B$827)</f>
        <v>71.125</v>
      </c>
      <c r="V14" s="466">
        <f>LOOKUP(V6,Input!$A$20:$A$827,Input!$B$20:$B$827)</f>
        <v>71.125</v>
      </c>
      <c r="W14" s="466">
        <f>+V14</f>
        <v>71.125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323000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66.8698+0.03</f>
        <v>66.899799999999999</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36762</v>
      </c>
      <c r="E18" s="141"/>
      <c r="F18" s="469"/>
      <c r="G18" s="141">
        <v>36762</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482</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21608635.399999999</v>
      </c>
      <c r="E21" s="347">
        <f>+D21</f>
        <v>21608635.399999999</v>
      </c>
      <c r="F21" s="346"/>
      <c r="G21" s="347">
        <f>+D22</f>
        <v>23821250</v>
      </c>
      <c r="H21" s="347">
        <f>+G22</f>
        <v>22973375</v>
      </c>
      <c r="I21" s="347">
        <f>+E22</f>
        <v>23821250</v>
      </c>
      <c r="J21" s="346"/>
      <c r="K21" s="347">
        <f>+H22</f>
        <v>22973375</v>
      </c>
      <c r="L21" s="347">
        <f>+K22</f>
        <v>22973375</v>
      </c>
      <c r="M21" s="347">
        <f>+I22</f>
        <v>22973375</v>
      </c>
      <c r="N21" s="346"/>
      <c r="O21" s="348"/>
      <c r="P21" s="475"/>
      <c r="Q21" s="347">
        <f>+L22</f>
        <v>22973375</v>
      </c>
      <c r="R21" s="347">
        <f>+Q22</f>
        <v>22973375</v>
      </c>
      <c r="S21" s="347">
        <f>+M22</f>
        <v>22973375</v>
      </c>
      <c r="T21" s="346"/>
      <c r="U21" s="347">
        <f>+Q22</f>
        <v>22973375</v>
      </c>
      <c r="V21" s="347">
        <f>+R22</f>
        <v>22973375</v>
      </c>
      <c r="W21" s="347">
        <f>+S22</f>
        <v>22973375</v>
      </c>
      <c r="X21" s="346"/>
      <c r="Y21" s="348"/>
      <c r="Z21" s="475"/>
      <c r="AA21" s="110"/>
    </row>
    <row r="22" spans="1:28">
      <c r="B22" t="s">
        <v>97</v>
      </c>
      <c r="C22" s="350"/>
      <c r="D22" s="350">
        <f>ROUND(+D14*$B16,2)</f>
        <v>23821250</v>
      </c>
      <c r="E22" s="350">
        <f>ROUND(+E14*$B16,2)</f>
        <v>23821250</v>
      </c>
      <c r="F22" s="346"/>
      <c r="G22" s="350">
        <f>ROUND(+G14*$B16,2)</f>
        <v>22973375</v>
      </c>
      <c r="H22" s="350">
        <f>ROUND(+H14*$B16,2)</f>
        <v>22973375</v>
      </c>
      <c r="I22" s="350">
        <f>ROUND(+I14*$B16,2)</f>
        <v>22973375</v>
      </c>
      <c r="J22" s="346"/>
      <c r="K22" s="350">
        <f>ROUND(+K14*$B16,2)</f>
        <v>22973375</v>
      </c>
      <c r="L22" s="350">
        <f>ROUND(+L14*$B16,2)</f>
        <v>22973375</v>
      </c>
      <c r="M22" s="350">
        <f>ROUND(+M14*$B16,2)</f>
        <v>22973375</v>
      </c>
      <c r="N22" s="346"/>
      <c r="O22" s="476"/>
      <c r="P22" s="475"/>
      <c r="Q22" s="350">
        <f>ROUND(+Q14*$B16,2)</f>
        <v>22973375</v>
      </c>
      <c r="R22" s="350">
        <f>ROUND(+R14*$B16,2)</f>
        <v>22973375</v>
      </c>
      <c r="S22" s="350">
        <f>ROUND(+S14*$B16,2)</f>
        <v>22973375</v>
      </c>
      <c r="T22" s="346"/>
      <c r="U22" s="350">
        <f>ROUND(+U14*$B16,2)</f>
        <v>22973375</v>
      </c>
      <c r="V22" s="350">
        <f>ROUND(+V14*$B16,2)</f>
        <v>22973375</v>
      </c>
      <c r="W22" s="350">
        <f>ROUND(+W14*$B16,2)</f>
        <v>22973375</v>
      </c>
      <c r="X22" s="346"/>
      <c r="Y22" s="476"/>
      <c r="Z22" s="475"/>
      <c r="AA22" s="110"/>
    </row>
    <row r="23" spans="1:28">
      <c r="B23" t="s">
        <v>100</v>
      </c>
      <c r="C23" s="353"/>
      <c r="D23" s="353">
        <f>IF($A$11&lt;=C18,0,-D21+D22)</f>
        <v>2212614.6000000015</v>
      </c>
      <c r="E23" s="353">
        <f>SUM(C23:D23)</f>
        <v>2212614.6000000015</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2212614.6000000015</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2212614.6000000015</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483</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8.0000000000000002E-3</v>
      </c>
      <c r="F31" s="225"/>
      <c r="G31" s="356">
        <v>8.0000000000000002E-3</v>
      </c>
      <c r="H31" s="356">
        <v>8.0000000000000002E-3</v>
      </c>
      <c r="J31" s="225"/>
      <c r="K31" s="356">
        <v>8.0000000000000002E-3</v>
      </c>
      <c r="L31" s="356">
        <v>8.0000000000000002E-3</v>
      </c>
      <c r="N31" s="225"/>
      <c r="O31" s="472"/>
      <c r="P31" s="479"/>
      <c r="Q31" s="356">
        <v>8.0000000000000002E-3</v>
      </c>
      <c r="R31" s="356">
        <v>8.0000000000000002E-3</v>
      </c>
      <c r="T31" s="225"/>
      <c r="U31" s="356">
        <v>8.0000000000000002E-3</v>
      </c>
      <c r="V31" s="356">
        <v>8.0000000000000002E-3</v>
      </c>
      <c r="X31" s="225"/>
      <c r="Y31" s="472"/>
      <c r="Z31" s="479"/>
    </row>
    <row r="32" spans="1:28">
      <c r="A32" s="208" t="s">
        <v>256</v>
      </c>
      <c r="D32" s="497">
        <f>SUM(D30:D31)</f>
        <v>7.4099999999999999E-2</v>
      </c>
      <c r="F32" s="225"/>
      <c r="G32" s="497">
        <f>SUM(G30:G31)</f>
        <v>7.4099999999999999E-2</v>
      </c>
      <c r="H32" s="497">
        <f>SUM(H30:H31)</f>
        <v>6.8900000000000003E-2</v>
      </c>
      <c r="J32" s="225"/>
      <c r="K32" s="497">
        <f>SUM(K30:K31)</f>
        <v>6.8900000000000003E-2</v>
      </c>
      <c r="L32" s="497">
        <f>SUM(L30:L31)</f>
        <v>6.8900000000000003E-2</v>
      </c>
      <c r="N32" s="225"/>
      <c r="O32" s="472"/>
      <c r="P32" s="479"/>
      <c r="Q32" s="497">
        <f>SUM(Q30:Q31)</f>
        <v>8.0000000000000002E-3</v>
      </c>
      <c r="R32" s="497">
        <f>SUM(R30:R31)</f>
        <v>6.8900000000000003E-2</v>
      </c>
      <c r="T32" s="225"/>
      <c r="U32" s="497">
        <f>SUM(U30:U31)</f>
        <v>6.8900000000000003E-2</v>
      </c>
      <c r="V32" s="497">
        <f>SUM(V30:V31)</f>
        <v>6.8900000000000003E-2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36670</v>
      </c>
      <c r="F34" s="225"/>
      <c r="G34" s="365">
        <f>+D35</f>
        <v>36678</v>
      </c>
      <c r="H34" s="365">
        <f>+G35</f>
        <v>36678</v>
      </c>
      <c r="J34" s="225"/>
      <c r="K34" s="365">
        <f>+H35</f>
        <v>36678</v>
      </c>
      <c r="L34" s="365">
        <f>+K35</f>
        <v>36678</v>
      </c>
      <c r="N34" s="225"/>
      <c r="O34" s="472"/>
      <c r="P34" s="479"/>
      <c r="Q34" s="365">
        <f>+L35</f>
        <v>36678</v>
      </c>
      <c r="R34" s="365">
        <f>+Q35</f>
        <v>36678</v>
      </c>
      <c r="T34" s="225"/>
      <c r="U34" s="365">
        <f>+R35</f>
        <v>36678</v>
      </c>
      <c r="V34" s="365">
        <f>+U35</f>
        <v>36678</v>
      </c>
      <c r="X34" s="225"/>
      <c r="Y34" s="472"/>
      <c r="Z34" s="479"/>
    </row>
    <row r="35" spans="1:27">
      <c r="A35" t="s">
        <v>253</v>
      </c>
      <c r="D35" s="451">
        <f>+D6</f>
        <v>36678</v>
      </c>
      <c r="F35" s="225"/>
      <c r="G35" s="451">
        <f>+G6</f>
        <v>36678</v>
      </c>
      <c r="H35" s="451">
        <f>+H6</f>
        <v>36678</v>
      </c>
      <c r="J35" s="225"/>
      <c r="K35" s="451">
        <f>+K6</f>
        <v>36678</v>
      </c>
      <c r="L35" s="451">
        <f>+L6</f>
        <v>36678</v>
      </c>
      <c r="N35" s="225"/>
      <c r="O35" s="472"/>
      <c r="P35" s="479"/>
      <c r="Q35" s="451">
        <f>+Q6</f>
        <v>36678</v>
      </c>
      <c r="R35" s="451">
        <f>+R6</f>
        <v>36678</v>
      </c>
      <c r="T35" s="225"/>
      <c r="U35" s="451">
        <f>+U6</f>
        <v>36678</v>
      </c>
      <c r="V35" s="451">
        <f>+V6</f>
        <v>36678</v>
      </c>
      <c r="X35" s="225"/>
      <c r="Y35" s="472"/>
      <c r="Z35" s="479"/>
    </row>
    <row r="36" spans="1:27">
      <c r="A36" t="s">
        <v>254</v>
      </c>
      <c r="D36" s="369">
        <f>+D35-D34</f>
        <v>8</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-35582.22</v>
      </c>
      <c r="E37" s="353">
        <f>SUM(C37:D37)</f>
        <v>-35582.22</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-35582.22</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-35582.22</v>
      </c>
    </row>
    <row r="38" spans="1:27">
      <c r="D38" s="53"/>
      <c r="F38" s="225"/>
      <c r="G38" s="53"/>
      <c r="H38" s="53"/>
      <c r="J38" s="225"/>
      <c r="K38" s="53"/>
      <c r="L38" s="53"/>
      <c r="N38" s="225"/>
      <c r="O38" s="472"/>
      <c r="P38" s="479"/>
      <c r="Q38" s="53"/>
      <c r="R38" s="53"/>
      <c r="T38" s="225"/>
      <c r="U38" s="53"/>
      <c r="V38" s="53"/>
      <c r="X38" s="225"/>
      <c r="Y38" s="472"/>
      <c r="Z38" s="479"/>
    </row>
    <row r="39" spans="1:27" ht="13.8" thickBot="1">
      <c r="A39" t="s">
        <v>258</v>
      </c>
      <c r="D39" s="261">
        <f>+D23+D27+D37</f>
        <v>2177032.3800000013</v>
      </c>
      <c r="E39" s="261">
        <f>+E23+E27+E37</f>
        <v>2177032.3800000013</v>
      </c>
      <c r="F39" s="225"/>
      <c r="G39" s="261">
        <f>+G23+G27+G37</f>
        <v>0</v>
      </c>
      <c r="H39" s="261">
        <f>+H23+H27+H37</f>
        <v>0</v>
      </c>
      <c r="I39" s="261">
        <f>+I23+I27+I37</f>
        <v>0</v>
      </c>
      <c r="J39" s="225"/>
      <c r="K39" s="261">
        <f>+K23+K27+K37</f>
        <v>0</v>
      </c>
      <c r="L39" s="261">
        <f>+L23+L27+L37</f>
        <v>0</v>
      </c>
      <c r="M39" s="261">
        <f>+M23+M27+M37</f>
        <v>0</v>
      </c>
      <c r="N39" s="225"/>
      <c r="O39" s="261">
        <f>+O23+O27+O37</f>
        <v>2177032.3800000013</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2177032.3800000013</v>
      </c>
    </row>
    <row r="40" spans="1:27" ht="13.8"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AB40"/>
  <sheetViews>
    <sheetView zoomScaleNormal="100" workbookViewId="0">
      <selection activeCell="D9" sqref="D9"/>
    </sheetView>
  </sheetViews>
  <sheetFormatPr defaultRowHeight="13.2"/>
  <cols>
    <col min="1" max="1" width="12.5546875" customWidth="1"/>
    <col min="2" max="3" width="13.88671875" customWidth="1"/>
    <col min="4" max="5" width="15.44140625" bestFit="1" customWidth="1"/>
    <col min="6" max="6" width="1.44140625" customWidth="1"/>
    <col min="7" max="8" width="15.44140625" customWidth="1"/>
    <col min="9" max="9" width="15.44140625" bestFit="1" customWidth="1"/>
    <col min="10" max="10" width="1.44140625" customWidth="1"/>
    <col min="11" max="12" width="15.44140625" customWidth="1"/>
    <col min="13" max="13" width="13.88671875" bestFit="1" customWidth="1"/>
    <col min="14" max="14" width="1.44140625" customWidth="1"/>
    <col min="15" max="15" width="13.88671875" customWidth="1"/>
    <col min="16" max="16" width="1.44140625" customWidth="1"/>
    <col min="17" max="17" width="14.44140625" bestFit="1" customWidth="1"/>
    <col min="18" max="18" width="13.88671875" bestFit="1" customWidth="1"/>
    <col min="19" max="19" width="14.44140625" bestFit="1" customWidth="1"/>
    <col min="20" max="20" width="1.33203125" customWidth="1"/>
    <col min="21" max="23" width="13.88671875" bestFit="1" customWidth="1"/>
    <col min="24" max="24" width="1.33203125" customWidth="1"/>
    <col min="25" max="25" width="14.44140625" bestFit="1" customWidth="1"/>
    <col min="26" max="26" width="1.44140625" customWidth="1"/>
    <col min="27" max="27" width="14.88671875" customWidth="1"/>
    <col min="28" max="28" width="11.88671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36654</v>
      </c>
      <c r="G3" s="57">
        <f>+$D$10</f>
        <v>36654</v>
      </c>
      <c r="H3" s="57">
        <f>+$D$10</f>
        <v>36654</v>
      </c>
      <c r="K3" s="57">
        <f>+$D$10</f>
        <v>36654</v>
      </c>
      <c r="L3" s="57">
        <f>+$D$10</f>
        <v>36654</v>
      </c>
      <c r="Q3" s="57">
        <f>+$D$10</f>
        <v>36654</v>
      </c>
      <c r="R3" s="57">
        <f>+$D$10</f>
        <v>36654</v>
      </c>
      <c r="U3" s="57">
        <f>+$D$10</f>
        <v>36654</v>
      </c>
      <c r="V3" s="57">
        <f>+$D$10</f>
        <v>36654</v>
      </c>
    </row>
    <row r="4" spans="1:27">
      <c r="A4" t="s">
        <v>342</v>
      </c>
      <c r="C4" s="57"/>
      <c r="D4" s="57">
        <f>IF(+D$18&lt;1,C4,D$18)</f>
        <v>36663</v>
      </c>
      <c r="G4" s="57">
        <f>IF(+G$18&lt;1,D4,G$18)</f>
        <v>36663</v>
      </c>
      <c r="H4" s="57">
        <f>IF(+H$18&lt;1,G4,H$18)</f>
        <v>36663</v>
      </c>
      <c r="K4" s="57">
        <f>IF(+K$18&lt;1,H4,K$18)</f>
        <v>36663</v>
      </c>
      <c r="L4" s="57">
        <f>IF(+L$18&lt;1,K4,L$18)</f>
        <v>36663</v>
      </c>
      <c r="Q4" s="57">
        <f>IF(+Q$18&lt;1,N4,Q$18)</f>
        <v>36663</v>
      </c>
      <c r="R4" s="57">
        <f>IF(+R$18&lt;1,Q4,R$18)</f>
        <v>36663</v>
      </c>
      <c r="U4" s="57">
        <f>IF(+U$18&lt;1,R4,U$18)</f>
        <v>36663</v>
      </c>
      <c r="V4" s="57">
        <f>IF(+V$18&lt;1,U4,V$18)</f>
        <v>36663</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36654</v>
      </c>
      <c r="E6" s="245"/>
      <c r="F6" s="245"/>
      <c r="G6" s="456">
        <f>MIN(G2:G5)</f>
        <v>36654</v>
      </c>
      <c r="H6" s="456">
        <f>MIN(H2:H5)</f>
        <v>36654</v>
      </c>
      <c r="I6" s="245"/>
      <c r="J6" s="245"/>
      <c r="K6" s="456">
        <f>MIN(K2:K5)</f>
        <v>36654</v>
      </c>
      <c r="L6" s="457">
        <f>MIN(L2:L5)</f>
        <v>36654</v>
      </c>
      <c r="Q6" s="456">
        <f>MIN(Q2:Q5)</f>
        <v>36654</v>
      </c>
      <c r="R6" s="457">
        <f>MIN(R2:R5)</f>
        <v>36654</v>
      </c>
      <c r="U6" s="456">
        <f>MIN(U2:U5)</f>
        <v>36654</v>
      </c>
      <c r="V6" s="457">
        <f>MIN(V2:V5)</f>
        <v>36654</v>
      </c>
    </row>
    <row r="9" spans="1:27">
      <c r="A9" s="200" t="s">
        <v>345</v>
      </c>
      <c r="C9" s="259" t="s">
        <v>174</v>
      </c>
      <c r="D9" s="338">
        <v>36633</v>
      </c>
    </row>
    <row r="10" spans="1:27" ht="13.8" thickBot="1">
      <c r="A10" s="200" t="s">
        <v>369</v>
      </c>
      <c r="B10" s="516"/>
      <c r="C10" s="259" t="s">
        <v>175</v>
      </c>
      <c r="D10" s="338">
        <v>36654</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75.125</v>
      </c>
      <c r="H14" s="466">
        <f>LOOKUP(H6,Input!$A$20:$A$827,Input!$B$20:$B$827)</f>
        <v>75.125</v>
      </c>
      <c r="I14" s="466">
        <f>+H14</f>
        <v>75.125</v>
      </c>
      <c r="J14" s="222"/>
      <c r="K14" s="466">
        <f>LOOKUP(K6,Input!$A$20:$A$827,Input!$B$20:$B$827)</f>
        <v>75.125</v>
      </c>
      <c r="L14" s="466">
        <f>LOOKUP(L6,Input!$A$20:$A$827,Input!$B$20:$B$827)</f>
        <v>75.125</v>
      </c>
      <c r="M14" s="466">
        <f>+L14</f>
        <v>75.125</v>
      </c>
      <c r="N14" s="222"/>
      <c r="O14" s="53"/>
      <c r="P14" s="467"/>
      <c r="Q14" s="466">
        <f>LOOKUP(Q6,Input!$A$20:$A$827,Input!$B$20:$B$827)</f>
        <v>75.125</v>
      </c>
      <c r="R14" s="466">
        <f>LOOKUP(R6,Input!$A$20:$A$827,Input!$B$20:$B$827)</f>
        <v>75.125</v>
      </c>
      <c r="S14" s="466">
        <f>+R14</f>
        <v>75.125</v>
      </c>
      <c r="T14" s="222"/>
      <c r="U14" s="466">
        <f>LOOKUP(U6,Input!$A$20:$A$827,Input!$B$20:$B$827)</f>
        <v>75.125</v>
      </c>
      <c r="V14" s="466">
        <f>LOOKUP(V6,Input!$A$20:$A$827,Input!$B$20:$B$827)</f>
        <v>75.125</v>
      </c>
      <c r="W14" s="466">
        <f>+V14</f>
        <v>75.125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511200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64.7681+0.03</f>
        <v>64.798100000000005</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36663</v>
      </c>
      <c r="E18" s="141"/>
      <c r="F18" s="469"/>
      <c r="G18" s="141">
        <v>36663</v>
      </c>
      <c r="H18" s="141">
        <v>36663</v>
      </c>
      <c r="I18" s="141"/>
      <c r="J18" s="469"/>
      <c r="K18" s="141">
        <v>36663</v>
      </c>
      <c r="L18" s="141">
        <v>36663</v>
      </c>
      <c r="M18" s="141"/>
      <c r="N18" s="469"/>
      <c r="O18" s="53"/>
      <c r="P18" s="468"/>
      <c r="Q18" s="141">
        <v>36663</v>
      </c>
      <c r="R18" s="141">
        <v>36663</v>
      </c>
      <c r="S18" s="141"/>
      <c r="T18" s="469"/>
      <c r="U18" s="141">
        <v>36663</v>
      </c>
      <c r="V18" s="141">
        <v>36663</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33124788.719999999</v>
      </c>
      <c r="E21" s="347">
        <f>+D21</f>
        <v>33124788.719999999</v>
      </c>
      <c r="F21" s="346"/>
      <c r="G21" s="347">
        <f>+D22</f>
        <v>38915100</v>
      </c>
      <c r="H21" s="347">
        <f>+G22</f>
        <v>38403900</v>
      </c>
      <c r="I21" s="347">
        <f>+E22</f>
        <v>38915100</v>
      </c>
      <c r="J21" s="346"/>
      <c r="K21" s="347">
        <f>+H22</f>
        <v>38403900</v>
      </c>
      <c r="L21" s="347">
        <f>+K22</f>
        <v>38403900</v>
      </c>
      <c r="M21" s="347">
        <f>+I22</f>
        <v>38403900</v>
      </c>
      <c r="N21" s="346"/>
      <c r="O21" s="348"/>
      <c r="P21" s="475"/>
      <c r="Q21" s="347">
        <f>+L22</f>
        <v>38403900</v>
      </c>
      <c r="R21" s="347">
        <f>+Q22</f>
        <v>38403900</v>
      </c>
      <c r="S21" s="347">
        <f>+M22</f>
        <v>38403900</v>
      </c>
      <c r="T21" s="346"/>
      <c r="U21" s="347">
        <f>+Q22</f>
        <v>38403900</v>
      </c>
      <c r="V21" s="347">
        <f>+R22</f>
        <v>38403900</v>
      </c>
      <c r="W21" s="347">
        <f>+S22</f>
        <v>38403900</v>
      </c>
      <c r="X21" s="346"/>
      <c r="Y21" s="348"/>
      <c r="Z21" s="475"/>
      <c r="AA21" s="110"/>
    </row>
    <row r="22" spans="1:28">
      <c r="B22" t="s">
        <v>97</v>
      </c>
      <c r="C22" s="350"/>
      <c r="D22" s="350">
        <f>ROUND(+D14*$B16,2)</f>
        <v>38915100</v>
      </c>
      <c r="E22" s="350">
        <f>ROUND(+E14*$B16,2)</f>
        <v>38915100</v>
      </c>
      <c r="F22" s="346"/>
      <c r="G22" s="350">
        <f>ROUND(+G14*$B16,2)</f>
        <v>38403900</v>
      </c>
      <c r="H22" s="350">
        <f>ROUND(+H14*$B16,2)</f>
        <v>38403900</v>
      </c>
      <c r="I22" s="350">
        <f>ROUND(+I14*$B16,2)</f>
        <v>38403900</v>
      </c>
      <c r="J22" s="346"/>
      <c r="K22" s="350">
        <f>ROUND(+K14*$B16,2)</f>
        <v>38403900</v>
      </c>
      <c r="L22" s="350">
        <f>ROUND(+L14*$B16,2)</f>
        <v>38403900</v>
      </c>
      <c r="M22" s="350">
        <f>ROUND(+M14*$B16,2)</f>
        <v>38403900</v>
      </c>
      <c r="N22" s="346"/>
      <c r="O22" s="476"/>
      <c r="P22" s="475"/>
      <c r="Q22" s="350">
        <f>ROUND(+Q14*$B16,2)</f>
        <v>38403900</v>
      </c>
      <c r="R22" s="350">
        <f>ROUND(+R14*$B16,2)</f>
        <v>38403900</v>
      </c>
      <c r="S22" s="350">
        <f>ROUND(+S14*$B16,2)</f>
        <v>38403900</v>
      </c>
      <c r="T22" s="346"/>
      <c r="U22" s="350">
        <f>ROUND(+U14*$B16,2)</f>
        <v>38403900</v>
      </c>
      <c r="V22" s="350">
        <f>ROUND(+V14*$B16,2)</f>
        <v>38403900</v>
      </c>
      <c r="W22" s="350">
        <f>ROUND(+W14*$B16,2)</f>
        <v>38403900</v>
      </c>
      <c r="X22" s="346"/>
      <c r="Y22" s="476"/>
      <c r="Z22" s="475"/>
      <c r="AA22" s="110"/>
    </row>
    <row r="23" spans="1:28">
      <c r="B23" t="s">
        <v>100</v>
      </c>
      <c r="C23" s="353"/>
      <c r="D23" s="353">
        <f>IF($A$11&lt;=C18,0,-D21+D22)</f>
        <v>5790311.2800000012</v>
      </c>
      <c r="E23" s="353">
        <f>SUM(C23:D23)</f>
        <v>5790311.2800000012</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5790311.2800000012</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5790311.2800000012</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6.2924999999999995E-2</v>
      </c>
      <c r="F30" s="225"/>
      <c r="G30" s="358">
        <f>+D30</f>
        <v>6.2924999999999995E-2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7.342499999999999E-2</v>
      </c>
      <c r="F32" s="225"/>
      <c r="G32" s="497">
        <f>SUM(G30:G31)</f>
        <v>7.342499999999999E-2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36633</v>
      </c>
      <c r="F34" s="225"/>
      <c r="G34" s="365">
        <f>+D35</f>
        <v>36654</v>
      </c>
      <c r="H34" s="365">
        <f>+G35</f>
        <v>36654</v>
      </c>
      <c r="J34" s="225"/>
      <c r="K34" s="365">
        <f>+H35</f>
        <v>36654</v>
      </c>
      <c r="L34" s="365">
        <f>+K35</f>
        <v>36654</v>
      </c>
      <c r="N34" s="225"/>
      <c r="O34" s="472"/>
      <c r="P34" s="479"/>
      <c r="Q34" s="365">
        <f>+L35</f>
        <v>36654</v>
      </c>
      <c r="R34" s="365">
        <f>+Q35</f>
        <v>36654</v>
      </c>
      <c r="T34" s="225"/>
      <c r="U34" s="365">
        <f>+R35</f>
        <v>36654</v>
      </c>
      <c r="V34" s="365">
        <f>+U35</f>
        <v>36654</v>
      </c>
      <c r="X34" s="225"/>
      <c r="Y34" s="472"/>
      <c r="Z34" s="479"/>
    </row>
    <row r="35" spans="1:27">
      <c r="A35" t="s">
        <v>253</v>
      </c>
      <c r="D35" s="451">
        <f>+D6</f>
        <v>36654</v>
      </c>
      <c r="F35" s="225"/>
      <c r="G35" s="451">
        <f>+G6</f>
        <v>36654</v>
      </c>
      <c r="H35" s="451">
        <f>+H6</f>
        <v>36654</v>
      </c>
      <c r="J35" s="225"/>
      <c r="K35" s="451">
        <f>+K6</f>
        <v>36654</v>
      </c>
      <c r="L35" s="451">
        <f>+L6</f>
        <v>36654</v>
      </c>
      <c r="N35" s="225"/>
      <c r="O35" s="472"/>
      <c r="P35" s="479"/>
      <c r="Q35" s="451">
        <f>+Q6</f>
        <v>36654</v>
      </c>
      <c r="R35" s="451">
        <f>+R6</f>
        <v>36654</v>
      </c>
      <c r="T35" s="225"/>
      <c r="U35" s="451">
        <f>+U6</f>
        <v>36654</v>
      </c>
      <c r="V35" s="451">
        <f>+V6</f>
        <v>36654</v>
      </c>
      <c r="X35" s="225"/>
      <c r="Y35" s="472"/>
      <c r="Z35" s="479"/>
    </row>
    <row r="36" spans="1:27">
      <c r="A36" t="s">
        <v>254</v>
      </c>
      <c r="D36" s="369">
        <f>+D35-D34</f>
        <v>21</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-139934.07999999999</v>
      </c>
      <c r="E37" s="353">
        <f>SUM(C37:D37)</f>
        <v>-139934.07999999999</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-139934.07999999999</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-139934.07999999999</v>
      </c>
    </row>
    <row r="38" spans="1:27">
      <c r="D38" s="53"/>
      <c r="F38" s="225"/>
      <c r="G38" s="53"/>
      <c r="H38" s="53"/>
      <c r="J38" s="225"/>
      <c r="K38" s="53"/>
      <c r="L38" s="53"/>
      <c r="N38" s="225"/>
      <c r="O38" s="472"/>
      <c r="P38" s="479"/>
      <c r="Q38" s="53"/>
      <c r="R38" s="53"/>
      <c r="T38" s="225"/>
      <c r="U38" s="53"/>
      <c r="V38" s="53"/>
      <c r="X38" s="225"/>
      <c r="Y38" s="472"/>
      <c r="Z38" s="479"/>
    </row>
    <row r="39" spans="1:27" ht="13.8" thickBot="1">
      <c r="A39" t="s">
        <v>258</v>
      </c>
      <c r="D39" s="261">
        <f>+D23+D27+D37</f>
        <v>5650377.2000000011</v>
      </c>
      <c r="E39" s="261">
        <f>+E23+E27+E37</f>
        <v>5650377.2000000011</v>
      </c>
      <c r="F39" s="225"/>
      <c r="G39" s="261">
        <f>+G23+G27+G37</f>
        <v>0</v>
      </c>
      <c r="H39" s="261">
        <f>+H23+H27+H37</f>
        <v>0</v>
      </c>
      <c r="I39" s="261">
        <f>+I23+I27+I37</f>
        <v>0</v>
      </c>
      <c r="J39" s="225"/>
      <c r="K39" s="261">
        <f>+K23+K27+K37</f>
        <v>0</v>
      </c>
      <c r="L39" s="261">
        <f>+L23+L27+L37</f>
        <v>0</v>
      </c>
      <c r="M39" s="261">
        <f>+M23+M27+M37</f>
        <v>0</v>
      </c>
      <c r="N39" s="225"/>
      <c r="O39" s="261">
        <f>+O23+O27+O37</f>
        <v>5650377.2000000011</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5650377.2000000011</v>
      </c>
    </row>
    <row r="40" spans="1:27" ht="13.8"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AB40"/>
  <sheetViews>
    <sheetView zoomScaleNormal="100" workbookViewId="0">
      <selection activeCell="C7" sqref="C7"/>
    </sheetView>
  </sheetViews>
  <sheetFormatPr defaultRowHeight="13.2"/>
  <cols>
    <col min="1" max="1" width="12.5546875" customWidth="1"/>
    <col min="2" max="3" width="13.88671875" customWidth="1"/>
    <col min="4" max="5" width="15.44140625" bestFit="1" customWidth="1"/>
    <col min="6" max="6" width="1.44140625" customWidth="1"/>
    <col min="7" max="8" width="15.44140625" customWidth="1"/>
    <col min="9" max="9" width="15.44140625" bestFit="1" customWidth="1"/>
    <col min="10" max="10" width="1.44140625" customWidth="1"/>
    <col min="11" max="12" width="15.44140625" customWidth="1"/>
    <col min="13" max="13" width="13.88671875" bestFit="1" customWidth="1"/>
    <col min="14" max="14" width="1.44140625" customWidth="1"/>
    <col min="15" max="15" width="13.88671875" customWidth="1"/>
    <col min="16" max="16" width="1.44140625" customWidth="1"/>
    <col min="17" max="17" width="14.44140625" bestFit="1" customWidth="1"/>
    <col min="18" max="18" width="13.88671875" bestFit="1" customWidth="1"/>
    <col min="19" max="19" width="14.44140625" bestFit="1" customWidth="1"/>
    <col min="20" max="20" width="1.33203125" customWidth="1"/>
    <col min="21" max="23" width="13.88671875" bestFit="1" customWidth="1"/>
    <col min="24" max="24" width="1.33203125" customWidth="1"/>
    <col min="25" max="25" width="14.44140625" bestFit="1" customWidth="1"/>
    <col min="26" max="26" width="1.44140625" customWidth="1"/>
    <col min="27" max="27" width="14.88671875" customWidth="1"/>
    <col min="28" max="28" width="11.88671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36654</v>
      </c>
      <c r="G3" s="57">
        <f>+$D$10</f>
        <v>36654</v>
      </c>
      <c r="H3" s="57">
        <f>+$D$10</f>
        <v>36654</v>
      </c>
      <c r="K3" s="57">
        <f>+$D$10</f>
        <v>36654</v>
      </c>
      <c r="L3" s="57">
        <f>+$D$10</f>
        <v>36654</v>
      </c>
      <c r="Q3" s="57">
        <f>+$D$10</f>
        <v>36654</v>
      </c>
      <c r="R3" s="57">
        <f>+$D$10</f>
        <v>36654</v>
      </c>
      <c r="U3" s="57">
        <f>+$D$10</f>
        <v>36654</v>
      </c>
      <c r="V3" s="57">
        <f>+$D$10</f>
        <v>36654</v>
      </c>
    </row>
    <row r="4" spans="1:27">
      <c r="A4" t="s">
        <v>342</v>
      </c>
      <c r="C4" s="57"/>
      <c r="D4" s="57">
        <f>IF(+D$18&lt;1,C4,D$18)</f>
        <v>36713</v>
      </c>
      <c r="G4" s="57">
        <f>IF(+G$18&lt;1,D4,G$18)</f>
        <v>36713</v>
      </c>
      <c r="H4" s="57">
        <f>IF(+H$18&lt;1,G4,H$18)</f>
        <v>36805</v>
      </c>
      <c r="K4" s="57">
        <f>IF(+K$18&lt;1,H4,K$18)</f>
        <v>36805</v>
      </c>
      <c r="L4" s="57">
        <f>IF(+L$18&lt;1,K4,L$18)</f>
        <v>36897</v>
      </c>
      <c r="Q4" s="57">
        <f>IF(+Q$18&lt;1,N4,Q$18)</f>
        <v>36897</v>
      </c>
      <c r="R4" s="57">
        <f>IF(+R$18&lt;1,Q4,R$18)</f>
        <v>36986</v>
      </c>
      <c r="U4" s="57">
        <f>IF(+U$18&lt;1,R4,U$18)</f>
        <v>36986</v>
      </c>
      <c r="V4" s="57">
        <f>IF(+V$18&lt;1,U4,V$18)</f>
        <v>36985</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36654</v>
      </c>
      <c r="E6" s="245"/>
      <c r="F6" s="245"/>
      <c r="G6" s="456">
        <f>MIN(G2:G5)</f>
        <v>36654</v>
      </c>
      <c r="H6" s="456">
        <f>MIN(H2:H5)</f>
        <v>36654</v>
      </c>
      <c r="I6" s="245"/>
      <c r="J6" s="245"/>
      <c r="K6" s="456">
        <f>MIN(K2:K5)</f>
        <v>36654</v>
      </c>
      <c r="L6" s="457">
        <f>MIN(L2:L5)</f>
        <v>36654</v>
      </c>
      <c r="Q6" s="456">
        <f>MIN(Q2:Q5)</f>
        <v>36654</v>
      </c>
      <c r="R6" s="457">
        <f>MIN(R2:R5)</f>
        <v>36654</v>
      </c>
      <c r="U6" s="456">
        <f>MIN(U2:U5)</f>
        <v>36654</v>
      </c>
      <c r="V6" s="457">
        <f>MIN(V2:V5)</f>
        <v>36654</v>
      </c>
    </row>
    <row r="9" spans="1:27">
      <c r="A9" s="200" t="s">
        <v>345</v>
      </c>
      <c r="C9" s="259" t="s">
        <v>174</v>
      </c>
      <c r="D9" s="338">
        <v>36622</v>
      </c>
      <c r="E9" s="516"/>
    </row>
    <row r="10" spans="1:27" ht="13.8" thickBot="1">
      <c r="A10" s="200" t="s">
        <v>369</v>
      </c>
      <c r="C10" s="259" t="s">
        <v>175</v>
      </c>
      <c r="D10" s="338">
        <v>36654</v>
      </c>
      <c r="E10" s="516"/>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75.125</v>
      </c>
      <c r="H14" s="466">
        <f>LOOKUP(H6,Input!$A$20:$A$827,Input!$B$20:$B$827)</f>
        <v>75.125</v>
      </c>
      <c r="I14" s="466">
        <f>+H14</f>
        <v>75.125</v>
      </c>
      <c r="J14" s="222"/>
      <c r="K14" s="466">
        <f>LOOKUP(K6,Input!$A$20:$A$827,Input!$B$20:$B$827)</f>
        <v>75.125</v>
      </c>
      <c r="L14" s="466">
        <f>LOOKUP(L6,Input!$A$20:$A$827,Input!$B$20:$B$827)</f>
        <v>75.125</v>
      </c>
      <c r="M14" s="466">
        <f>+L14</f>
        <v>75.125</v>
      </c>
      <c r="N14" s="222"/>
      <c r="O14" s="53"/>
      <c r="P14" s="467"/>
      <c r="Q14" s="466">
        <f>LOOKUP(Q6,Input!$A$20:$A$827,Input!$B$20:$B$827)</f>
        <v>75.125</v>
      </c>
      <c r="R14" s="466">
        <f>LOOKUP(R6,Input!$A$20:$A$827,Input!$B$20:$B$827)</f>
        <v>75.125</v>
      </c>
      <c r="S14" s="466">
        <f>+R14</f>
        <v>75.125</v>
      </c>
      <c r="T14" s="222"/>
      <c r="U14" s="466">
        <f>LOOKUP(U6,Input!$A$20:$A$827,Input!$B$20:$B$827)</f>
        <v>75.125</v>
      </c>
      <c r="V14" s="466">
        <f>LOOKUP(V6,Input!$A$20:$A$827,Input!$B$20:$B$827)</f>
        <v>75.125</v>
      </c>
      <c r="W14" s="466">
        <f>+V14</f>
        <v>75.125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460000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67.5829+0.03</f>
        <v>67.612899999999996</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36713</v>
      </c>
      <c r="E18" s="141"/>
      <c r="F18" s="469"/>
      <c r="G18" s="141">
        <v>36713</v>
      </c>
      <c r="H18" s="141">
        <v>36805</v>
      </c>
      <c r="I18" s="141"/>
      <c r="J18" s="469"/>
      <c r="K18" s="141">
        <v>36805</v>
      </c>
      <c r="L18" s="141">
        <v>36897</v>
      </c>
      <c r="M18" s="141"/>
      <c r="N18" s="469"/>
      <c r="O18" s="53"/>
      <c r="P18" s="468"/>
      <c r="Q18" s="141">
        <v>36897</v>
      </c>
      <c r="R18" s="141">
        <v>36986</v>
      </c>
      <c r="S18" s="141"/>
      <c r="T18" s="469"/>
      <c r="U18" s="141">
        <v>36986</v>
      </c>
      <c r="V18" s="141">
        <v>36985</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31101934</v>
      </c>
      <c r="E21" s="347">
        <f>+D21</f>
        <v>31101934</v>
      </c>
      <c r="F21" s="346"/>
      <c r="G21" s="347">
        <f>+D22</f>
        <v>35017500</v>
      </c>
      <c r="H21" s="347">
        <f>+G22</f>
        <v>34557500</v>
      </c>
      <c r="I21" s="347">
        <f>+E22</f>
        <v>35017500</v>
      </c>
      <c r="J21" s="346"/>
      <c r="K21" s="347">
        <f>+H22</f>
        <v>34557500</v>
      </c>
      <c r="L21" s="347">
        <f>+K22</f>
        <v>34557500</v>
      </c>
      <c r="M21" s="347">
        <f>+I22</f>
        <v>34557500</v>
      </c>
      <c r="N21" s="346"/>
      <c r="O21" s="348"/>
      <c r="P21" s="475"/>
      <c r="Q21" s="347">
        <f>+L22</f>
        <v>34557500</v>
      </c>
      <c r="R21" s="347">
        <f>+Q22</f>
        <v>34557500</v>
      </c>
      <c r="S21" s="347">
        <f>+M22</f>
        <v>34557500</v>
      </c>
      <c r="T21" s="346"/>
      <c r="U21" s="347">
        <f>+Q22</f>
        <v>34557500</v>
      </c>
      <c r="V21" s="347">
        <f>+R22</f>
        <v>34557500</v>
      </c>
      <c r="W21" s="347">
        <f>+S22</f>
        <v>34557500</v>
      </c>
      <c r="X21" s="346"/>
      <c r="Y21" s="348"/>
      <c r="Z21" s="475"/>
      <c r="AA21" s="110"/>
    </row>
    <row r="22" spans="1:28">
      <c r="B22" t="s">
        <v>97</v>
      </c>
      <c r="C22" s="350"/>
      <c r="D22" s="350">
        <f>ROUND(+D14*$B16,2)</f>
        <v>35017500</v>
      </c>
      <c r="E22" s="350">
        <f>ROUND(+E14*$B16,2)</f>
        <v>35017500</v>
      </c>
      <c r="F22" s="346"/>
      <c r="G22" s="350">
        <f>ROUND(+G14*$B16,2)</f>
        <v>34557500</v>
      </c>
      <c r="H22" s="350">
        <f>ROUND(+H14*$B16,2)</f>
        <v>34557500</v>
      </c>
      <c r="I22" s="350">
        <f>ROUND(+I14*$B16,2)</f>
        <v>34557500</v>
      </c>
      <c r="J22" s="346"/>
      <c r="K22" s="350">
        <f>ROUND(+K14*$B16,2)</f>
        <v>34557500</v>
      </c>
      <c r="L22" s="350">
        <f>ROUND(+L14*$B16,2)</f>
        <v>34557500</v>
      </c>
      <c r="M22" s="350">
        <f>ROUND(+M14*$B16,2)</f>
        <v>34557500</v>
      </c>
      <c r="N22" s="346"/>
      <c r="O22" s="476"/>
      <c r="P22" s="475"/>
      <c r="Q22" s="350">
        <f>ROUND(+Q14*$B16,2)</f>
        <v>34557500</v>
      </c>
      <c r="R22" s="350">
        <f>ROUND(+R14*$B16,2)</f>
        <v>34557500</v>
      </c>
      <c r="S22" s="350">
        <f>ROUND(+S14*$B16,2)</f>
        <v>34557500</v>
      </c>
      <c r="T22" s="346"/>
      <c r="U22" s="350">
        <f>ROUND(+U14*$B16,2)</f>
        <v>34557500</v>
      </c>
      <c r="V22" s="350">
        <f>ROUND(+V14*$B16,2)</f>
        <v>34557500</v>
      </c>
      <c r="W22" s="350">
        <f>ROUND(+W14*$B16,2)</f>
        <v>34557500</v>
      </c>
      <c r="X22" s="346"/>
      <c r="Y22" s="476"/>
      <c r="Z22" s="475"/>
      <c r="AA22" s="110"/>
    </row>
    <row r="23" spans="1:28">
      <c r="B23" t="s">
        <v>100</v>
      </c>
      <c r="C23" s="353"/>
      <c r="D23" s="353">
        <f>IF($A$11&lt;=C18,0,-D21+D22)</f>
        <v>3915566</v>
      </c>
      <c r="E23" s="353">
        <f>SUM(C23:D23)</f>
        <v>3915566</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3915566</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3915566</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t="e">
        <f>IF(+#REF!+O23-AA23=0,0,"OUT OF BALANCE")</f>
        <v>#REF!</v>
      </c>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6.2799999999999995E-2</v>
      </c>
      <c r="F30" s="225"/>
      <c r="G30" s="358">
        <f>+D30</f>
        <v>6.2799999999999995E-2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7.329999999999999E-2</v>
      </c>
      <c r="F32" s="225"/>
      <c r="G32" s="497">
        <f>SUM(G30:G31)</f>
        <v>7.329999999999999E-2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36622</v>
      </c>
      <c r="F34" s="225"/>
      <c r="G34" s="365">
        <f>+D35</f>
        <v>36654</v>
      </c>
      <c r="H34" s="365">
        <f>+G35</f>
        <v>36654</v>
      </c>
      <c r="J34" s="225"/>
      <c r="K34" s="365">
        <f>+H35</f>
        <v>36654</v>
      </c>
      <c r="L34" s="365">
        <f>+K35</f>
        <v>36654</v>
      </c>
      <c r="N34" s="225"/>
      <c r="O34" s="472"/>
      <c r="P34" s="479"/>
      <c r="Q34" s="365">
        <f>+L35</f>
        <v>36654</v>
      </c>
      <c r="R34" s="365">
        <f>+Q35</f>
        <v>36654</v>
      </c>
      <c r="T34" s="225"/>
      <c r="U34" s="365">
        <f>+R35</f>
        <v>36654</v>
      </c>
      <c r="V34" s="365">
        <f>+U35</f>
        <v>36654</v>
      </c>
      <c r="X34" s="225"/>
      <c r="Y34" s="472"/>
      <c r="Z34" s="479"/>
    </row>
    <row r="35" spans="1:27">
      <c r="A35" t="s">
        <v>253</v>
      </c>
      <c r="D35" s="451">
        <f>+D6</f>
        <v>36654</v>
      </c>
      <c r="F35" s="225"/>
      <c r="G35" s="451">
        <f>+G6</f>
        <v>36654</v>
      </c>
      <c r="H35" s="451">
        <f>+H6</f>
        <v>36654</v>
      </c>
      <c r="J35" s="225"/>
      <c r="K35" s="451">
        <f>+K6</f>
        <v>36654</v>
      </c>
      <c r="L35" s="451">
        <f>+L6</f>
        <v>36654</v>
      </c>
      <c r="N35" s="225"/>
      <c r="O35" s="472"/>
      <c r="P35" s="479"/>
      <c r="Q35" s="451">
        <f>+Q6</f>
        <v>36654</v>
      </c>
      <c r="R35" s="451">
        <f>+R6</f>
        <v>36654</v>
      </c>
      <c r="T35" s="225"/>
      <c r="U35" s="451">
        <f>+U6</f>
        <v>36654</v>
      </c>
      <c r="V35" s="451">
        <f>+V6</f>
        <v>36654</v>
      </c>
      <c r="X35" s="225"/>
      <c r="Y35" s="472"/>
      <c r="Z35" s="479"/>
    </row>
    <row r="36" spans="1:27">
      <c r="A36" t="s">
        <v>254</v>
      </c>
      <c r="D36" s="517">
        <f>+D35-D34-2</f>
        <v>30</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-187378.5</v>
      </c>
      <c r="E37" s="353">
        <f>SUM(C37:D37)</f>
        <v>-187378.5</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-187378.5</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-187378.5</v>
      </c>
    </row>
    <row r="38" spans="1:27">
      <c r="D38" s="53"/>
      <c r="F38" s="225"/>
      <c r="G38" s="53"/>
      <c r="H38" s="53"/>
      <c r="J38" s="225"/>
      <c r="K38" s="53"/>
      <c r="L38" s="53"/>
      <c r="N38" s="225"/>
      <c r="O38" s="472"/>
      <c r="P38" s="479"/>
      <c r="Q38" s="53"/>
      <c r="R38" s="53"/>
      <c r="T38" s="225"/>
      <c r="U38" s="53"/>
      <c r="V38" s="53"/>
      <c r="X38" s="225"/>
      <c r="Y38" s="472"/>
      <c r="Z38" s="479"/>
    </row>
    <row r="39" spans="1:27" ht="13.8" thickBot="1">
      <c r="A39" t="s">
        <v>258</v>
      </c>
      <c r="D39" s="261">
        <f>+D23+D27+D37</f>
        <v>3728187.5</v>
      </c>
      <c r="E39" s="261">
        <f>+E23+E27+E37</f>
        <v>3728187.5</v>
      </c>
      <c r="F39" s="225"/>
      <c r="G39" s="261">
        <f>+G23+G27+G37</f>
        <v>0</v>
      </c>
      <c r="H39" s="261">
        <f>+H23+H27+H37</f>
        <v>0</v>
      </c>
      <c r="I39" s="261">
        <f>+I23+I27+I37</f>
        <v>0</v>
      </c>
      <c r="J39" s="225"/>
      <c r="K39" s="261">
        <f>+K23+K27+K37</f>
        <v>0</v>
      </c>
      <c r="L39" s="261">
        <f>+L23+L27+L37</f>
        <v>0</v>
      </c>
      <c r="M39" s="261">
        <f>+M23+M27+M37</f>
        <v>0</v>
      </c>
      <c r="N39" s="225"/>
      <c r="O39" s="261">
        <f>+O23+O27+O37</f>
        <v>3728187.5</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3728187.5</v>
      </c>
    </row>
    <row r="40" spans="1:27" ht="13.8" thickTop="1">
      <c r="F40" s="225"/>
      <c r="J40" s="225"/>
      <c r="N40" s="225"/>
      <c r="O40" s="472"/>
      <c r="P40" s="479"/>
      <c r="T40" s="225"/>
      <c r="X40" s="225"/>
      <c r="Y40" s="472"/>
      <c r="Z40" s="479"/>
    </row>
  </sheetData>
  <pageMargins left="0.75" right="0.75" top="1" bottom="0.75" header="0.5" footer="0.25"/>
  <pageSetup paperSize="5" scale="52" orientation="landscape" cellComments="asDisplayed" r:id="rId1"/>
  <headerFooter alignWithMargins="0">
    <oddFooter>&amp;L&amp;F  &amp;A&amp;R&amp;D  &amp;T</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2:AB47"/>
  <sheetViews>
    <sheetView topLeftCell="A10" zoomScaleNormal="100" workbookViewId="0">
      <selection activeCell="B17" sqref="B17"/>
    </sheetView>
  </sheetViews>
  <sheetFormatPr defaultRowHeight="13.2"/>
  <cols>
    <col min="1" max="1" width="12.5546875" customWidth="1"/>
    <col min="2" max="3" width="13.88671875" customWidth="1"/>
    <col min="4" max="5" width="15.44140625" bestFit="1" customWidth="1"/>
    <col min="6" max="6" width="1.44140625" customWidth="1"/>
    <col min="7" max="8" width="15.44140625" customWidth="1"/>
    <col min="9" max="9" width="15.44140625" bestFit="1" customWidth="1"/>
    <col min="10" max="10" width="1.44140625" customWidth="1"/>
    <col min="11" max="12" width="15.44140625" customWidth="1"/>
    <col min="13" max="13" width="13.88671875" bestFit="1" customWidth="1"/>
    <col min="14" max="14" width="1.44140625" customWidth="1"/>
    <col min="15" max="15" width="13.88671875" customWidth="1"/>
    <col min="16" max="16" width="1.44140625" customWidth="1"/>
    <col min="17" max="17" width="14.44140625" bestFit="1" customWidth="1"/>
    <col min="18" max="18" width="13.88671875" bestFit="1" customWidth="1"/>
    <col min="19" max="19" width="14.44140625" bestFit="1" customWidth="1"/>
    <col min="20" max="20" width="1.33203125" customWidth="1"/>
    <col min="21" max="23" width="13.88671875" bestFit="1" customWidth="1"/>
    <col min="24" max="24" width="1.33203125" customWidth="1"/>
    <col min="25" max="25" width="14.44140625" bestFit="1" customWidth="1"/>
    <col min="26" max="26" width="1.44140625" customWidth="1"/>
    <col min="27" max="27" width="14.88671875" customWidth="1"/>
    <col min="28" max="28" width="11.88671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36654</v>
      </c>
      <c r="G3" s="57">
        <f>+$D$10</f>
        <v>36654</v>
      </c>
      <c r="H3" s="57">
        <f>+$D$10</f>
        <v>36654</v>
      </c>
      <c r="K3" s="57">
        <f>+$D$10</f>
        <v>36654</v>
      </c>
      <c r="L3" s="57">
        <f>+$D$10</f>
        <v>36654</v>
      </c>
      <c r="Q3" s="57">
        <f>+$D$10</f>
        <v>36654</v>
      </c>
      <c r="R3" s="57">
        <f>+$D$10</f>
        <v>36654</v>
      </c>
      <c r="U3" s="57">
        <f>+$D$10</f>
        <v>36654</v>
      </c>
      <c r="V3" s="57">
        <f>+$D$10</f>
        <v>36654</v>
      </c>
    </row>
    <row r="4" spans="1:27">
      <c r="A4" t="s">
        <v>342</v>
      </c>
      <c r="C4" s="57"/>
      <c r="D4" s="57">
        <f>IF(+D$18&lt;1,C4,D$18)</f>
        <v>36712</v>
      </c>
      <c r="G4" s="57">
        <f>IF(+G$18&lt;1,D4,G$18)</f>
        <v>36712</v>
      </c>
      <c r="H4" s="57">
        <f>IF(+H$18&lt;1,G4,H$18)</f>
        <v>36804</v>
      </c>
      <c r="K4" s="57">
        <f>IF(+K$18&lt;1,H4,K$18)</f>
        <v>36804</v>
      </c>
      <c r="L4" s="57">
        <f>IF(+L$18&lt;1,K4,L$18)</f>
        <v>36896</v>
      </c>
      <c r="Q4" s="57">
        <f>IF(+Q$18&lt;1,N4,Q$18)</f>
        <v>36896</v>
      </c>
      <c r="R4" s="57">
        <f>IF(+R$18&lt;1,Q4,R$18)</f>
        <v>36985</v>
      </c>
      <c r="U4" s="57">
        <f>IF(+U$18&lt;1,R4,U$18)</f>
        <v>36985</v>
      </c>
      <c r="V4" s="57">
        <f>IF(+V$18&lt;1,U4,V$18)</f>
        <v>36985</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36654</v>
      </c>
      <c r="E6" s="245"/>
      <c r="F6" s="245"/>
      <c r="G6" s="456">
        <f>MIN(G2:G5)</f>
        <v>36654</v>
      </c>
      <c r="H6" s="456">
        <f>MIN(H2:H5)</f>
        <v>36654</v>
      </c>
      <c r="I6" s="245"/>
      <c r="J6" s="245"/>
      <c r="K6" s="456">
        <f>MIN(K2:K5)</f>
        <v>36654</v>
      </c>
      <c r="L6" s="457">
        <f>MIN(L2:L5)</f>
        <v>36654</v>
      </c>
      <c r="Q6" s="456">
        <f>MIN(Q2:Q5)</f>
        <v>36654</v>
      </c>
      <c r="R6" s="457">
        <f>MIN(R2:R5)</f>
        <v>36654</v>
      </c>
      <c r="U6" s="456">
        <f>MIN(U2:U5)</f>
        <v>36654</v>
      </c>
      <c r="V6" s="457">
        <f>MIN(V2:V5)</f>
        <v>36654</v>
      </c>
    </row>
    <row r="9" spans="1:27">
      <c r="A9" s="200" t="s">
        <v>345</v>
      </c>
      <c r="C9" s="259" t="s">
        <v>174</v>
      </c>
      <c r="D9" s="338">
        <v>36621</v>
      </c>
      <c r="E9" s="516" t="s">
        <v>393</v>
      </c>
    </row>
    <row r="10" spans="1:27" ht="13.8" thickBot="1">
      <c r="A10" s="200" t="s">
        <v>369</v>
      </c>
      <c r="C10" s="259" t="s">
        <v>175</v>
      </c>
      <c r="D10" s="338">
        <v>36654</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75.125</v>
      </c>
      <c r="H14" s="466">
        <f>LOOKUP(H6,Input!$A$20:$A$827,Input!$B$20:$B$827)</f>
        <v>75.125</v>
      </c>
      <c r="I14" s="466">
        <f>+H14</f>
        <v>75.125</v>
      </c>
      <c r="J14" s="222"/>
      <c r="K14" s="466">
        <f>LOOKUP(K6,Input!$A$20:$A$827,Input!$B$20:$B$827)</f>
        <v>75.125</v>
      </c>
      <c r="L14" s="466">
        <f>LOOKUP(L6,Input!$A$20:$A$827,Input!$B$20:$B$827)</f>
        <v>75.125</v>
      </c>
      <c r="M14" s="466">
        <f>+L14</f>
        <v>75.125</v>
      </c>
      <c r="N14" s="222"/>
      <c r="O14" s="53"/>
      <c r="P14" s="467"/>
      <c r="Q14" s="466">
        <f>LOOKUP(Q6,Input!$A$20:$A$827,Input!$B$20:$B$827)</f>
        <v>75.125</v>
      </c>
      <c r="R14" s="466">
        <f>LOOKUP(R6,Input!$A$20:$A$827,Input!$B$20:$B$827)</f>
        <v>75.125</v>
      </c>
      <c r="S14" s="466">
        <f>+R14</f>
        <v>75.125</v>
      </c>
      <c r="T14" s="222"/>
      <c r="U14" s="466">
        <f>LOOKUP(U6,Input!$A$20:$A$827,Input!$B$20:$B$827)</f>
        <v>75.125</v>
      </c>
      <c r="V14" s="466">
        <f>LOOKUP(V6,Input!$A$20:$A$827,Input!$B$20:$B$827)</f>
        <v>75.125</v>
      </c>
      <c r="W14" s="466">
        <f>+V14</f>
        <v>75.125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790000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66.8865+0.03</f>
        <v>66.916499999999999</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36712</v>
      </c>
      <c r="E18" s="141"/>
      <c r="F18" s="469"/>
      <c r="G18" s="141">
        <v>36712</v>
      </c>
      <c r="H18" s="141">
        <v>36804</v>
      </c>
      <c r="I18" s="141"/>
      <c r="J18" s="469"/>
      <c r="K18" s="141">
        <v>36804</v>
      </c>
      <c r="L18" s="141">
        <v>36896</v>
      </c>
      <c r="M18" s="141"/>
      <c r="N18" s="469"/>
      <c r="O18" s="53"/>
      <c r="P18" s="468"/>
      <c r="Q18" s="141">
        <v>36896</v>
      </c>
      <c r="R18" s="141">
        <v>36985</v>
      </c>
      <c r="S18" s="141"/>
      <c r="T18" s="469"/>
      <c r="U18" s="141">
        <v>36985</v>
      </c>
      <c r="V18" s="141">
        <v>36985</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52864035</v>
      </c>
      <c r="E21" s="347">
        <f>+D21</f>
        <v>52864035</v>
      </c>
      <c r="F21" s="346"/>
      <c r="G21" s="347">
        <f>+D22</f>
        <v>60138750</v>
      </c>
      <c r="H21" s="347">
        <f>+G22</f>
        <v>59348750</v>
      </c>
      <c r="I21" s="347">
        <f>+E22</f>
        <v>60138750</v>
      </c>
      <c r="J21" s="346"/>
      <c r="K21" s="347">
        <f>+H22</f>
        <v>59348750</v>
      </c>
      <c r="L21" s="347">
        <f>+K22</f>
        <v>59348750</v>
      </c>
      <c r="M21" s="347">
        <f>+I22</f>
        <v>59348750</v>
      </c>
      <c r="N21" s="346"/>
      <c r="O21" s="348"/>
      <c r="P21" s="475"/>
      <c r="Q21" s="347">
        <f>+L22</f>
        <v>59348750</v>
      </c>
      <c r="R21" s="347">
        <f>+Q22</f>
        <v>59348750</v>
      </c>
      <c r="S21" s="347">
        <f>+M22</f>
        <v>59348750</v>
      </c>
      <c r="T21" s="346"/>
      <c r="U21" s="347">
        <f>+Q22</f>
        <v>59348750</v>
      </c>
      <c r="V21" s="347">
        <f>+R22</f>
        <v>59348750</v>
      </c>
      <c r="W21" s="347">
        <f>+S22</f>
        <v>59348750</v>
      </c>
      <c r="X21" s="346"/>
      <c r="Y21" s="348"/>
      <c r="Z21" s="475"/>
      <c r="AA21" s="110"/>
    </row>
    <row r="22" spans="1:28">
      <c r="B22" t="s">
        <v>97</v>
      </c>
      <c r="C22" s="350"/>
      <c r="D22" s="350">
        <f>ROUND(+D14*$B16,2)</f>
        <v>60138750</v>
      </c>
      <c r="E22" s="350">
        <f>ROUND(+E14*$B16,2)</f>
        <v>60138750</v>
      </c>
      <c r="F22" s="346"/>
      <c r="G22" s="350">
        <f>ROUND(+G14*$B16,2)</f>
        <v>59348750</v>
      </c>
      <c r="H22" s="350">
        <f>ROUND(+H14*$B16,2)</f>
        <v>59348750</v>
      </c>
      <c r="I22" s="350">
        <f>ROUND(+I14*$B16,2)</f>
        <v>59348750</v>
      </c>
      <c r="J22" s="346"/>
      <c r="K22" s="350">
        <f>ROUND(+K14*$B16,2)</f>
        <v>59348750</v>
      </c>
      <c r="L22" s="350">
        <f>ROUND(+L14*$B16,2)</f>
        <v>59348750</v>
      </c>
      <c r="M22" s="350">
        <f>ROUND(+M14*$B16,2)</f>
        <v>59348750</v>
      </c>
      <c r="N22" s="346"/>
      <c r="O22" s="476"/>
      <c r="P22" s="475"/>
      <c r="Q22" s="350">
        <f>ROUND(+Q14*$B16,2)</f>
        <v>59348750</v>
      </c>
      <c r="R22" s="350">
        <f>ROUND(+R14*$B16,2)</f>
        <v>59348750</v>
      </c>
      <c r="S22" s="350">
        <f>ROUND(+S14*$B16,2)</f>
        <v>59348750</v>
      </c>
      <c r="T22" s="346"/>
      <c r="U22" s="350">
        <f>ROUND(+U14*$B16,2)</f>
        <v>59348750</v>
      </c>
      <c r="V22" s="350">
        <f>ROUND(+V14*$B16,2)</f>
        <v>59348750</v>
      </c>
      <c r="W22" s="350">
        <f>ROUND(+W14*$B16,2)</f>
        <v>59348750</v>
      </c>
      <c r="X22" s="346"/>
      <c r="Y22" s="476"/>
      <c r="Z22" s="475"/>
      <c r="AA22" s="110"/>
    </row>
    <row r="23" spans="1:28">
      <c r="B23" t="s">
        <v>100</v>
      </c>
      <c r="C23" s="353"/>
      <c r="D23" s="353">
        <f>IF($A$11&lt;=C18,0,-D21+D22)</f>
        <v>7274715</v>
      </c>
      <c r="E23" s="353">
        <f>SUM(C23:D23)</f>
        <v>7274715</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7274715</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7274715</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t="e">
        <f>IF(+#REF!+O23-AA23=0,0,"OUT OF BALANCE")</f>
        <v>#REF!</v>
      </c>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6.2712500000000004E-2</v>
      </c>
      <c r="F30" s="225"/>
      <c r="G30" s="358">
        <f>+D30</f>
        <v>6.2712500000000004E-2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7.32125E-2</v>
      </c>
      <c r="F32" s="225"/>
      <c r="G32" s="497">
        <f>SUM(G30:G31)</f>
        <v>7.32125E-2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36621</v>
      </c>
      <c r="F34" s="225"/>
      <c r="G34" s="365">
        <f>+D35</f>
        <v>36654</v>
      </c>
      <c r="H34" s="365">
        <f>+G35</f>
        <v>36654</v>
      </c>
      <c r="J34" s="225"/>
      <c r="K34" s="365">
        <f>+H35</f>
        <v>36654</v>
      </c>
      <c r="L34" s="365">
        <f>+K35</f>
        <v>36654</v>
      </c>
      <c r="N34" s="225"/>
      <c r="O34" s="472"/>
      <c r="P34" s="479"/>
      <c r="Q34" s="365">
        <f>+L35</f>
        <v>36654</v>
      </c>
      <c r="R34" s="365">
        <f>+Q35</f>
        <v>36654</v>
      </c>
      <c r="T34" s="225"/>
      <c r="U34" s="365">
        <f>+R35</f>
        <v>36654</v>
      </c>
      <c r="V34" s="365">
        <f>+U35</f>
        <v>36654</v>
      </c>
      <c r="X34" s="225"/>
      <c r="Y34" s="472"/>
      <c r="Z34" s="479"/>
    </row>
    <row r="35" spans="1:27">
      <c r="A35" t="s">
        <v>253</v>
      </c>
      <c r="D35" s="451">
        <f>+D6</f>
        <v>36654</v>
      </c>
      <c r="F35" s="225"/>
      <c r="G35" s="451">
        <f>+G6</f>
        <v>36654</v>
      </c>
      <c r="H35" s="451">
        <f>+H6</f>
        <v>36654</v>
      </c>
      <c r="J35" s="225"/>
      <c r="K35" s="451">
        <f>+K6</f>
        <v>36654</v>
      </c>
      <c r="L35" s="451">
        <f>+L6</f>
        <v>36654</v>
      </c>
      <c r="N35" s="225"/>
      <c r="O35" s="472"/>
      <c r="P35" s="479"/>
      <c r="Q35" s="451">
        <f>+Q6</f>
        <v>36654</v>
      </c>
      <c r="R35" s="451">
        <f>+R6</f>
        <v>36654</v>
      </c>
      <c r="T35" s="225"/>
      <c r="U35" s="451">
        <f>+U6</f>
        <v>36654</v>
      </c>
      <c r="V35" s="451">
        <f>+V6</f>
        <v>36654</v>
      </c>
      <c r="X35" s="225"/>
      <c r="Y35" s="472"/>
      <c r="Z35" s="479"/>
    </row>
    <row r="36" spans="1:27">
      <c r="A36" t="s">
        <v>254</v>
      </c>
      <c r="D36" s="517">
        <f>+D35-D34-2</f>
        <v>31</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-328711.09999999998</v>
      </c>
      <c r="E37" s="353">
        <f>SUM(C37:D37)</f>
        <v>-328711.09999999998</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-328711.09999999998</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-328711.09999999998</v>
      </c>
    </row>
    <row r="38" spans="1:27">
      <c r="D38" s="53"/>
      <c r="F38" s="225"/>
      <c r="G38" s="53"/>
      <c r="H38" s="53"/>
      <c r="J38" s="225"/>
      <c r="K38" s="53"/>
      <c r="L38" s="53"/>
      <c r="N38" s="225"/>
      <c r="O38" s="472"/>
      <c r="P38" s="479"/>
      <c r="Q38" s="53"/>
      <c r="R38" s="53"/>
      <c r="T38" s="225"/>
      <c r="U38" s="53"/>
      <c r="V38" s="53"/>
      <c r="X38" s="225"/>
      <c r="Y38" s="472"/>
      <c r="Z38" s="479"/>
    </row>
    <row r="39" spans="1:27" ht="13.8" thickBot="1">
      <c r="A39" t="s">
        <v>258</v>
      </c>
      <c r="D39" s="261">
        <f>+D23+D27+D37</f>
        <v>6946003.9000000004</v>
      </c>
      <c r="E39" s="261">
        <f>+E23+E27+E37</f>
        <v>6946003.9000000004</v>
      </c>
      <c r="F39" s="225"/>
      <c r="G39" s="261">
        <f>+G23+G27+G37</f>
        <v>0</v>
      </c>
      <c r="H39" s="261">
        <f>+H23+H27+H37</f>
        <v>0</v>
      </c>
      <c r="I39" s="261">
        <f>+I23+I27+I37</f>
        <v>0</v>
      </c>
      <c r="J39" s="225"/>
      <c r="K39" s="261">
        <f>+K23+K27+K37</f>
        <v>0</v>
      </c>
      <c r="L39" s="261">
        <f>+L23+L27+L37</f>
        <v>0</v>
      </c>
      <c r="M39" s="261">
        <f>+M23+M27+M37</f>
        <v>0</v>
      </c>
      <c r="N39" s="225"/>
      <c r="O39" s="261">
        <f>+O23+O27+O37</f>
        <v>6946003.9000000004</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6946003.9000000004</v>
      </c>
    </row>
    <row r="40" spans="1:27" ht="13.8" thickTop="1">
      <c r="F40" s="225"/>
      <c r="J40" s="225"/>
      <c r="N40" s="225"/>
      <c r="O40" s="472"/>
      <c r="P40" s="479"/>
      <c r="T40" s="225"/>
      <c r="X40" s="225"/>
      <c r="Y40" s="472"/>
      <c r="Z40" s="479"/>
    </row>
    <row r="42" spans="1:27">
      <c r="B42">
        <v>790000</v>
      </c>
    </row>
    <row r="43" spans="1:27">
      <c r="B43">
        <v>460000</v>
      </c>
    </row>
    <row r="44" spans="1:27">
      <c r="B44">
        <v>511200</v>
      </c>
    </row>
    <row r="45" spans="1:27">
      <c r="B45">
        <f>SUM(B42:B44)</f>
        <v>1761200</v>
      </c>
    </row>
    <row r="46" spans="1:27">
      <c r="B46">
        <v>0.03</v>
      </c>
    </row>
    <row r="47" spans="1:27">
      <c r="B47">
        <f>+B45*B46</f>
        <v>52836</v>
      </c>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pageSetUpPr fitToPage="1"/>
  </sheetPr>
  <dimension ref="A2:X46"/>
  <sheetViews>
    <sheetView zoomScaleNormal="100" workbookViewId="0">
      <selection activeCell="I14" sqref="I14"/>
    </sheetView>
  </sheetViews>
  <sheetFormatPr defaultRowHeight="13.2"/>
  <cols>
    <col min="1" max="1" width="12.5546875" customWidth="1"/>
    <col min="2" max="2" width="13.88671875" customWidth="1"/>
    <col min="3" max="3" width="14" bestFit="1" customWidth="1"/>
    <col min="4" max="4" width="1.44140625" customWidth="1"/>
    <col min="5" max="5" width="14.33203125" customWidth="1"/>
    <col min="6" max="6" width="13.88671875" bestFit="1" customWidth="1"/>
    <col min="7" max="7" width="15.44140625" customWidth="1"/>
    <col min="8" max="8" width="1.44140625" customWidth="1"/>
    <col min="9" max="9" width="14.5546875" customWidth="1"/>
    <col min="10" max="10" width="13.88671875" customWidth="1"/>
    <col min="11" max="11" width="15.44140625" bestFit="1" customWidth="1"/>
    <col min="12" max="12" width="1.44140625" customWidth="1"/>
    <col min="13" max="14" width="15.44140625" customWidth="1"/>
    <col min="15" max="15" width="15.44140625" bestFit="1" customWidth="1"/>
    <col min="16" max="16" width="1.44140625" customWidth="1"/>
    <col min="17" max="18" width="15.44140625" customWidth="1"/>
    <col min="19" max="19" width="13.88671875" bestFit="1" customWidth="1"/>
    <col min="20" max="20" width="1.44140625" customWidth="1"/>
    <col min="21" max="21" width="13.88671875" customWidth="1"/>
    <col min="22" max="22" width="1.44140625" customWidth="1"/>
    <col min="23" max="23" width="14.88671875" customWidth="1"/>
    <col min="24" max="24" width="11.88671875" bestFit="1" customWidth="1"/>
  </cols>
  <sheetData>
    <row r="2" spans="1:23">
      <c r="A2" t="s">
        <v>341</v>
      </c>
      <c r="C2" s="57">
        <f>+$A$11</f>
        <v>36707</v>
      </c>
      <c r="E2" s="57">
        <f>+$A$11</f>
        <v>36707</v>
      </c>
      <c r="F2" s="57">
        <f>+$A$11</f>
        <v>36707</v>
      </c>
      <c r="I2" s="57">
        <f>+$A$11</f>
        <v>36707</v>
      </c>
      <c r="J2" s="57">
        <f>+$A$11</f>
        <v>36707</v>
      </c>
      <c r="M2" s="57">
        <f>+$A$11</f>
        <v>36707</v>
      </c>
      <c r="N2" s="57">
        <f>+$A$11</f>
        <v>36707</v>
      </c>
      <c r="Q2" s="57">
        <f>+$A$11</f>
        <v>36707</v>
      </c>
      <c r="R2" s="57">
        <f>+$A$11</f>
        <v>36707</v>
      </c>
    </row>
    <row r="3" spans="1:23">
      <c r="A3" t="s">
        <v>175</v>
      </c>
      <c r="C3" s="57">
        <f>+$F$10</f>
        <v>36878</v>
      </c>
      <c r="E3" s="57">
        <f>+$F$10</f>
        <v>36878</v>
      </c>
      <c r="F3" s="57">
        <f>+$F$10</f>
        <v>36878</v>
      </c>
      <c r="I3" s="57">
        <f>+$F$10</f>
        <v>36878</v>
      </c>
      <c r="J3" s="57">
        <f>+$F$10</f>
        <v>36878</v>
      </c>
      <c r="M3" s="57">
        <f>+$F$10</f>
        <v>36878</v>
      </c>
      <c r="N3" s="57">
        <f>+$F$10</f>
        <v>36878</v>
      </c>
      <c r="Q3" s="57">
        <f>+$F$10</f>
        <v>36878</v>
      </c>
      <c r="R3" s="57">
        <f>+$F$10</f>
        <v>36878</v>
      </c>
    </row>
    <row r="4" spans="1:23">
      <c r="A4" t="s">
        <v>342</v>
      </c>
      <c r="C4" s="57">
        <f>+C$18</f>
        <v>36601</v>
      </c>
      <c r="E4" s="57">
        <f>IF(+E$18&lt;1,C4,E$18)</f>
        <v>36601</v>
      </c>
      <c r="F4" s="57">
        <f>IF(+F$18&lt;1,E4,F$18)</f>
        <v>36695</v>
      </c>
      <c r="I4" s="57">
        <f>IF(+I$18&lt;1,F4,I$18)</f>
        <v>36695</v>
      </c>
      <c r="J4" s="57">
        <f>IF(+J$18&lt;1,I4,J$18)</f>
        <v>36786</v>
      </c>
      <c r="M4" s="57">
        <f>IF(+M$18&lt;1,J4,M$18)</f>
        <v>36786</v>
      </c>
      <c r="N4" s="57">
        <f>IF(+N$18&lt;1,M4,N$18)</f>
        <v>36878</v>
      </c>
      <c r="Q4" s="57">
        <f>IF(+Q$18&lt;1,N4,Q$18)</f>
        <v>36845</v>
      </c>
      <c r="R4" s="57">
        <f>IF(+R$18&lt;1,Q4,R$18)</f>
        <v>36845</v>
      </c>
    </row>
    <row r="5" spans="1:23">
      <c r="A5" t="s">
        <v>343</v>
      </c>
      <c r="C5" s="57">
        <f>+C$13</f>
        <v>36525</v>
      </c>
      <c r="E5" s="57">
        <f>+E$13</f>
        <v>36616</v>
      </c>
      <c r="F5" s="57">
        <f>+F$13</f>
        <v>36616</v>
      </c>
      <c r="I5" s="57">
        <f>+I$13</f>
        <v>36707</v>
      </c>
      <c r="J5" s="57">
        <f>+J$13</f>
        <v>36707</v>
      </c>
      <c r="M5" s="57">
        <f>+M$13</f>
        <v>36799</v>
      </c>
      <c r="N5" s="57">
        <f>+N$13</f>
        <v>36799</v>
      </c>
      <c r="Q5" s="57">
        <f>+Q$13</f>
        <v>36891</v>
      </c>
      <c r="R5" s="57">
        <f>+R$13</f>
        <v>36891</v>
      </c>
    </row>
    <row r="6" spans="1:23">
      <c r="A6" s="455" t="s">
        <v>344</v>
      </c>
      <c r="B6" s="245"/>
      <c r="C6" s="456">
        <f>MIN(C2:C5)</f>
        <v>36525</v>
      </c>
      <c r="D6" s="245"/>
      <c r="E6" s="456">
        <f>MIN(E2:E5)</f>
        <v>36601</v>
      </c>
      <c r="F6" s="456">
        <f>MIN(F2:F5)</f>
        <v>36616</v>
      </c>
      <c r="G6" s="245"/>
      <c r="H6" s="245"/>
      <c r="I6" s="456">
        <f>MIN(I2:I5)</f>
        <v>36695</v>
      </c>
      <c r="J6" s="456">
        <f>MIN(J2:J5)</f>
        <v>36707</v>
      </c>
      <c r="K6" s="245"/>
      <c r="L6" s="245"/>
      <c r="M6" s="456">
        <f>MIN(M2:M5)</f>
        <v>36707</v>
      </c>
      <c r="N6" s="456">
        <f>MIN(N2:N5)</f>
        <v>36707</v>
      </c>
      <c r="O6" s="245"/>
      <c r="P6" s="245"/>
      <c r="Q6" s="456">
        <f>MIN(Q2:Q5)</f>
        <v>36707</v>
      </c>
      <c r="R6" s="457">
        <f>MIN(R2:R5)</f>
        <v>36707</v>
      </c>
    </row>
    <row r="7" spans="1:23">
      <c r="F7" s="458"/>
    </row>
    <row r="8" spans="1:23">
      <c r="A8" s="453" t="s">
        <v>470</v>
      </c>
      <c r="F8" s="458"/>
    </row>
    <row r="9" spans="1:23">
      <c r="A9" s="200" t="s">
        <v>345</v>
      </c>
      <c r="E9" s="259" t="s">
        <v>174</v>
      </c>
      <c r="F9" s="338">
        <v>36510</v>
      </c>
    </row>
    <row r="10" spans="1:23" ht="13.8" thickBot="1">
      <c r="A10" s="200" t="s">
        <v>346</v>
      </c>
      <c r="C10" s="459">
        <v>1304771</v>
      </c>
      <c r="E10" s="259" t="s">
        <v>175</v>
      </c>
      <c r="F10" s="338">
        <v>36878</v>
      </c>
    </row>
    <row r="11" spans="1:23">
      <c r="A11" s="460">
        <f>+Input!B16</f>
        <v>36707</v>
      </c>
      <c r="C11" s="11"/>
      <c r="D11" s="461"/>
      <c r="E11" s="11"/>
      <c r="F11" s="11"/>
      <c r="G11" s="3" t="s">
        <v>21</v>
      </c>
      <c r="H11" s="462"/>
      <c r="I11" s="3"/>
      <c r="J11" s="3"/>
      <c r="K11" s="3" t="s">
        <v>21</v>
      </c>
      <c r="L11" s="462"/>
      <c r="M11" s="3"/>
      <c r="N11" s="3"/>
      <c r="O11" s="3" t="s">
        <v>21</v>
      </c>
      <c r="P11" s="462"/>
      <c r="Q11" s="3"/>
      <c r="R11" s="3"/>
      <c r="S11" s="3" t="s">
        <v>21</v>
      </c>
      <c r="T11" s="462"/>
      <c r="V11" s="461"/>
    </row>
    <row r="12" spans="1:23">
      <c r="C12" s="10" t="s">
        <v>152</v>
      </c>
      <c r="D12" s="463"/>
      <c r="E12" s="3" t="s">
        <v>152</v>
      </c>
      <c r="F12" s="3" t="s">
        <v>152</v>
      </c>
      <c r="G12" s="3" t="s">
        <v>152</v>
      </c>
      <c r="H12" s="462"/>
      <c r="I12" s="3" t="s">
        <v>152</v>
      </c>
      <c r="J12" s="3" t="s">
        <v>152</v>
      </c>
      <c r="K12" s="3" t="s">
        <v>152</v>
      </c>
      <c r="L12" s="462"/>
      <c r="M12" s="3" t="s">
        <v>152</v>
      </c>
      <c r="N12" s="3" t="s">
        <v>152</v>
      </c>
      <c r="O12" s="3" t="s">
        <v>152</v>
      </c>
      <c r="P12" s="462"/>
      <c r="Q12" s="3" t="s">
        <v>152</v>
      </c>
      <c r="R12" s="3" t="s">
        <v>152</v>
      </c>
      <c r="S12" s="3" t="s">
        <v>152</v>
      </c>
      <c r="T12" s="462"/>
      <c r="U12" s="3"/>
      <c r="V12" s="463"/>
    </row>
    <row r="13" spans="1:23">
      <c r="A13" s="5" t="s">
        <v>0</v>
      </c>
      <c r="B13" s="5"/>
      <c r="C13" s="117">
        <v>36525</v>
      </c>
      <c r="D13" s="464"/>
      <c r="E13" s="117">
        <v>36616</v>
      </c>
      <c r="F13" s="117">
        <v>36616</v>
      </c>
      <c r="G13" s="117">
        <v>36616</v>
      </c>
      <c r="H13" s="465"/>
      <c r="I13" s="117">
        <v>36707</v>
      </c>
      <c r="J13" s="117">
        <v>36707</v>
      </c>
      <c r="K13" s="117">
        <v>36707</v>
      </c>
      <c r="L13" s="465"/>
      <c r="M13" s="117">
        <v>36799</v>
      </c>
      <c r="N13" s="117">
        <v>36799</v>
      </c>
      <c r="O13" s="117">
        <v>36799</v>
      </c>
      <c r="P13" s="465"/>
      <c r="Q13" s="117">
        <v>36891</v>
      </c>
      <c r="R13" s="117">
        <v>36891</v>
      </c>
      <c r="S13" s="117">
        <v>36891</v>
      </c>
      <c r="T13" s="465"/>
      <c r="U13" s="195" t="s">
        <v>244</v>
      </c>
      <c r="V13" s="464"/>
      <c r="W13" s="195" t="s">
        <v>11</v>
      </c>
    </row>
    <row r="14" spans="1:23">
      <c r="B14" t="s">
        <v>102</v>
      </c>
      <c r="C14" s="466">
        <f>LOOKUP(C6,Input!$A$20:$A$827,Input!$B$20:$B$827)</f>
        <v>44.375</v>
      </c>
      <c r="D14" s="467"/>
      <c r="E14" s="466">
        <f>LOOKUP(E6,Input!$A$20:$A$827,Input!$B$20:$B$827)</f>
        <v>69.4375</v>
      </c>
      <c r="F14" s="466">
        <f>LOOKUP(F6,Input!$A$20:$A$827,Input!$B$20:$B$827)</f>
        <v>74.875</v>
      </c>
      <c r="G14" s="466">
        <f>+F14</f>
        <v>74.875</v>
      </c>
      <c r="H14" s="222"/>
      <c r="I14" s="466">
        <f>LOOKUP(I6,Input!$A$20:$A$827,Input!$B$20:$B$827)</f>
        <v>0</v>
      </c>
      <c r="J14" s="466">
        <f>LOOKUP(J6,Input!$A$20:$A$827,Input!$B$20:$B$827)</f>
        <v>64.5</v>
      </c>
      <c r="K14" s="466">
        <f>+J14</f>
        <v>64.5</v>
      </c>
      <c r="L14" s="222"/>
      <c r="M14" s="466">
        <f>LOOKUP(M6,Input!$A$20:$A$827,Input!$B$20:$B$827)</f>
        <v>64.5</v>
      </c>
      <c r="N14" s="466">
        <f>LOOKUP(N6,Input!$A$20:$A$827,Input!$B$20:$B$827)</f>
        <v>64.5</v>
      </c>
      <c r="O14" s="466">
        <f>+N14</f>
        <v>64.5</v>
      </c>
      <c r="P14" s="222"/>
      <c r="Q14" s="466">
        <f>LOOKUP(Q6,Input!$A$20:$A$827,Input!$B$20:$B$827)</f>
        <v>64.5</v>
      </c>
      <c r="R14" s="466">
        <f>LOOKUP(R6,Input!$A$20:$A$827,Input!$B$20:$B$827)</f>
        <v>64.5</v>
      </c>
      <c r="S14" s="466">
        <f>+R14</f>
        <v>64.5</v>
      </c>
      <c r="T14" s="222"/>
      <c r="U14" s="53"/>
      <c r="V14" s="467"/>
    </row>
    <row r="15" spans="1:23">
      <c r="B15" s="208"/>
      <c r="C15" s="341"/>
      <c r="D15" s="467"/>
      <c r="E15" s="341"/>
      <c r="F15" s="341"/>
      <c r="G15" s="199"/>
      <c r="H15" s="222"/>
      <c r="I15" s="199"/>
      <c r="J15" s="199"/>
      <c r="K15" s="199"/>
      <c r="L15" s="222"/>
      <c r="M15" s="199"/>
      <c r="N15" s="199"/>
      <c r="O15" s="199"/>
      <c r="P15" s="222"/>
      <c r="Q15" s="199"/>
      <c r="R15" s="199"/>
      <c r="S15" s="199"/>
      <c r="T15" s="222"/>
      <c r="U15" s="53"/>
      <c r="V15" s="467"/>
    </row>
    <row r="16" spans="1:23">
      <c r="A16" s="208" t="s">
        <v>245</v>
      </c>
      <c r="B16" s="135">
        <v>280000</v>
      </c>
      <c r="C16" s="342"/>
      <c r="D16" s="468"/>
      <c r="E16" s="342"/>
      <c r="F16" s="342"/>
      <c r="G16" s="203"/>
      <c r="H16" s="469"/>
      <c r="I16" s="203"/>
      <c r="J16" s="203"/>
      <c r="K16" s="215"/>
      <c r="L16" s="469"/>
      <c r="M16" s="215"/>
      <c r="N16" s="215"/>
      <c r="O16" s="215"/>
      <c r="P16" s="469"/>
      <c r="Q16" s="215"/>
      <c r="R16" s="215"/>
      <c r="S16" s="204"/>
      <c r="T16" s="469"/>
      <c r="U16" s="53"/>
      <c r="V16" s="468"/>
    </row>
    <row r="17" spans="1:24">
      <c r="A17" t="s">
        <v>103</v>
      </c>
      <c r="B17" s="343">
        <v>36.912799999999997</v>
      </c>
      <c r="C17" s="342"/>
      <c r="D17" s="468"/>
      <c r="E17" s="342"/>
      <c r="F17" s="342"/>
      <c r="G17" s="203"/>
      <c r="H17" s="469"/>
      <c r="I17" s="203"/>
      <c r="J17" s="203"/>
      <c r="K17" s="215"/>
      <c r="L17" s="469"/>
      <c r="M17" s="215"/>
      <c r="N17" s="215"/>
      <c r="O17" s="215"/>
      <c r="P17" s="469"/>
      <c r="Q17" s="215"/>
      <c r="R17" s="215"/>
      <c r="T17" s="469"/>
      <c r="U17" s="53"/>
      <c r="V17" s="468"/>
    </row>
    <row r="18" spans="1:24">
      <c r="A18" t="s">
        <v>347</v>
      </c>
      <c r="B18" s="343"/>
      <c r="C18" s="141">
        <v>36601</v>
      </c>
      <c r="D18" s="468"/>
      <c r="E18" s="141">
        <v>36601</v>
      </c>
      <c r="F18" s="141">
        <v>36695</v>
      </c>
      <c r="G18" s="141"/>
      <c r="H18" s="469"/>
      <c r="I18" s="141">
        <v>36695</v>
      </c>
      <c r="J18" s="141">
        <v>36786</v>
      </c>
      <c r="K18" s="141"/>
      <c r="L18" s="469"/>
      <c r="M18" s="141">
        <v>36786</v>
      </c>
      <c r="N18" s="141">
        <v>36878</v>
      </c>
      <c r="O18" s="141"/>
      <c r="P18" s="469"/>
      <c r="Q18" s="141">
        <v>36845</v>
      </c>
      <c r="R18" s="141"/>
      <c r="S18" s="141"/>
      <c r="T18" s="469"/>
      <c r="U18" s="53"/>
      <c r="V18" s="468"/>
    </row>
    <row r="19" spans="1:24" ht="13.8" thickBot="1">
      <c r="B19" s="136"/>
      <c r="C19" s="342"/>
      <c r="D19" s="470"/>
      <c r="E19" s="342"/>
      <c r="F19" s="342"/>
      <c r="G19" s="11"/>
      <c r="H19" s="469"/>
      <c r="I19" s="11"/>
      <c r="J19" s="11"/>
      <c r="K19" s="215"/>
      <c r="L19" s="469"/>
      <c r="M19" s="215"/>
      <c r="N19" s="215"/>
      <c r="O19" s="215"/>
      <c r="P19" s="469"/>
      <c r="Q19" s="215"/>
      <c r="R19" s="215"/>
      <c r="T19" s="469"/>
      <c r="U19" s="53"/>
      <c r="V19" s="468"/>
    </row>
    <row r="20" spans="1:24" ht="13.8" thickBot="1">
      <c r="A20" s="200" t="s">
        <v>246</v>
      </c>
      <c r="C20" s="344"/>
      <c r="D20" s="224"/>
      <c r="E20" s="344"/>
      <c r="F20" s="344"/>
      <c r="G20" s="188"/>
      <c r="H20" s="224"/>
      <c r="I20" s="188"/>
      <c r="J20" s="188"/>
      <c r="K20" s="471"/>
      <c r="L20" s="224"/>
      <c r="M20" s="471"/>
      <c r="N20" s="471"/>
      <c r="O20" s="471"/>
      <c r="P20" s="224"/>
      <c r="Q20" s="471"/>
      <c r="R20" s="471"/>
      <c r="S20" s="471"/>
      <c r="T20" s="224"/>
      <c r="U20" s="472"/>
      <c r="V20" s="473"/>
    </row>
    <row r="21" spans="1:24">
      <c r="B21" t="s">
        <v>96</v>
      </c>
      <c r="C21" s="345">
        <f>ROUND(+B16*$B17,2)</f>
        <v>10335584</v>
      </c>
      <c r="D21" s="474"/>
      <c r="E21" s="347">
        <f>+C22</f>
        <v>12425000</v>
      </c>
      <c r="F21" s="347">
        <f>+E22</f>
        <v>19442500</v>
      </c>
      <c r="G21" s="347">
        <f>+E21</f>
        <v>12425000</v>
      </c>
      <c r="H21" s="346"/>
      <c r="I21" s="347">
        <f>+F22</f>
        <v>20965000</v>
      </c>
      <c r="J21" s="347">
        <f>+I22</f>
        <v>0</v>
      </c>
      <c r="K21" s="347">
        <f>+G22</f>
        <v>20965000</v>
      </c>
      <c r="L21" s="346"/>
      <c r="M21" s="347">
        <f>+J22</f>
        <v>18060000</v>
      </c>
      <c r="N21" s="347">
        <f>+M22</f>
        <v>18060000</v>
      </c>
      <c r="O21" s="347">
        <f>+K22</f>
        <v>18060000</v>
      </c>
      <c r="P21" s="346"/>
      <c r="Q21" s="347">
        <f>+N22</f>
        <v>18060000</v>
      </c>
      <c r="R21" s="347">
        <f>+Q22</f>
        <v>18060000</v>
      </c>
      <c r="S21" s="347">
        <f>+O22</f>
        <v>18060000</v>
      </c>
      <c r="T21" s="346"/>
      <c r="U21" s="348"/>
      <c r="V21" s="475"/>
      <c r="W21" s="110"/>
    </row>
    <row r="22" spans="1:24">
      <c r="B22" t="s">
        <v>97</v>
      </c>
      <c r="C22" s="345">
        <f>ROUND(+C14*$B16,2)</f>
        <v>12425000</v>
      </c>
      <c r="D22" s="475"/>
      <c r="E22" s="350">
        <f>ROUND(+E14*$B16,2)</f>
        <v>19442500</v>
      </c>
      <c r="F22" s="350">
        <f>ROUND(+F14*$B16,2)</f>
        <v>20965000</v>
      </c>
      <c r="G22" s="350">
        <f>+F22</f>
        <v>20965000</v>
      </c>
      <c r="H22" s="346"/>
      <c r="I22" s="350">
        <f>ROUND(+I14*$B16,2)</f>
        <v>0</v>
      </c>
      <c r="J22" s="350">
        <f>ROUND(+J14*$B16,2)</f>
        <v>18060000</v>
      </c>
      <c r="K22" s="350">
        <f>ROUND(+K14*$B16,2)</f>
        <v>18060000</v>
      </c>
      <c r="L22" s="346"/>
      <c r="M22" s="350">
        <f>ROUND(+M14*$B16,2)</f>
        <v>18060000</v>
      </c>
      <c r="N22" s="350">
        <f>ROUND(+N14*$B16,2)</f>
        <v>18060000</v>
      </c>
      <c r="O22" s="350">
        <f>ROUND(+O14*$B16,2)</f>
        <v>18060000</v>
      </c>
      <c r="P22" s="346"/>
      <c r="Q22" s="350">
        <f>ROUND(+Q14*$B16,2)</f>
        <v>18060000</v>
      </c>
      <c r="R22" s="350">
        <f>ROUND(+R14*$B16,2)</f>
        <v>18060000</v>
      </c>
      <c r="S22" s="350">
        <f>ROUND(+S14*$B16,2)</f>
        <v>18060000</v>
      </c>
      <c r="T22" s="346"/>
      <c r="U22" s="476"/>
      <c r="V22" s="475"/>
      <c r="W22" s="110"/>
    </row>
    <row r="23" spans="1:24">
      <c r="B23" t="s">
        <v>100</v>
      </c>
      <c r="C23" s="353">
        <f>-C21+C22</f>
        <v>2089416</v>
      </c>
      <c r="D23" s="477"/>
      <c r="E23" s="353">
        <f>IF($A$11&lt;=C13,0,-E21+E22)</f>
        <v>7017500</v>
      </c>
      <c r="F23" s="353">
        <f>IF($A$11&lt;=E18,0,-F21+F22)</f>
        <v>1522500</v>
      </c>
      <c r="G23" s="353">
        <f>SUM(E23:F23)</f>
        <v>8540000</v>
      </c>
      <c r="H23" s="478"/>
      <c r="I23" s="353">
        <f>IF($A$11&lt;=F13,0,-I21+I22)</f>
        <v>-20965000</v>
      </c>
      <c r="J23" s="353">
        <f>IF($A$11&lt;=I18,0,-J21+J22)</f>
        <v>18060000</v>
      </c>
      <c r="K23" s="353">
        <f>IF($A$11&lt;=G13,0,-K21+K22)</f>
        <v>-2905000</v>
      </c>
      <c r="L23" s="478"/>
      <c r="M23" s="353">
        <f>IF($A$11&lt;=J13,0,-M21+M22)</f>
        <v>0</v>
      </c>
      <c r="N23" s="353">
        <f>IF($A$11&lt;=M18,0,-N21+N22)</f>
        <v>0</v>
      </c>
      <c r="O23" s="353">
        <f>IF($A$11&lt;=K13,0,-O21+O22)</f>
        <v>0</v>
      </c>
      <c r="P23" s="478"/>
      <c r="Q23" s="353">
        <f>IF($A$11&lt;=N13,0,-Q21+Q22)</f>
        <v>0</v>
      </c>
      <c r="R23" s="353">
        <f>IF($A$11&lt;=Q18,0,-R21+R22)</f>
        <v>0</v>
      </c>
      <c r="S23" s="353">
        <f>IF($A$11&lt;=O13,0,-S21+S22)</f>
        <v>0</v>
      </c>
      <c r="T23" s="478"/>
      <c r="U23" s="353">
        <f>+G23+K23+O23+S23</f>
        <v>5635000</v>
      </c>
      <c r="V23" s="477"/>
      <c r="W23" s="353">
        <f>+C23+U23</f>
        <v>7724416</v>
      </c>
      <c r="X23" s="354" t="str">
        <f>IF(SUM(G23:S23)-U23=0,0,"OUT OF BALANCE")</f>
        <v>OUT OF BALANCE</v>
      </c>
    </row>
    <row r="24" spans="1:24">
      <c r="C24" s="191"/>
      <c r="D24" s="479"/>
      <c r="E24" s="191"/>
      <c r="F24" s="191"/>
      <c r="G24" s="188"/>
      <c r="H24" s="225"/>
      <c r="I24" s="191"/>
      <c r="J24" s="191"/>
      <c r="K24" s="471"/>
      <c r="L24" s="225"/>
      <c r="M24" s="471"/>
      <c r="N24" s="471"/>
      <c r="O24" s="471"/>
      <c r="P24" s="225"/>
      <c r="Q24" s="471"/>
      <c r="R24" s="471"/>
      <c r="S24" s="471"/>
      <c r="T24" s="225"/>
      <c r="U24" s="472"/>
      <c r="V24" s="479"/>
      <c r="X24" s="354">
        <f>IF(+C23+U23-W23=0,0,"OUT OF BALANCE")</f>
        <v>0</v>
      </c>
    </row>
    <row r="25" spans="1:24">
      <c r="A25" s="200" t="s">
        <v>247</v>
      </c>
      <c r="C25" s="191"/>
      <c r="D25" s="479"/>
      <c r="E25" s="191"/>
      <c r="F25" s="191"/>
      <c r="G25" s="188"/>
      <c r="H25" s="225"/>
      <c r="I25" s="191"/>
      <c r="J25" s="191"/>
      <c r="K25" s="471"/>
      <c r="L25" s="225"/>
      <c r="M25" s="191"/>
      <c r="N25" s="191"/>
      <c r="O25" s="471"/>
      <c r="P25" s="225"/>
      <c r="Q25" s="471"/>
      <c r="R25" s="471"/>
      <c r="S25" s="471"/>
      <c r="T25" s="225"/>
      <c r="U25" s="472"/>
      <c r="V25" s="479"/>
    </row>
    <row r="26" spans="1:24">
      <c r="A26" t="s">
        <v>248</v>
      </c>
      <c r="C26" s="480">
        <v>0.125</v>
      </c>
      <c r="D26" s="479"/>
      <c r="E26" s="480">
        <f>+$C$26</f>
        <v>0.125</v>
      </c>
      <c r="F26" s="480">
        <f>+$C$26</f>
        <v>0.125</v>
      </c>
      <c r="G26" s="480"/>
      <c r="H26" s="225"/>
      <c r="I26" s="480">
        <f>+$C$26</f>
        <v>0.125</v>
      </c>
      <c r="J26" s="480">
        <f>+$C$26</f>
        <v>0.125</v>
      </c>
      <c r="K26" s="480"/>
      <c r="L26" s="225"/>
      <c r="M26" s="480">
        <f>+$C$26</f>
        <v>0.125</v>
      </c>
      <c r="N26" s="480">
        <f>+$C$26</f>
        <v>0.125</v>
      </c>
      <c r="O26" s="480"/>
      <c r="P26" s="225"/>
      <c r="Q26" s="480">
        <f>+$C$26</f>
        <v>0.125</v>
      </c>
      <c r="R26" s="480">
        <f>+$C$26</f>
        <v>0.125</v>
      </c>
      <c r="S26" s="480"/>
      <c r="T26" s="225"/>
      <c r="U26" s="472"/>
      <c r="V26" s="479"/>
    </row>
    <row r="27" spans="1:24">
      <c r="A27" s="208" t="s">
        <v>51</v>
      </c>
      <c r="C27" s="356">
        <v>8.0000000000000002E-3</v>
      </c>
      <c r="D27" s="481"/>
      <c r="E27" s="356">
        <v>8.0000000000000002E-3</v>
      </c>
      <c r="F27" s="356">
        <v>8.0000000000000002E-3</v>
      </c>
      <c r="G27" s="356"/>
      <c r="H27" s="357"/>
      <c r="I27" s="356">
        <v>8.0000000000000002E-3</v>
      </c>
      <c r="J27" s="356">
        <v>8.0000000000000002E-3</v>
      </c>
      <c r="K27" s="356"/>
      <c r="L27" s="357"/>
      <c r="M27" s="356">
        <v>8.0000000000000002E-3</v>
      </c>
      <c r="N27" s="356">
        <v>8.0000000000000002E-3</v>
      </c>
      <c r="O27" s="356"/>
      <c r="P27" s="357"/>
      <c r="Q27" s="356">
        <v>8.0000000000000002E-3</v>
      </c>
      <c r="R27" s="356">
        <v>8.0000000000000002E-3</v>
      </c>
      <c r="S27" s="356"/>
      <c r="T27" s="357"/>
      <c r="U27" s="472"/>
      <c r="V27" s="481"/>
    </row>
    <row r="28" spans="1:24">
      <c r="A28" t="s">
        <v>249</v>
      </c>
      <c r="C28" s="358">
        <f>(+C26*$B$16*C37/C21)</f>
        <v>1.3409982445113889E-2</v>
      </c>
      <c r="D28" s="482"/>
      <c r="E28" s="358">
        <f>(+E26*$B$16*E37/C21)</f>
        <v>1.3409982445113889E-2</v>
      </c>
      <c r="F28" s="358">
        <f>(+F26*$B$16*F37/F21)</f>
        <v>6.8946894689468951E-3</v>
      </c>
      <c r="G28" s="358"/>
      <c r="H28" s="359"/>
      <c r="I28" s="358">
        <f>(+I26*$B$16*I37/F21)</f>
        <v>6.8946894689468951E-3</v>
      </c>
      <c r="J28" s="358" t="e">
        <f>(+J26*$B$16*J37/J21)</f>
        <v>#DIV/0!</v>
      </c>
      <c r="K28" s="358"/>
      <c r="L28" s="359"/>
      <c r="M28" s="358" t="e">
        <f>(+M26*$B$16*M37/J21)</f>
        <v>#DIV/0!</v>
      </c>
      <c r="N28" s="358">
        <f>(+N26*$B$16*N37/N21)</f>
        <v>4.0891472868217057E-3</v>
      </c>
      <c r="O28" s="358"/>
      <c r="P28" s="359"/>
      <c r="Q28" s="358">
        <f>(+Q26*$B$16*Q37/N21)</f>
        <v>4.0891472868217057E-3</v>
      </c>
      <c r="R28" s="358">
        <f>(+R26*$B$16*R37/R21)</f>
        <v>-1.9379844961240311E-5</v>
      </c>
      <c r="S28" s="358"/>
      <c r="T28" s="359"/>
      <c r="U28" s="472"/>
      <c r="V28" s="482"/>
    </row>
    <row r="29" spans="1:24">
      <c r="A29" t="s">
        <v>250</v>
      </c>
      <c r="C29" s="483">
        <v>6.1400000000000003E-2</v>
      </c>
      <c r="D29" s="482"/>
      <c r="E29" s="358">
        <f>+C29</f>
        <v>6.1400000000000003E-2</v>
      </c>
      <c r="F29" s="483">
        <v>6.0900000000000003E-2</v>
      </c>
      <c r="G29" s="360"/>
      <c r="H29" s="359"/>
      <c r="I29" s="358">
        <f>+F29</f>
        <v>6.0900000000000003E-2</v>
      </c>
      <c r="J29" s="483">
        <v>5.7500000000000002E-2</v>
      </c>
      <c r="K29" s="360"/>
      <c r="L29" s="359"/>
      <c r="M29" s="358">
        <f>+J29</f>
        <v>5.7500000000000002E-2</v>
      </c>
      <c r="N29" s="483">
        <v>5.6250000000000001E-2</v>
      </c>
      <c r="O29" s="360"/>
      <c r="P29" s="359"/>
      <c r="Q29" s="358">
        <f>+N29</f>
        <v>5.6250000000000001E-2</v>
      </c>
      <c r="R29" s="483">
        <v>0</v>
      </c>
      <c r="S29" s="360"/>
      <c r="T29" s="359"/>
      <c r="U29" s="472"/>
      <c r="V29" s="482"/>
    </row>
    <row r="30" spans="1:24">
      <c r="A30" t="s">
        <v>251</v>
      </c>
      <c r="C30" s="361">
        <v>360</v>
      </c>
      <c r="D30" s="484"/>
      <c r="E30" s="363">
        <v>360</v>
      </c>
      <c r="F30" s="363">
        <v>360</v>
      </c>
      <c r="G30" s="363"/>
      <c r="H30" s="362"/>
      <c r="I30" s="363">
        <v>360</v>
      </c>
      <c r="J30" s="363">
        <v>360</v>
      </c>
      <c r="K30" s="363"/>
      <c r="L30" s="362"/>
      <c r="M30" s="363">
        <v>360</v>
      </c>
      <c r="N30" s="363">
        <v>360</v>
      </c>
      <c r="O30" s="363"/>
      <c r="P30" s="362"/>
      <c r="Q30" s="363">
        <v>360</v>
      </c>
      <c r="R30" s="363">
        <v>360</v>
      </c>
      <c r="S30" s="363"/>
      <c r="T30" s="362"/>
      <c r="U30" s="472"/>
      <c r="V30" s="484"/>
    </row>
    <row r="31" spans="1:24">
      <c r="A31" t="s">
        <v>348</v>
      </c>
      <c r="C31" s="451">
        <f>+F9</f>
        <v>36510</v>
      </c>
      <c r="D31" s="485"/>
      <c r="E31" s="365">
        <f>+C32</f>
        <v>36525</v>
      </c>
      <c r="F31" s="365">
        <f>+E32</f>
        <v>36601</v>
      </c>
      <c r="G31" s="365"/>
      <c r="H31" s="364"/>
      <c r="I31" s="365">
        <f>+F32</f>
        <v>36616</v>
      </c>
      <c r="J31" s="365">
        <f>+I32</f>
        <v>36695</v>
      </c>
      <c r="K31" s="365"/>
      <c r="L31" s="364"/>
      <c r="M31" s="365">
        <f>+J32</f>
        <v>36707</v>
      </c>
      <c r="N31" s="365">
        <f>+M32</f>
        <v>36707</v>
      </c>
      <c r="O31" s="365"/>
      <c r="P31" s="364"/>
      <c r="Q31" s="365">
        <f>+N32</f>
        <v>36707</v>
      </c>
      <c r="R31" s="365">
        <f>+Q32</f>
        <v>36707</v>
      </c>
      <c r="S31" s="365"/>
      <c r="T31" s="364"/>
      <c r="U31" s="472"/>
      <c r="V31" s="485"/>
    </row>
    <row r="32" spans="1:24">
      <c r="A32" t="s">
        <v>349</v>
      </c>
      <c r="C32" s="451">
        <f>+C6</f>
        <v>36525</v>
      </c>
      <c r="D32" s="485"/>
      <c r="E32" s="451">
        <f>+E6</f>
        <v>36601</v>
      </c>
      <c r="F32" s="451">
        <f>+F6</f>
        <v>36616</v>
      </c>
      <c r="G32" s="451"/>
      <c r="H32" s="364"/>
      <c r="I32" s="451">
        <f>+I6</f>
        <v>36695</v>
      </c>
      <c r="J32" s="451">
        <f>+J6</f>
        <v>36707</v>
      </c>
      <c r="K32" s="451"/>
      <c r="L32" s="364"/>
      <c r="M32" s="451">
        <f>+M6</f>
        <v>36707</v>
      </c>
      <c r="N32" s="451">
        <f>+N6</f>
        <v>36707</v>
      </c>
      <c r="O32" s="451"/>
      <c r="P32" s="364"/>
      <c r="Q32" s="451">
        <f>+Q6</f>
        <v>36707</v>
      </c>
      <c r="R32" s="451">
        <f>+R6</f>
        <v>36707</v>
      </c>
      <c r="S32" s="451"/>
      <c r="T32" s="364"/>
      <c r="U32" s="472"/>
      <c r="V32" s="485"/>
    </row>
    <row r="33" spans="1:23">
      <c r="A33" t="s">
        <v>350</v>
      </c>
      <c r="C33" s="367">
        <f>+C32-C31</f>
        <v>15</v>
      </c>
      <c r="D33" s="486"/>
      <c r="E33" s="369">
        <f>+E32-E31</f>
        <v>76</v>
      </c>
      <c r="F33" s="369">
        <f>+F32-F31</f>
        <v>15</v>
      </c>
      <c r="G33" s="369"/>
      <c r="H33" s="368"/>
      <c r="I33" s="369">
        <f>+I32-I31</f>
        <v>79</v>
      </c>
      <c r="J33" s="369">
        <f>+J32-J31</f>
        <v>12</v>
      </c>
      <c r="K33" s="369"/>
      <c r="L33" s="368"/>
      <c r="M33" s="369">
        <f>+M32-M31</f>
        <v>0</v>
      </c>
      <c r="N33" s="369">
        <f>+N32-N31</f>
        <v>0</v>
      </c>
      <c r="O33" s="369"/>
      <c r="P33" s="368"/>
      <c r="Q33" s="369">
        <f>+Q32-Q31</f>
        <v>0</v>
      </c>
      <c r="R33" s="369">
        <f>+R32-R31</f>
        <v>0</v>
      </c>
      <c r="S33" s="369"/>
      <c r="T33" s="368"/>
      <c r="U33" s="472"/>
      <c r="V33" s="486"/>
    </row>
    <row r="34" spans="1:23">
      <c r="A34" t="s">
        <v>351</v>
      </c>
      <c r="C34" s="451">
        <f>+C31</f>
        <v>36510</v>
      </c>
      <c r="D34" s="486"/>
      <c r="E34" s="451">
        <f>+C34</f>
        <v>36510</v>
      </c>
      <c r="F34" s="451">
        <f>+F31</f>
        <v>36601</v>
      </c>
      <c r="G34" s="451"/>
      <c r="H34" s="368"/>
      <c r="I34" s="451">
        <f>+F34</f>
        <v>36601</v>
      </c>
      <c r="J34" s="451">
        <f>+J31</f>
        <v>36695</v>
      </c>
      <c r="K34" s="369"/>
      <c r="L34" s="368"/>
      <c r="M34" s="451">
        <f>+J34</f>
        <v>36695</v>
      </c>
      <c r="N34" s="451">
        <f>+N31</f>
        <v>36707</v>
      </c>
      <c r="O34" s="369"/>
      <c r="P34" s="368"/>
      <c r="Q34" s="451">
        <f>+N34</f>
        <v>36707</v>
      </c>
      <c r="R34" s="451">
        <f>+R31</f>
        <v>36707</v>
      </c>
      <c r="S34" s="369"/>
      <c r="T34" s="368"/>
      <c r="U34" s="472"/>
      <c r="V34" s="486"/>
    </row>
    <row r="35" spans="1:23">
      <c r="A35" t="s">
        <v>352</v>
      </c>
      <c r="C35" s="451">
        <f>+C18</f>
        <v>36601</v>
      </c>
      <c r="D35" s="486"/>
      <c r="E35" s="451">
        <f>+C35</f>
        <v>36601</v>
      </c>
      <c r="F35" s="451">
        <f>IF(F32&lt;=F18,+F18,+G18)</f>
        <v>36695</v>
      </c>
      <c r="G35" s="451"/>
      <c r="H35" s="368"/>
      <c r="I35" s="451">
        <f>+F35</f>
        <v>36695</v>
      </c>
      <c r="J35" s="451">
        <f>IF(J32&lt;=J18,+J18,+K18)</f>
        <v>36786</v>
      </c>
      <c r="K35" s="451"/>
      <c r="L35" s="368"/>
      <c r="M35" s="451">
        <f>+J35</f>
        <v>36786</v>
      </c>
      <c r="N35" s="451">
        <f>IF(N32&lt;=N18,+N18,+O18)</f>
        <v>36878</v>
      </c>
      <c r="O35" s="451"/>
      <c r="P35" s="368"/>
      <c r="Q35" s="451">
        <f>+N35</f>
        <v>36878</v>
      </c>
      <c r="R35" s="451">
        <f>IF(R32&lt;=R18,+R18,+S18)</f>
        <v>0</v>
      </c>
      <c r="S35" s="451"/>
      <c r="T35" s="368"/>
      <c r="U35" s="472"/>
      <c r="V35" s="486"/>
    </row>
    <row r="36" spans="1:23">
      <c r="A36" t="s">
        <v>353</v>
      </c>
      <c r="C36" s="367">
        <f>+C35-C34</f>
        <v>91</v>
      </c>
      <c r="D36" s="486"/>
      <c r="E36" s="367">
        <f>+E35-E34</f>
        <v>91</v>
      </c>
      <c r="F36" s="367">
        <f>+F35-F34</f>
        <v>94</v>
      </c>
      <c r="G36" s="367"/>
      <c r="H36" s="368"/>
      <c r="I36" s="367">
        <f>+I35-I34</f>
        <v>94</v>
      </c>
      <c r="J36" s="367">
        <f>+J35-J34</f>
        <v>91</v>
      </c>
      <c r="K36" s="367"/>
      <c r="L36" s="368"/>
      <c r="M36" s="367">
        <f>+M35-M34</f>
        <v>91</v>
      </c>
      <c r="N36" s="367">
        <f>+N35-N34</f>
        <v>171</v>
      </c>
      <c r="O36" s="367"/>
      <c r="P36" s="368"/>
      <c r="Q36" s="367">
        <f>+Q35-Q34</f>
        <v>171</v>
      </c>
      <c r="R36" s="367">
        <f>+R35-R34</f>
        <v>-36707</v>
      </c>
      <c r="S36" s="367"/>
      <c r="T36" s="368"/>
      <c r="U36" s="472"/>
      <c r="V36" s="486"/>
    </row>
    <row r="37" spans="1:23">
      <c r="A37" t="s">
        <v>255</v>
      </c>
      <c r="C37" s="370">
        <f>ROUND(IF(C36=0,0,1/(+C36/C30)),2)</f>
        <v>3.96</v>
      </c>
      <c r="D37" s="486"/>
      <c r="E37" s="370">
        <f>ROUND(IF(E36=0,0,1/(+E36/E30)),2)</f>
        <v>3.96</v>
      </c>
      <c r="F37" s="370">
        <f>ROUND(IF(F36=0,0,1/(+F36/F30)),2)</f>
        <v>3.83</v>
      </c>
      <c r="G37" s="370"/>
      <c r="H37" s="368"/>
      <c r="I37" s="370">
        <f>ROUND(IF(I36=0,0,1/(+I36/I30)),2)</f>
        <v>3.83</v>
      </c>
      <c r="J37" s="370">
        <f>ROUND(IF(J36=0,0,1/(+J36/J30)),2)</f>
        <v>3.96</v>
      </c>
      <c r="K37" s="370"/>
      <c r="L37" s="368"/>
      <c r="M37" s="370">
        <f>ROUND(IF(M36=0,0,1/(+M36/M30)),2)</f>
        <v>3.96</v>
      </c>
      <c r="N37" s="370">
        <f>ROUND(IF(N36=0,0,1/(+N36/N30)),2)</f>
        <v>2.11</v>
      </c>
      <c r="O37" s="370"/>
      <c r="P37" s="368"/>
      <c r="Q37" s="370">
        <f>ROUND(IF(Q36=0,0,1/(+Q36/Q30)),2)</f>
        <v>2.11</v>
      </c>
      <c r="R37" s="370">
        <f>ROUND(IF(R36=0,0,1/(+R36/R30)),2)</f>
        <v>-0.01</v>
      </c>
      <c r="S37" s="370"/>
      <c r="T37" s="368"/>
      <c r="U37" s="472"/>
      <c r="V37" s="486"/>
    </row>
    <row r="38" spans="1:23">
      <c r="A38" t="s">
        <v>256</v>
      </c>
      <c r="C38" s="487">
        <f>+C27-C28+C29</f>
        <v>5.5990017554886112E-2</v>
      </c>
      <c r="D38" s="486"/>
      <c r="E38" s="487">
        <f>+E27-E28+E29</f>
        <v>5.5990017554886112E-2</v>
      </c>
      <c r="F38" s="487">
        <f>+F27-F28+F29</f>
        <v>6.2005310531053105E-2</v>
      </c>
      <c r="G38" s="487"/>
      <c r="H38" s="368"/>
      <c r="I38" s="487">
        <f>+I27-I28+I29</f>
        <v>6.2005310531053105E-2</v>
      </c>
      <c r="J38" s="487" t="e">
        <f>+J27-J28+J29</f>
        <v>#DIV/0!</v>
      </c>
      <c r="K38" s="487"/>
      <c r="L38" s="368"/>
      <c r="M38" s="487" t="e">
        <f>+M27-M28+M29</f>
        <v>#DIV/0!</v>
      </c>
      <c r="N38" s="487">
        <f>+N27-N28+N29</f>
        <v>6.0160852713178295E-2</v>
      </c>
      <c r="O38" s="487"/>
      <c r="P38" s="368"/>
      <c r="Q38" s="487">
        <f>+Q27-Q28+Q29</f>
        <v>6.0160852713178295E-2</v>
      </c>
      <c r="R38" s="487">
        <f>+R27-R28+R29</f>
        <v>8.01937984496124E-3</v>
      </c>
      <c r="S38" s="487"/>
      <c r="T38" s="368"/>
      <c r="U38" s="472"/>
      <c r="V38" s="486"/>
      <c r="W38" s="369"/>
    </row>
    <row r="39" spans="1:23">
      <c r="A39" t="s">
        <v>257</v>
      </c>
      <c r="C39" s="488">
        <f>IF(C6&lt;C32,0,ROUND(-C21*C38*C33/C30,2))</f>
        <v>-24112.06</v>
      </c>
      <c r="D39" s="477"/>
      <c r="E39" s="488">
        <f>IF(E6&lt;E32,0,ROUND(-C21*E38*E33/E30,2))</f>
        <v>-122167.79</v>
      </c>
      <c r="F39" s="488">
        <f>IF(F6&lt;F32,0,ROUND(-F21*F38*F33/F30,2))</f>
        <v>-50230.76</v>
      </c>
      <c r="G39" s="488">
        <f>SUM(E39:F39)</f>
        <v>-172398.55</v>
      </c>
      <c r="H39" s="478"/>
      <c r="I39" s="488">
        <f>IF(I6&lt;I32,0,ROUND(-F21*I38*I33/I30,2))</f>
        <v>-264548.67</v>
      </c>
      <c r="J39" s="488" t="e">
        <f>IF(J6&lt;J32,0,ROUND(-J21*J38*J33/J30,2))</f>
        <v>#DIV/0!</v>
      </c>
      <c r="K39" s="488" t="e">
        <f>SUM(I39:J39)</f>
        <v>#DIV/0!</v>
      </c>
      <c r="L39" s="478"/>
      <c r="M39" s="488" t="e">
        <f>IF(M6&lt;M32,0,ROUND(-J21*M38*M33/M30,2))</f>
        <v>#DIV/0!</v>
      </c>
      <c r="N39" s="488">
        <f>IF(N6&lt;N32,0,ROUND(-N21*N38*N33/N30,2))</f>
        <v>0</v>
      </c>
      <c r="O39" s="488" t="e">
        <f>SUM(M39:N39)</f>
        <v>#DIV/0!</v>
      </c>
      <c r="P39" s="478"/>
      <c r="Q39" s="488">
        <f>IF(Q6&lt;Q32,0,ROUND(-N21*Q38*Q33/Q30,2))</f>
        <v>0</v>
      </c>
      <c r="R39" s="488">
        <f>IF(R6&lt;R32,0,ROUND(-R21*R38*R33/R30,2))</f>
        <v>0</v>
      </c>
      <c r="S39" s="488">
        <f>SUM(Q39:R39)</f>
        <v>0</v>
      </c>
      <c r="T39" s="478"/>
      <c r="U39" s="353" t="e">
        <f>+G39+K39+O39+S39</f>
        <v>#DIV/0!</v>
      </c>
      <c r="V39" s="477"/>
      <c r="W39" s="488" t="e">
        <f>+C39+U39</f>
        <v>#DIV/0!</v>
      </c>
    </row>
    <row r="40" spans="1:23">
      <c r="C40" s="53"/>
      <c r="D40" s="489"/>
      <c r="E40" s="53"/>
      <c r="F40" s="53"/>
      <c r="H40" s="214"/>
      <c r="I40" s="53"/>
      <c r="J40" s="53"/>
      <c r="L40" s="214"/>
      <c r="M40" s="53"/>
      <c r="N40" s="53"/>
      <c r="P40" s="214"/>
      <c r="Q40" s="53"/>
      <c r="R40" s="53"/>
      <c r="T40" s="214"/>
      <c r="U40" s="53"/>
      <c r="V40" s="489"/>
    </row>
    <row r="41" spans="1:23" ht="13.8" thickBot="1">
      <c r="A41" t="s">
        <v>258</v>
      </c>
      <c r="C41" s="261">
        <f>+C23+C39</f>
        <v>2065303.94</v>
      </c>
      <c r="D41" s="489"/>
      <c r="E41" s="261">
        <f>+E23+E39</f>
        <v>6895332.21</v>
      </c>
      <c r="F41" s="261">
        <f>+F23+F39</f>
        <v>1472269.24</v>
      </c>
      <c r="G41" s="261">
        <f>+G23+G39</f>
        <v>8367601.4500000002</v>
      </c>
      <c r="H41" s="214"/>
      <c r="I41" s="261">
        <f>+I23+I39</f>
        <v>-21229548.670000002</v>
      </c>
      <c r="J41" s="261" t="e">
        <f>+J23+J39</f>
        <v>#DIV/0!</v>
      </c>
      <c r="K41" s="261" t="e">
        <f>+K23+K39</f>
        <v>#DIV/0!</v>
      </c>
      <c r="L41" s="214"/>
      <c r="M41" s="261" t="e">
        <f>+M23+M39</f>
        <v>#DIV/0!</v>
      </c>
      <c r="N41" s="261">
        <f>+N23+N39</f>
        <v>0</v>
      </c>
      <c r="O41" s="261" t="e">
        <f>+O23+O39</f>
        <v>#DIV/0!</v>
      </c>
      <c r="P41" s="214"/>
      <c r="Q41" s="261">
        <f>+Q23+Q39</f>
        <v>0</v>
      </c>
      <c r="R41" s="261">
        <f>+R23+R39</f>
        <v>0</v>
      </c>
      <c r="S41" s="261">
        <f>+S23+S39</f>
        <v>0</v>
      </c>
      <c r="T41" s="214"/>
      <c r="U41" s="261" t="e">
        <f>+U23+U39</f>
        <v>#DIV/0!</v>
      </c>
      <c r="V41" s="489"/>
      <c r="W41" s="261" t="e">
        <f>+W23+W39</f>
        <v>#DIV/0!</v>
      </c>
    </row>
    <row r="42" spans="1:23" ht="13.8" thickTop="1">
      <c r="D42" s="489"/>
      <c r="H42" s="214"/>
      <c r="L42" s="214"/>
      <c r="P42" s="214"/>
      <c r="T42" s="214"/>
      <c r="V42" s="489"/>
    </row>
    <row r="43" spans="1:23">
      <c r="A43" t="s">
        <v>354</v>
      </c>
      <c r="D43" s="489"/>
      <c r="E43" s="490">
        <f>+C41+E41</f>
        <v>8960636.1500000004</v>
      </c>
      <c r="H43" s="214"/>
      <c r="I43" s="490">
        <f>+F41+I41</f>
        <v>-19757279.430000003</v>
      </c>
      <c r="L43" s="214"/>
      <c r="M43" s="490" t="e">
        <f>+J41+M41</f>
        <v>#DIV/0!</v>
      </c>
      <c r="P43" s="214"/>
      <c r="Q43" s="490">
        <f>+N41+Q41</f>
        <v>0</v>
      </c>
      <c r="T43" s="214"/>
      <c r="V43" s="489"/>
    </row>
    <row r="44" spans="1:23">
      <c r="A44" t="s">
        <v>355</v>
      </c>
      <c r="D44" s="489"/>
      <c r="E44" s="491">
        <v>0</v>
      </c>
      <c r="H44" s="214"/>
      <c r="I44" s="491">
        <v>0</v>
      </c>
      <c r="L44" s="214"/>
      <c r="M44" s="491">
        <v>0</v>
      </c>
      <c r="P44" s="214"/>
      <c r="Q44" s="491">
        <v>0</v>
      </c>
      <c r="T44" s="214"/>
      <c r="V44" s="489"/>
    </row>
    <row r="45" spans="1:23" ht="13.8" thickBot="1">
      <c r="A45" t="s">
        <v>356</v>
      </c>
      <c r="D45" s="492"/>
      <c r="E45" s="261">
        <f>+E43-E44</f>
        <v>8960636.1500000004</v>
      </c>
      <c r="H45" s="214"/>
      <c r="I45" s="493">
        <f>+I43-I44</f>
        <v>-19757279.430000003</v>
      </c>
      <c r="L45" s="214"/>
      <c r="M45" s="261" t="e">
        <f>+M43-M44</f>
        <v>#DIV/0!</v>
      </c>
      <c r="P45" s="214"/>
      <c r="Q45" s="261">
        <f>+Q43-Q44</f>
        <v>0</v>
      </c>
      <c r="T45" s="214"/>
      <c r="V45" s="492"/>
    </row>
    <row r="46" spans="1:23">
      <c r="I46" s="112"/>
    </row>
  </sheetData>
  <pageMargins left="0.75" right="0.75" top="1" bottom="0.75" header="0.5" footer="0.25"/>
  <pageSetup paperSize="5" scale="60" orientation="landscape" cellComments="asDisplayed" horizontalDpi="0" r:id="rId1"/>
  <headerFooter alignWithMargins="0">
    <oddFooter>&amp;L&amp;F  &amp;A&amp;R&amp;D  &amp;T</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L33"/>
  <sheetViews>
    <sheetView workbookViewId="0"/>
  </sheetViews>
  <sheetFormatPr defaultRowHeight="13.2"/>
  <cols>
    <col min="1" max="2" width="12.5546875" customWidth="1"/>
    <col min="3" max="3" width="14" customWidth="1"/>
    <col min="4" max="4" width="1.6640625" customWidth="1"/>
    <col min="5" max="9" width="13.88671875" customWidth="1"/>
    <col min="10" max="10" width="1" customWidth="1"/>
    <col min="11" max="11" width="14.88671875" customWidth="1"/>
    <col min="12" max="12" width="11.88671875" customWidth="1"/>
  </cols>
  <sheetData>
    <row r="1" spans="1:12">
      <c r="E1" s="451">
        <f>IF($F$4&lt;=$A$5,$F$4,IF($A$5&lt;E7,$A$5,E7))</f>
        <v>36579</v>
      </c>
      <c r="F1" s="451">
        <f>IF($F$4&lt;=$A$5,$F$4,IF($A$5&lt;F7,$A$5,F7))</f>
        <v>36579</v>
      </c>
      <c r="G1" s="451">
        <f>IF($F$4&lt;=$A$5,$F$4,IF($A$5&lt;G7,$A$5,G7))</f>
        <v>36579</v>
      </c>
      <c r="H1" s="451">
        <f>IF($F$4&lt;=$A$5,$F$4,IF($A$5&lt;H7,$A$5,H7))</f>
        <v>36579</v>
      </c>
    </row>
    <row r="3" spans="1:12">
      <c r="A3" s="200" t="s">
        <v>259</v>
      </c>
      <c r="E3" s="259"/>
      <c r="F3" s="338"/>
    </row>
    <row r="4" spans="1:12">
      <c r="A4" s="200" t="s">
        <v>336</v>
      </c>
      <c r="E4" s="259" t="s">
        <v>243</v>
      </c>
      <c r="F4" s="338">
        <v>36579</v>
      </c>
    </row>
    <row r="5" spans="1:12">
      <c r="A5" s="339">
        <f>+'JEDI MTM'!A18</f>
        <v>36707</v>
      </c>
      <c r="C5" s="11"/>
      <c r="D5" s="11"/>
      <c r="E5" s="11"/>
      <c r="F5" s="11"/>
      <c r="G5" s="11"/>
    </row>
    <row r="6" spans="1:12">
      <c r="C6" s="10" t="s">
        <v>152</v>
      </c>
      <c r="D6" s="340"/>
      <c r="E6" s="3" t="s">
        <v>152</v>
      </c>
      <c r="F6" s="3" t="s">
        <v>152</v>
      </c>
      <c r="G6" s="3" t="s">
        <v>152</v>
      </c>
      <c r="H6" s="3" t="s">
        <v>152</v>
      </c>
      <c r="I6" s="3"/>
      <c r="J6" s="340"/>
    </row>
    <row r="7" spans="1:12">
      <c r="A7" s="5" t="s">
        <v>0</v>
      </c>
      <c r="B7" s="5"/>
      <c r="C7" s="373">
        <f>+'[3]1303665'!C7</f>
        <v>36525</v>
      </c>
      <c r="D7" s="221"/>
      <c r="E7" s="374">
        <v>36616</v>
      </c>
      <c r="F7" s="373">
        <v>36707</v>
      </c>
      <c r="G7" s="373">
        <v>36799</v>
      </c>
      <c r="H7" s="373">
        <v>36891</v>
      </c>
      <c r="I7" s="195" t="s">
        <v>244</v>
      </c>
      <c r="J7" s="231"/>
      <c r="K7" s="195" t="s">
        <v>11</v>
      </c>
    </row>
    <row r="8" spans="1:12">
      <c r="B8" t="s">
        <v>102</v>
      </c>
      <c r="C8" s="376">
        <f>+'JEDI MTM'!J21</f>
        <v>44.375</v>
      </c>
      <c r="D8" s="222"/>
      <c r="E8" s="452">
        <f>LOOKUP(E1,Input!$A$20:$A$827,Input!$B$20:$B$827)</f>
        <v>65.4375</v>
      </c>
      <c r="F8" s="452">
        <f>LOOKUP(F1,Input!$A$20:$A$827,Input!$B$20:$B$827)</f>
        <v>65.4375</v>
      </c>
      <c r="G8" s="452">
        <f>LOOKUP(G1,Input!$A$20:$A$827,Input!$B$20:$B$827)</f>
        <v>65.4375</v>
      </c>
      <c r="H8" s="452">
        <f>LOOKUP(H1,Input!$A$20:$A$827,Input!$B$20:$B$827)</f>
        <v>65.4375</v>
      </c>
      <c r="I8" s="53"/>
      <c r="J8" s="214"/>
    </row>
    <row r="9" spans="1:12">
      <c r="B9" s="208"/>
      <c r="C9" s="341"/>
      <c r="D9" s="222"/>
      <c r="E9" s="199"/>
      <c r="F9" s="199"/>
      <c r="G9" s="199"/>
      <c r="H9" s="199"/>
      <c r="I9" s="53"/>
      <c r="J9" s="214"/>
    </row>
    <row r="10" spans="1:12">
      <c r="A10" s="208" t="s">
        <v>245</v>
      </c>
      <c r="B10" s="135">
        <v>15000</v>
      </c>
      <c r="C10" s="342"/>
      <c r="D10" s="223"/>
      <c r="E10" s="203"/>
      <c r="F10" s="215"/>
      <c r="G10" s="215"/>
      <c r="H10" s="204"/>
      <c r="I10" s="53"/>
      <c r="J10" s="214"/>
    </row>
    <row r="11" spans="1:12">
      <c r="A11" t="s">
        <v>103</v>
      </c>
      <c r="B11" s="343">
        <v>55.9375</v>
      </c>
      <c r="C11" s="342"/>
      <c r="D11" s="223"/>
      <c r="E11" s="203"/>
      <c r="F11" s="215"/>
      <c r="G11" s="215"/>
      <c r="I11" s="53"/>
      <c r="J11" s="214"/>
    </row>
    <row r="12" spans="1:12">
      <c r="B12" s="136"/>
      <c r="C12" s="342"/>
      <c r="D12" s="223"/>
      <c r="E12" s="11"/>
      <c r="F12" s="215"/>
      <c r="G12" s="215"/>
      <c r="I12" s="53"/>
      <c r="J12" s="214"/>
    </row>
    <row r="13" spans="1:12">
      <c r="A13" s="200" t="s">
        <v>246</v>
      </c>
      <c r="C13" s="344"/>
      <c r="D13" s="224"/>
      <c r="E13" s="188"/>
      <c r="F13" s="8"/>
      <c r="G13" s="8"/>
      <c r="H13" s="8"/>
      <c r="I13" s="116"/>
      <c r="J13" s="232"/>
    </row>
    <row r="14" spans="1:12">
      <c r="B14" t="s">
        <v>96</v>
      </c>
      <c r="C14" s="348"/>
      <c r="D14" s="346"/>
      <c r="E14" s="348">
        <f>ROUND(+B10*$B11,2)</f>
        <v>839062.5</v>
      </c>
      <c r="F14" s="347">
        <f>+E15</f>
        <v>981562.5</v>
      </c>
      <c r="G14" s="347">
        <f>+F15</f>
        <v>981562.5</v>
      </c>
      <c r="H14" s="347">
        <f>+G15</f>
        <v>981562.5</v>
      </c>
      <c r="I14" s="348"/>
      <c r="J14" s="349"/>
      <c r="K14" s="56"/>
    </row>
    <row r="15" spans="1:12">
      <c r="B15" t="s">
        <v>97</v>
      </c>
      <c r="C15" s="348"/>
      <c r="D15" s="346"/>
      <c r="E15" s="350">
        <f>ROUND(+E8*$B10,2)</f>
        <v>981562.5</v>
      </c>
      <c r="F15" s="350">
        <f>ROUND(+F8*$B10,2)</f>
        <v>981562.5</v>
      </c>
      <c r="G15" s="350">
        <f>ROUND(+G8*$B10,2)</f>
        <v>981562.5</v>
      </c>
      <c r="H15" s="350">
        <f>ROUND(+H8*$B10,2)</f>
        <v>981562.5</v>
      </c>
      <c r="I15" s="351"/>
      <c r="J15" s="352"/>
      <c r="K15" s="56"/>
    </row>
    <row r="16" spans="1:12">
      <c r="B16" t="s">
        <v>100</v>
      </c>
      <c r="C16" s="348"/>
      <c r="D16" s="352"/>
      <c r="E16" s="353">
        <f>IF($A$5&lt;=C7,0,-E14+E15)</f>
        <v>142500</v>
      </c>
      <c r="F16" s="353">
        <f>IF($A$5&lt;=E7,0,-F14+F15)</f>
        <v>0</v>
      </c>
      <c r="G16" s="353">
        <f>IF($A$5&lt;=F7,0,-G14+G15)</f>
        <v>0</v>
      </c>
      <c r="H16" s="353">
        <f>IF($A$5&lt;=G7,0,-H14+H15)</f>
        <v>0</v>
      </c>
      <c r="I16" s="353">
        <f>SUM(E16:H16)</f>
        <v>142500</v>
      </c>
      <c r="J16" s="352"/>
      <c r="K16" s="353">
        <f>+C16+I16</f>
        <v>142500</v>
      </c>
      <c r="L16" s="354">
        <f>IF(SUM(E16:H16)-I16=0,0,"OUT OF BALANCE")</f>
        <v>0</v>
      </c>
    </row>
    <row r="17" spans="1:12">
      <c r="C17" s="348"/>
      <c r="D17" s="225"/>
      <c r="E17" s="188"/>
      <c r="F17" s="8"/>
      <c r="G17" s="8"/>
      <c r="H17" s="8"/>
      <c r="I17" s="116"/>
      <c r="J17" s="232"/>
      <c r="L17" s="354">
        <f>IF(+C16+I16-K16=0,0,"OUT OF BALANCE")</f>
        <v>0</v>
      </c>
    </row>
    <row r="18" spans="1:12">
      <c r="A18" s="200" t="s">
        <v>247</v>
      </c>
      <c r="C18" s="348"/>
      <c r="D18" s="225"/>
      <c r="E18" s="188"/>
      <c r="F18" s="8"/>
      <c r="G18" s="8"/>
      <c r="H18" s="8"/>
      <c r="I18" s="116"/>
      <c r="J18" s="232"/>
    </row>
    <row r="19" spans="1:12">
      <c r="A19" t="s">
        <v>248</v>
      </c>
      <c r="C19" s="348"/>
      <c r="D19" s="225"/>
      <c r="E19" s="355"/>
      <c r="F19" s="355"/>
      <c r="G19" s="355"/>
      <c r="H19" s="355"/>
      <c r="I19" s="116"/>
      <c r="J19" s="232"/>
    </row>
    <row r="20" spans="1:12">
      <c r="A20" s="208" t="s">
        <v>51</v>
      </c>
      <c r="C20" s="348"/>
      <c r="D20" s="357"/>
      <c r="E20" s="356">
        <v>6.4999999999999997E-3</v>
      </c>
      <c r="F20" s="356">
        <f>+E20</f>
        <v>6.4999999999999997E-3</v>
      </c>
      <c r="G20" s="356">
        <f>+F20</f>
        <v>6.4999999999999997E-3</v>
      </c>
      <c r="H20" s="356">
        <f>+G20</f>
        <v>6.4999999999999997E-3</v>
      </c>
      <c r="I20" s="116"/>
      <c r="J20" s="232"/>
    </row>
    <row r="21" spans="1:12">
      <c r="A21" t="s">
        <v>249</v>
      </c>
      <c r="C21" s="348"/>
      <c r="D21" s="359"/>
      <c r="E21" s="358"/>
      <c r="F21" s="358"/>
      <c r="G21" s="358"/>
      <c r="H21" s="358"/>
      <c r="I21" s="116"/>
      <c r="J21" s="214"/>
    </row>
    <row r="22" spans="1:12">
      <c r="A22" t="s">
        <v>250</v>
      </c>
      <c r="C22" s="348"/>
      <c r="D22" s="359"/>
      <c r="E22" s="360">
        <v>6.0400000000000002E-2</v>
      </c>
      <c r="F22" s="360">
        <v>6.6900000000000001E-2</v>
      </c>
      <c r="G22" s="360">
        <v>6.6900000000000001E-2</v>
      </c>
      <c r="H22" s="360">
        <v>6.6900000000000001E-2</v>
      </c>
      <c r="I22" s="116"/>
      <c r="J22" s="214"/>
    </row>
    <row r="23" spans="1:12">
      <c r="A23" t="s">
        <v>251</v>
      </c>
      <c r="C23" s="348"/>
      <c r="D23" s="362"/>
      <c r="E23" s="363">
        <v>360</v>
      </c>
      <c r="F23" s="363">
        <v>360</v>
      </c>
      <c r="G23" s="363">
        <v>360</v>
      </c>
      <c r="H23" s="363">
        <v>360</v>
      </c>
      <c r="I23" s="116"/>
      <c r="J23" s="362"/>
    </row>
    <row r="24" spans="1:12">
      <c r="A24" t="s">
        <v>252</v>
      </c>
      <c r="C24" s="348"/>
      <c r="D24" s="364"/>
      <c r="E24" s="338">
        <v>36546</v>
      </c>
      <c r="F24" s="365">
        <f>+E25</f>
        <v>36579</v>
      </c>
      <c r="G24" s="365">
        <f>+F25</f>
        <v>36579</v>
      </c>
      <c r="H24" s="365">
        <f>+G25</f>
        <v>36579</v>
      </c>
      <c r="I24" s="116"/>
      <c r="J24" s="366"/>
    </row>
    <row r="25" spans="1:12">
      <c r="A25" t="s">
        <v>253</v>
      </c>
      <c r="C25" s="348"/>
      <c r="D25" s="364"/>
      <c r="E25" s="375">
        <f>+E1</f>
        <v>36579</v>
      </c>
      <c r="F25" s="375">
        <f>+F1</f>
        <v>36579</v>
      </c>
      <c r="G25" s="375">
        <f>+G1</f>
        <v>36579</v>
      </c>
      <c r="H25" s="375">
        <f>+H1</f>
        <v>36579</v>
      </c>
      <c r="I25" s="116"/>
      <c r="J25" s="366"/>
    </row>
    <row r="26" spans="1:12">
      <c r="A26" t="s">
        <v>254</v>
      </c>
      <c r="C26" s="348"/>
      <c r="D26" s="368"/>
      <c r="E26" s="369">
        <f>+E25-E24</f>
        <v>33</v>
      </c>
      <c r="F26" s="369">
        <f>+F25-F24</f>
        <v>0</v>
      </c>
      <c r="G26" s="369">
        <f>+G25-G24</f>
        <v>0</v>
      </c>
      <c r="H26" s="369">
        <f>+H25-H24</f>
        <v>0</v>
      </c>
      <c r="I26" s="116"/>
      <c r="J26" s="368"/>
    </row>
    <row r="27" spans="1:12">
      <c r="A27" t="s">
        <v>255</v>
      </c>
      <c r="C27" s="348"/>
      <c r="D27" s="368"/>
      <c r="E27" s="370">
        <f>IF(E26=0,0,+E23/E26)</f>
        <v>10.909090909090908</v>
      </c>
      <c r="F27" s="370">
        <f>IF(F26=0,0,+F23/F26)</f>
        <v>0</v>
      </c>
      <c r="G27" s="370">
        <f>IF(G26=0,0,+G23/G26)</f>
        <v>0</v>
      </c>
      <c r="H27" s="370">
        <f>IF(H26=0,0,+H23/H26)</f>
        <v>0</v>
      </c>
      <c r="I27" s="116"/>
      <c r="J27" s="368"/>
    </row>
    <row r="28" spans="1:12">
      <c r="A28" t="s">
        <v>256</v>
      </c>
      <c r="C28" s="348"/>
      <c r="D28" s="368"/>
      <c r="E28" s="371">
        <f>+E20-E21+E22</f>
        <v>6.6900000000000001E-2</v>
      </c>
      <c r="F28" s="371">
        <f>+F20-F21+F22</f>
        <v>7.3400000000000007E-2</v>
      </c>
      <c r="G28" s="371">
        <f>+G20-G21+G22</f>
        <v>7.3400000000000007E-2</v>
      </c>
      <c r="H28" s="371">
        <f>+H20-H21+H22</f>
        <v>7.3400000000000007E-2</v>
      </c>
      <c r="I28" s="116"/>
      <c r="J28" s="368"/>
      <c r="K28" s="369"/>
    </row>
    <row r="29" spans="1:12">
      <c r="A29" t="s">
        <v>257</v>
      </c>
      <c r="C29" s="348"/>
      <c r="D29" s="352"/>
      <c r="E29" s="372">
        <f>IF($A$5&lt;E25,0,ROUND(-$E$14*E28*E26/E23,2))</f>
        <v>-5145.55</v>
      </c>
      <c r="F29" s="372">
        <f>IF($A$5&lt;F25,0,ROUND(-$E$14*F28*F26/F23,2))</f>
        <v>0</v>
      </c>
      <c r="G29" s="372">
        <f>IF($A$5&lt;G25,0,ROUND(-$E$14*G28*G26/G23,2))</f>
        <v>0</v>
      </c>
      <c r="H29" s="372">
        <f>IF($A$5&lt;H25,0,ROUND(-$E$14*H28*H26/H23,2))</f>
        <v>0</v>
      </c>
      <c r="I29" s="372">
        <f>SUM(E29:H29)</f>
        <v>-5145.55</v>
      </c>
      <c r="J29" s="352"/>
      <c r="K29" s="372">
        <f>+C29+I29</f>
        <v>-5145.55</v>
      </c>
    </row>
    <row r="30" spans="1:12">
      <c r="C30" s="348"/>
      <c r="D30" s="214"/>
      <c r="I30" s="53"/>
      <c r="J30" s="214"/>
    </row>
    <row r="31" spans="1:12" ht="13.8" thickBot="1">
      <c r="A31" t="s">
        <v>258</v>
      </c>
      <c r="C31" s="348"/>
      <c r="D31" s="214"/>
      <c r="E31" s="261">
        <f t="shared" ref="E31:K31" si="0">+E16+E29</f>
        <v>137354.45000000001</v>
      </c>
      <c r="F31" s="261">
        <f t="shared" si="0"/>
        <v>0</v>
      </c>
      <c r="G31" s="261">
        <f t="shared" si="0"/>
        <v>0</v>
      </c>
      <c r="H31" s="261">
        <f t="shared" si="0"/>
        <v>0</v>
      </c>
      <c r="I31" s="261">
        <f t="shared" si="0"/>
        <v>137354.45000000001</v>
      </c>
      <c r="J31" s="214"/>
      <c r="K31" s="261">
        <f t="shared" si="0"/>
        <v>137354.45000000001</v>
      </c>
    </row>
    <row r="32" spans="1:12" ht="13.8" thickTop="1">
      <c r="C32" s="348"/>
      <c r="K32" s="404" t="s">
        <v>337</v>
      </c>
    </row>
    <row r="33" spans="11:11">
      <c r="K33" s="406">
        <f>+K31</f>
        <v>137354.45000000001</v>
      </c>
    </row>
  </sheetData>
  <pageMargins left="0.75" right="0.75" top="1" bottom="1" header="0.5" footer="0.5"/>
  <pageSetup scale="98" orientation="landscape" horizontalDpi="0" r:id="rId1"/>
  <headerFooter alignWithMargins="0">
    <oddFooter>&amp;L&amp;F  &amp;A&amp;R&amp;D  &amp;T</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20"/>
  <sheetViews>
    <sheetView workbookViewId="0">
      <selection activeCell="A12" sqref="A12"/>
    </sheetView>
  </sheetViews>
  <sheetFormatPr defaultRowHeight="13.2"/>
  <cols>
    <col min="1" max="2" width="12.5546875" customWidth="1"/>
    <col min="3" max="3" width="14" customWidth="1"/>
    <col min="4" max="4" width="1.6640625" customWidth="1"/>
    <col min="5" max="5" width="13.88671875" customWidth="1"/>
    <col min="6" max="6" width="16.88671875" customWidth="1"/>
    <col min="7" max="9" width="13.88671875" customWidth="1"/>
    <col min="10" max="10" width="1" customWidth="1"/>
    <col min="11" max="11" width="14.88671875" customWidth="1"/>
    <col min="12" max="12" width="11.88671875" customWidth="1"/>
  </cols>
  <sheetData>
    <row r="1" spans="1:12">
      <c r="A1" s="453" t="s">
        <v>339</v>
      </c>
      <c r="E1" s="451">
        <f>IF($F$4&lt;=$A$5,$F$4,IF($A$5&lt;E7,$A$5,E7))</f>
        <v>36690</v>
      </c>
      <c r="F1" s="451">
        <f>IF($F$4&lt;=$A$5,$F$4,IF($A$5&lt;F7,$A$5,F7))</f>
        <v>36690</v>
      </c>
      <c r="G1" s="451">
        <f>IF($F$4&lt;=$A$5,$F$4,IF($A$5&lt;G7,$A$5,G7))</f>
        <v>36690</v>
      </c>
      <c r="H1" s="451">
        <f>IF($F$4&lt;=$A$5,$F$4,IF($A$5&lt;H7,$A$5,H7))</f>
        <v>36690</v>
      </c>
    </row>
    <row r="3" spans="1:12">
      <c r="A3" s="200" t="s">
        <v>259</v>
      </c>
      <c r="E3" s="259"/>
      <c r="F3" s="338"/>
    </row>
    <row r="4" spans="1:12">
      <c r="A4" s="200" t="s">
        <v>338</v>
      </c>
      <c r="E4" s="259" t="s">
        <v>243</v>
      </c>
      <c r="F4" s="338">
        <v>36690</v>
      </c>
    </row>
    <row r="5" spans="1:12">
      <c r="A5" s="339">
        <f>+'JEDI MTM'!A18</f>
        <v>36707</v>
      </c>
      <c r="C5" s="11"/>
      <c r="D5" s="11"/>
      <c r="E5" s="11"/>
      <c r="F5" s="11"/>
      <c r="G5" s="11"/>
    </row>
    <row r="6" spans="1:12">
      <c r="C6" s="10" t="s">
        <v>152</v>
      </c>
      <c r="D6" s="340"/>
      <c r="E6" s="3" t="s">
        <v>152</v>
      </c>
      <c r="F6" s="3" t="s">
        <v>152</v>
      </c>
      <c r="G6" s="3" t="s">
        <v>152</v>
      </c>
      <c r="H6" s="3" t="s">
        <v>152</v>
      </c>
      <c r="I6" s="3"/>
      <c r="J6" s="340"/>
    </row>
    <row r="7" spans="1:12">
      <c r="A7" s="5" t="s">
        <v>0</v>
      </c>
      <c r="B7" s="5"/>
      <c r="C7" s="373">
        <f>+'[3]1303665'!C7</f>
        <v>36525</v>
      </c>
      <c r="D7" s="221"/>
      <c r="E7" s="374">
        <v>36616</v>
      </c>
      <c r="F7" s="373">
        <v>36707</v>
      </c>
      <c r="G7" s="373">
        <v>36799</v>
      </c>
      <c r="H7" s="373">
        <v>36891</v>
      </c>
      <c r="I7" s="195" t="s">
        <v>244</v>
      </c>
      <c r="J7" s="231"/>
      <c r="K7" s="195" t="s">
        <v>11</v>
      </c>
    </row>
    <row r="8" spans="1:12">
      <c r="B8" t="s">
        <v>102</v>
      </c>
      <c r="C8" s="376">
        <f>+'JEDI MTM'!J21</f>
        <v>44.375</v>
      </c>
      <c r="D8" s="222"/>
      <c r="E8" s="452">
        <f>LOOKUP(E1,Input!$A$20:$A$827,Input!$B$20:$B$827)</f>
        <v>74</v>
      </c>
      <c r="F8" s="452">
        <f>LOOKUP(F1,Input!$A$20:$A$827,Input!$B$20:$B$827)</f>
        <v>74</v>
      </c>
      <c r="G8" s="452">
        <f>LOOKUP(G1,Input!$A$20:$A$827,Input!$B$20:$B$827)</f>
        <v>74</v>
      </c>
      <c r="H8" s="452">
        <f>LOOKUP(H1,Input!$A$20:$A$827,Input!$B$20:$B$827)</f>
        <v>74</v>
      </c>
      <c r="I8" s="53"/>
      <c r="J8" s="214"/>
    </row>
    <row r="9" spans="1:12">
      <c r="B9" s="208"/>
      <c r="C9" s="341"/>
      <c r="D9" s="222"/>
      <c r="E9" s="452"/>
      <c r="F9" s="199"/>
      <c r="G9" s="199"/>
      <c r="H9" s="199"/>
      <c r="I9" s="53"/>
      <c r="J9" s="214"/>
    </row>
    <row r="10" spans="1:12">
      <c r="A10" s="208" t="s">
        <v>245</v>
      </c>
      <c r="B10" s="135">
        <v>1220650</v>
      </c>
      <c r="C10" s="342"/>
      <c r="D10" s="223"/>
      <c r="E10" s="203"/>
      <c r="F10" s="215"/>
      <c r="G10" s="215"/>
      <c r="H10" s="204"/>
      <c r="I10" s="53"/>
      <c r="J10" s="214"/>
    </row>
    <row r="11" spans="1:12">
      <c r="A11" t="s">
        <v>103</v>
      </c>
      <c r="B11" s="343">
        <v>41.044899999999998</v>
      </c>
      <c r="C11" s="342"/>
      <c r="D11" s="223"/>
      <c r="E11" s="203"/>
      <c r="F11" s="215"/>
      <c r="G11" s="215"/>
      <c r="I11" s="53"/>
      <c r="J11" s="214"/>
    </row>
    <row r="12" spans="1:12">
      <c r="B12" s="136"/>
      <c r="C12" s="342"/>
      <c r="D12" s="223"/>
      <c r="E12" s="11"/>
      <c r="F12" s="215"/>
      <c r="G12" s="215"/>
      <c r="I12" s="53"/>
      <c r="J12" s="214"/>
    </row>
    <row r="13" spans="1:12">
      <c r="A13" s="200" t="s">
        <v>246</v>
      </c>
      <c r="C13" s="344"/>
      <c r="D13" s="224"/>
      <c r="E13" s="188"/>
      <c r="F13" s="8"/>
      <c r="G13" s="8"/>
      <c r="H13" s="8"/>
      <c r="I13" s="116"/>
      <c r="J13" s="232"/>
    </row>
    <row r="14" spans="1:12">
      <c r="B14" t="s">
        <v>96</v>
      </c>
      <c r="C14" s="345">
        <f>ROUND(+B10*$B11,2)</f>
        <v>50101457.189999998</v>
      </c>
      <c r="D14" s="346"/>
      <c r="E14" s="347">
        <f>+C15</f>
        <v>54166343.75</v>
      </c>
      <c r="F14" s="347">
        <f>+E15</f>
        <v>90328100</v>
      </c>
      <c r="G14" s="347">
        <f>+F15</f>
        <v>90328100</v>
      </c>
      <c r="H14" s="347">
        <f>+G15</f>
        <v>90328100</v>
      </c>
      <c r="I14" s="348"/>
      <c r="J14" s="349"/>
      <c r="K14" s="56"/>
    </row>
    <row r="15" spans="1:12">
      <c r="B15" t="s">
        <v>97</v>
      </c>
      <c r="C15" s="345">
        <f>ROUND(+C8*$B10,2)</f>
        <v>54166343.75</v>
      </c>
      <c r="D15" s="346"/>
      <c r="E15" s="350">
        <f>ROUND(+E8*$B10,2)</f>
        <v>90328100</v>
      </c>
      <c r="F15" s="350">
        <f>ROUND(+F8*$B10,2)</f>
        <v>90328100</v>
      </c>
      <c r="G15" s="350">
        <f>ROUND(+G8*$B10,2)</f>
        <v>90328100</v>
      </c>
      <c r="H15" s="350">
        <f>ROUND(+H8*$B10,2)</f>
        <v>90328100</v>
      </c>
      <c r="I15" s="351"/>
      <c r="J15" s="352"/>
      <c r="K15" s="56"/>
    </row>
    <row r="16" spans="1:12">
      <c r="B16" t="s">
        <v>100</v>
      </c>
      <c r="C16" s="353">
        <f>-C14+C15</f>
        <v>4064886.5600000024</v>
      </c>
      <c r="D16" s="352"/>
      <c r="E16" s="353">
        <f>IF($A$5&lt;=C7,0,-E14+E15)</f>
        <v>36161756.25</v>
      </c>
      <c r="F16" s="353">
        <f>IF($A$5&lt;=E7,0,-F14+F15)</f>
        <v>0</v>
      </c>
      <c r="G16" s="353">
        <f>IF($A$5&lt;=F7,0,-G14+G15)</f>
        <v>0</v>
      </c>
      <c r="H16" s="353">
        <f>IF($A$5&lt;=G7,0,-H14+H15)</f>
        <v>0</v>
      </c>
      <c r="I16" s="353">
        <f>SUM(E16:H16)</f>
        <v>36161756.25</v>
      </c>
      <c r="J16" s="352"/>
      <c r="K16" s="353">
        <f>+C16+I16</f>
        <v>40226642.810000002</v>
      </c>
      <c r="L16" s="354">
        <f>IF(SUM(E16:H16)-I16=0,0,"OUT OF BALANCE")</f>
        <v>0</v>
      </c>
    </row>
    <row r="17" spans="1:12">
      <c r="C17" s="191"/>
      <c r="D17" s="225"/>
      <c r="E17" s="188"/>
      <c r="F17" s="8"/>
      <c r="G17" s="8"/>
      <c r="H17" s="8"/>
      <c r="I17" s="116"/>
      <c r="J17" s="232"/>
      <c r="L17" s="354">
        <f>IF(+C16+I16-K16=0,0,"OUT OF BALANCE")</f>
        <v>0</v>
      </c>
    </row>
    <row r="18" spans="1:12" ht="13.8" thickBot="1">
      <c r="A18" t="s">
        <v>258</v>
      </c>
      <c r="C18" s="261">
        <f>+C16</f>
        <v>4064886.5600000024</v>
      </c>
      <c r="D18" s="214"/>
      <c r="E18" s="261">
        <f t="shared" ref="E18:K18" si="0">+E16</f>
        <v>36161756.25</v>
      </c>
      <c r="F18" s="261">
        <f t="shared" si="0"/>
        <v>0</v>
      </c>
      <c r="G18" s="261">
        <f t="shared" si="0"/>
        <v>0</v>
      </c>
      <c r="H18" s="261">
        <f t="shared" si="0"/>
        <v>0</v>
      </c>
      <c r="I18" s="261">
        <f t="shared" si="0"/>
        <v>36161756.25</v>
      </c>
      <c r="J18" s="214"/>
      <c r="K18" s="261">
        <f t="shared" si="0"/>
        <v>40226642.810000002</v>
      </c>
    </row>
    <row r="19" spans="1:12" ht="13.8" thickTop="1">
      <c r="K19" s="404" t="s">
        <v>288</v>
      </c>
    </row>
    <row r="20" spans="1:12">
      <c r="K20" s="406">
        <f>+K18</f>
        <v>40226642.810000002</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2:AB40"/>
  <sheetViews>
    <sheetView topLeftCell="A29" zoomScaleNormal="100" workbookViewId="0">
      <selection activeCell="D29" sqref="D29"/>
    </sheetView>
  </sheetViews>
  <sheetFormatPr defaultRowHeight="13.2"/>
  <cols>
    <col min="1" max="1" width="12.5546875" customWidth="1"/>
    <col min="2" max="3" width="13.88671875" customWidth="1"/>
    <col min="4" max="5" width="15.44140625" bestFit="1" customWidth="1"/>
    <col min="6" max="6" width="1.44140625" customWidth="1"/>
    <col min="7" max="8" width="15.44140625" customWidth="1"/>
    <col min="9" max="9" width="15.44140625" bestFit="1" customWidth="1"/>
    <col min="10" max="10" width="1.44140625" customWidth="1"/>
    <col min="11" max="12" width="15.44140625" customWidth="1"/>
    <col min="13" max="13" width="14.88671875" bestFit="1" customWidth="1"/>
    <col min="14" max="14" width="1.44140625" customWidth="1"/>
    <col min="15" max="15" width="13.88671875" customWidth="1"/>
    <col min="16" max="16" width="1.44140625" customWidth="1"/>
    <col min="17" max="19" width="14.88671875" bestFit="1" customWidth="1"/>
    <col min="20" max="20" width="1.33203125" customWidth="1"/>
    <col min="21" max="23" width="14.88671875" bestFit="1" customWidth="1"/>
    <col min="24" max="24" width="1.33203125" customWidth="1"/>
    <col min="25" max="25" width="14.44140625" bestFit="1" customWidth="1"/>
    <col min="26" max="26" width="1.44140625" customWidth="1"/>
    <col min="27" max="27" width="14.88671875" customWidth="1"/>
    <col min="28" max="28" width="11.88671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36823</v>
      </c>
      <c r="G3" s="57">
        <f>+$D$10</f>
        <v>36823</v>
      </c>
      <c r="H3" s="57">
        <f>+$D$10</f>
        <v>36823</v>
      </c>
      <c r="K3" s="57">
        <f>+$D$10</f>
        <v>36823</v>
      </c>
      <c r="L3" s="57">
        <f>+$D$10</f>
        <v>36823</v>
      </c>
      <c r="Q3" s="57">
        <f>+$D$10</f>
        <v>36823</v>
      </c>
      <c r="R3" s="57">
        <f>+$D$10</f>
        <v>36823</v>
      </c>
      <c r="U3" s="57">
        <f>+$D$10</f>
        <v>36823</v>
      </c>
      <c r="V3" s="57">
        <f>+$D$10</f>
        <v>36823</v>
      </c>
    </row>
    <row r="4" spans="1:27">
      <c r="A4" t="s">
        <v>342</v>
      </c>
      <c r="C4" s="57"/>
      <c r="D4" s="57">
        <f>IF(+D$18&lt;1,C4,D$18)</f>
        <v>36823</v>
      </c>
      <c r="G4" s="57">
        <f>IF(+G$18&lt;1,D4,G$18)</f>
        <v>36823</v>
      </c>
      <c r="H4" s="57">
        <f>IF(+H$18&lt;1,G4,H$18)</f>
        <v>36823</v>
      </c>
      <c r="K4" s="57">
        <f>IF(+K$18&lt;1,H4,K$18)</f>
        <v>36823</v>
      </c>
      <c r="L4" s="57">
        <f>IF(+L$18&lt;1,K4,L$18)</f>
        <v>36823</v>
      </c>
      <c r="Q4" s="57">
        <f>IF(+Q$18&lt;1,N4,Q$18)</f>
        <v>36823</v>
      </c>
      <c r="R4" s="57">
        <f>IF(+R$18&lt;1,Q4,R$18)</f>
        <v>36823</v>
      </c>
      <c r="U4" s="57">
        <f>IF(+U$18&lt;1,R4,U$18)</f>
        <v>36823</v>
      </c>
      <c r="V4" s="57">
        <f>IF(+V$18&lt;1,U4,V$18)</f>
        <v>36823</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36640</v>
      </c>
    </row>
    <row r="10" spans="1:27" ht="13.8" thickBot="1">
      <c r="A10" s="200" t="s">
        <v>369</v>
      </c>
      <c r="B10" s="516"/>
      <c r="C10" s="259" t="s">
        <v>175</v>
      </c>
      <c r="D10" s="338">
        <v>36823</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f>511200+460000+790000</f>
        <v>1761200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v>70.5</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36823</v>
      </c>
      <c r="E18" s="141"/>
      <c r="F18" s="469"/>
      <c r="G18" s="141">
        <v>36823</v>
      </c>
      <c r="H18" s="141">
        <v>36823</v>
      </c>
      <c r="I18" s="141"/>
      <c r="J18" s="469"/>
      <c r="K18" s="141">
        <v>36823</v>
      </c>
      <c r="L18" s="141">
        <v>36823</v>
      </c>
      <c r="M18" s="141"/>
      <c r="N18" s="469"/>
      <c r="O18" s="53"/>
      <c r="P18" s="468"/>
      <c r="Q18" s="141">
        <v>36823</v>
      </c>
      <c r="R18" s="141">
        <v>36823</v>
      </c>
      <c r="S18" s="141"/>
      <c r="T18" s="469"/>
      <c r="U18" s="141">
        <v>36823</v>
      </c>
      <c r="V18" s="141">
        <v>36823</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124164600</v>
      </c>
      <c r="E21" s="347">
        <f>+D21</f>
        <v>124164600</v>
      </c>
      <c r="F21" s="346"/>
      <c r="G21" s="347">
        <f>+D22</f>
        <v>134071350</v>
      </c>
      <c r="H21" s="347">
        <f>+G22</f>
        <v>113597400</v>
      </c>
      <c r="I21" s="347">
        <f>+E22</f>
        <v>134071350</v>
      </c>
      <c r="J21" s="346"/>
      <c r="K21" s="347">
        <f>+H22</f>
        <v>113597400</v>
      </c>
      <c r="L21" s="347">
        <f>+K22</f>
        <v>113597400</v>
      </c>
      <c r="M21" s="347">
        <f>+I22</f>
        <v>113597400</v>
      </c>
      <c r="N21" s="346"/>
      <c r="O21" s="348"/>
      <c r="P21" s="475"/>
      <c r="Q21" s="347">
        <f>+L22</f>
        <v>113597400</v>
      </c>
      <c r="R21" s="347">
        <f>+Q22</f>
        <v>113597400</v>
      </c>
      <c r="S21" s="347">
        <f>+M22</f>
        <v>113597400</v>
      </c>
      <c r="T21" s="346"/>
      <c r="U21" s="347">
        <f>+Q22</f>
        <v>113597400</v>
      </c>
      <c r="V21" s="347">
        <f>+R22</f>
        <v>113597400</v>
      </c>
      <c r="W21" s="347">
        <f>+S22</f>
        <v>113597400</v>
      </c>
      <c r="X21" s="346"/>
      <c r="Y21" s="348"/>
      <c r="Z21" s="475"/>
      <c r="AA21" s="110"/>
    </row>
    <row r="22" spans="1:28">
      <c r="B22" t="s">
        <v>97</v>
      </c>
      <c r="C22" s="350"/>
      <c r="D22" s="350">
        <f>ROUND(+D14*$B16,2)</f>
        <v>134071350</v>
      </c>
      <c r="E22" s="350">
        <f>ROUND(+E14*$B16,2)</f>
        <v>134071350</v>
      </c>
      <c r="F22" s="346"/>
      <c r="G22" s="350">
        <f>ROUND(+G14*$B16,2)</f>
        <v>113597400</v>
      </c>
      <c r="H22" s="350">
        <f>ROUND(+H14*$B16,2)</f>
        <v>113597400</v>
      </c>
      <c r="I22" s="350">
        <f>ROUND(+I14*$B16,2)</f>
        <v>113597400</v>
      </c>
      <c r="J22" s="346"/>
      <c r="K22" s="350">
        <f>ROUND(+K14*$B16,2)</f>
        <v>113597400</v>
      </c>
      <c r="L22" s="350">
        <f>ROUND(+L14*$B16,2)</f>
        <v>113597400</v>
      </c>
      <c r="M22" s="350">
        <f>ROUND(+M14*$B16,2)</f>
        <v>113597400</v>
      </c>
      <c r="N22" s="346"/>
      <c r="O22" s="476"/>
      <c r="P22" s="475"/>
      <c r="Q22" s="350">
        <f>ROUND(+Q14*$B16,2)</f>
        <v>113597400</v>
      </c>
      <c r="R22" s="350">
        <f>ROUND(+R14*$B16,2)</f>
        <v>113597400</v>
      </c>
      <c r="S22" s="350">
        <f>ROUND(+S14*$B16,2)</f>
        <v>113597400</v>
      </c>
      <c r="T22" s="346"/>
      <c r="U22" s="350">
        <f>ROUND(+U14*$B16,2)</f>
        <v>113597400</v>
      </c>
      <c r="V22" s="350">
        <f>ROUND(+V14*$B16,2)</f>
        <v>113597400</v>
      </c>
      <c r="W22" s="350">
        <f>ROUND(+W14*$B16,2)</f>
        <v>113597400</v>
      </c>
      <c r="X22" s="346"/>
      <c r="Y22" s="476"/>
      <c r="Z22" s="475"/>
      <c r="AA22" s="110"/>
    </row>
    <row r="23" spans="1:28">
      <c r="B23" t="s">
        <v>100</v>
      </c>
      <c r="C23" s="353"/>
      <c r="D23" s="353">
        <f>IF($A$11&lt;=C18,0,-D21+D22)</f>
        <v>9906750</v>
      </c>
      <c r="E23" s="353">
        <f>SUM(C23:D23)</f>
        <v>9906750</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9906750</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9906750</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6.2924999999999995E-2</v>
      </c>
      <c r="F30" s="225"/>
      <c r="G30" s="358">
        <f>+D30</f>
        <v>6.2924999999999995E-2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7.342499999999999E-2</v>
      </c>
      <c r="F32" s="225"/>
      <c r="G32" s="497">
        <f>SUM(G30:G31)</f>
        <v>7.342499999999999E-2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36640</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67</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-1673492.18</v>
      </c>
      <c r="E37" s="353">
        <f>SUM(C37:D37)</f>
        <v>-1673492.18</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-1673492.18</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-1673492.18</v>
      </c>
    </row>
    <row r="38" spans="1:27">
      <c r="D38" s="53"/>
      <c r="F38" s="225"/>
      <c r="G38" s="53"/>
      <c r="H38" s="53"/>
      <c r="J38" s="225"/>
      <c r="K38" s="53"/>
      <c r="L38" s="53"/>
      <c r="N38" s="225"/>
      <c r="O38" s="472"/>
      <c r="P38" s="479"/>
      <c r="Q38" s="53"/>
      <c r="R38" s="53"/>
      <c r="T38" s="225"/>
      <c r="U38" s="53"/>
      <c r="V38" s="53"/>
      <c r="X38" s="225"/>
      <c r="Y38" s="472"/>
      <c r="Z38" s="479"/>
    </row>
    <row r="39" spans="1:27" ht="13.8" thickBot="1">
      <c r="A39" t="s">
        <v>258</v>
      </c>
      <c r="D39" s="261">
        <f>+D23+D27+D37</f>
        <v>8233257.8200000003</v>
      </c>
      <c r="E39" s="261">
        <f>+E23+E27+E37</f>
        <v>8233257.8200000003</v>
      </c>
      <c r="F39" s="225"/>
      <c r="G39" s="261">
        <f>+G23+G27+G37</f>
        <v>0</v>
      </c>
      <c r="H39" s="261">
        <f>+H23+H27+H37</f>
        <v>0</v>
      </c>
      <c r="I39" s="261">
        <f>+I23+I27+I37</f>
        <v>0</v>
      </c>
      <c r="J39" s="225"/>
      <c r="K39" s="261">
        <f>+K23+K27+K37</f>
        <v>0</v>
      </c>
      <c r="L39" s="261">
        <f>+L23+L27+L37</f>
        <v>0</v>
      </c>
      <c r="M39" s="261">
        <f>+M23+M27+M37</f>
        <v>0</v>
      </c>
      <c r="N39" s="225"/>
      <c r="O39" s="261">
        <f>+O23+O27+O37</f>
        <v>8233257.8200000003</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8233257.8200000003</v>
      </c>
    </row>
    <row r="40" spans="1:27" ht="13.8" thickTop="1">
      <c r="F40" s="225"/>
      <c r="J40" s="225"/>
      <c r="N40" s="225"/>
      <c r="O40" s="472"/>
      <c r="P40" s="479"/>
      <c r="T40" s="225"/>
      <c r="X40" s="225"/>
      <c r="Y40" s="472"/>
      <c r="Z40" s="479"/>
    </row>
  </sheetData>
  <pageMargins left="0.75" right="0.75" top="1" bottom="0.75" header="0.5" footer="0.25"/>
  <pageSetup paperSize="5" scale="51" orientation="landscape" cellComments="asDisplayed" horizontalDpi="0" r:id="rId1"/>
  <headerFooter alignWithMargins="0">
    <oddFooter>&amp;L&amp;F  &amp;A&amp;R&amp;D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F45"/>
  <sheetViews>
    <sheetView workbookViewId="0"/>
  </sheetViews>
  <sheetFormatPr defaultRowHeight="13.2"/>
  <cols>
    <col min="1" max="1" width="36.6640625" customWidth="1"/>
    <col min="2" max="3" width="13.88671875" customWidth="1"/>
    <col min="4" max="4" width="14.6640625" customWidth="1"/>
    <col min="5" max="5" width="13.88671875" customWidth="1"/>
    <col min="6" max="8" width="11.33203125" customWidth="1"/>
    <col min="9" max="9" width="10.33203125" customWidth="1"/>
    <col min="10" max="10" width="11.33203125" customWidth="1"/>
    <col min="11" max="11" width="13.88671875" customWidth="1"/>
  </cols>
  <sheetData>
    <row r="2" spans="1:2">
      <c r="A2" s="200" t="s">
        <v>118</v>
      </c>
    </row>
    <row r="4" spans="1:2">
      <c r="A4" s="200" t="s">
        <v>119</v>
      </c>
    </row>
    <row r="5" spans="1:2">
      <c r="A5" s="208" t="s">
        <v>120</v>
      </c>
      <c r="B5" s="139">
        <v>6006402</v>
      </c>
    </row>
    <row r="6" spans="1:2">
      <c r="A6" s="208" t="s">
        <v>121</v>
      </c>
      <c r="B6" s="139"/>
    </row>
    <row r="7" spans="1:2">
      <c r="A7" s="208"/>
      <c r="B7" s="139"/>
    </row>
    <row r="8" spans="1:2">
      <c r="A8" s="208" t="s">
        <v>223</v>
      </c>
      <c r="B8" s="139">
        <f>+B5*2</f>
        <v>12012804</v>
      </c>
    </row>
    <row r="10" spans="1:2">
      <c r="A10" t="s">
        <v>122</v>
      </c>
      <c r="B10" s="139"/>
    </row>
    <row r="11" spans="1:2">
      <c r="A11" t="s">
        <v>123</v>
      </c>
      <c r="B11" s="139">
        <v>22824327</v>
      </c>
    </row>
    <row r="12" spans="1:2">
      <c r="A12" t="s">
        <v>124</v>
      </c>
      <c r="B12" s="139">
        <v>23184712</v>
      </c>
    </row>
    <row r="13" spans="1:2">
      <c r="A13" t="s">
        <v>125</v>
      </c>
      <c r="B13" s="139">
        <v>13334212</v>
      </c>
    </row>
    <row r="14" spans="1:2" ht="13.8" thickBot="1">
      <c r="A14" t="s">
        <v>126</v>
      </c>
      <c r="B14" s="236">
        <f>SUM(B11:B13)</f>
        <v>59343251</v>
      </c>
    </row>
    <row r="15" spans="1:2" ht="13.8" thickTop="1"/>
    <row r="16" spans="1:2">
      <c r="B16" s="6"/>
    </row>
    <row r="17" spans="1:6">
      <c r="B17" s="237"/>
    </row>
    <row r="18" spans="1:6">
      <c r="A18" s="200" t="s">
        <v>127</v>
      </c>
    </row>
    <row r="20" spans="1:6">
      <c r="A20" t="s">
        <v>128</v>
      </c>
      <c r="B20" s="194"/>
    </row>
    <row r="22" spans="1:6">
      <c r="A22" t="s">
        <v>129</v>
      </c>
    </row>
    <row r="23" spans="1:6">
      <c r="A23" t="s">
        <v>130</v>
      </c>
    </row>
    <row r="25" spans="1:6">
      <c r="A25" t="s">
        <v>131</v>
      </c>
    </row>
    <row r="26" spans="1:6">
      <c r="A26" t="s">
        <v>132</v>
      </c>
    </row>
    <row r="28" spans="1:6">
      <c r="A28" t="s">
        <v>133</v>
      </c>
    </row>
    <row r="29" spans="1:6">
      <c r="A29" t="s">
        <v>134</v>
      </c>
      <c r="B29" s="3" t="s">
        <v>135</v>
      </c>
      <c r="C29" s="3" t="s">
        <v>135</v>
      </c>
      <c r="D29" s="3" t="s">
        <v>136</v>
      </c>
      <c r="E29" s="3" t="s">
        <v>225</v>
      </c>
    </row>
    <row r="30" spans="1:6">
      <c r="A30" s="200"/>
      <c r="B30" s="117">
        <v>36068</v>
      </c>
      <c r="C30" s="117">
        <v>36160</v>
      </c>
      <c r="D30" s="117">
        <v>36250</v>
      </c>
      <c r="E30" s="117">
        <v>36388</v>
      </c>
    </row>
    <row r="31" spans="1:6">
      <c r="A31" t="s">
        <v>137</v>
      </c>
      <c r="B31" s="199">
        <v>54.0625</v>
      </c>
      <c r="C31" s="199">
        <v>54.0625</v>
      </c>
      <c r="D31" s="199">
        <v>71</v>
      </c>
      <c r="E31" s="199">
        <v>35.5</v>
      </c>
    </row>
    <row r="32" spans="1:6">
      <c r="A32" t="s">
        <v>138</v>
      </c>
      <c r="B32" s="199">
        <v>53.5</v>
      </c>
      <c r="C32" s="199">
        <v>57.0625</v>
      </c>
      <c r="D32" s="199">
        <v>68</v>
      </c>
      <c r="E32" s="199">
        <v>43.875</v>
      </c>
      <c r="F32" t="s">
        <v>139</v>
      </c>
    </row>
    <row r="33" spans="1:5">
      <c r="A33" t="s">
        <v>140</v>
      </c>
      <c r="B33" s="199">
        <v>50.655299999999997</v>
      </c>
      <c r="C33" s="199">
        <v>54.145499999999998</v>
      </c>
      <c r="D33" s="199">
        <f>+(C32+D32)/2</f>
        <v>62.53125</v>
      </c>
      <c r="E33" s="199">
        <f>+(D32+E32)/2</f>
        <v>55.9375</v>
      </c>
    </row>
    <row r="34" spans="1:5">
      <c r="B34" s="199"/>
    </row>
    <row r="35" spans="1:5">
      <c r="A35" t="s">
        <v>141</v>
      </c>
    </row>
    <row r="36" spans="1:5" ht="13.8" thickBot="1">
      <c r="A36" s="200" t="s">
        <v>142</v>
      </c>
      <c r="B36" s="238">
        <f>IF(B32&gt;B31,0,-$B5*(B32-B31))</f>
        <v>3378601.125</v>
      </c>
      <c r="C36" s="238">
        <f>IF(C32&gt;C31,0,-$B5*(C32-C31))</f>
        <v>0</v>
      </c>
      <c r="D36" s="238">
        <f>IF(D32&gt;D31,0,-$B5*(D32-D31))</f>
        <v>18019206</v>
      </c>
      <c r="E36" t="s">
        <v>143</v>
      </c>
    </row>
    <row r="37" spans="1:5" ht="13.8" thickTop="1">
      <c r="B37" s="239"/>
      <c r="C37" s="239"/>
      <c r="D37" s="239"/>
    </row>
    <row r="38" spans="1:5" ht="13.8" thickBot="1">
      <c r="A38" s="200" t="s">
        <v>144</v>
      </c>
      <c r="B38" s="238">
        <f>IF(B$32&gt;B$31,0,$B$5*(B$31-B$32)/B$32)</f>
        <v>63151.422897196258</v>
      </c>
      <c r="C38" s="238">
        <f>IF(C$32&gt;C$31,0,$B$5*(C$31-C$32)/C$32)</f>
        <v>0</v>
      </c>
      <c r="D38" s="238">
        <f>IF(D$32&gt;D$31,0,$B$5*(D$31-D$32)/D$32)</f>
        <v>264988.32352941175</v>
      </c>
      <c r="E38" t="s">
        <v>145</v>
      </c>
    </row>
    <row r="39" spans="1:5" ht="13.8" thickTop="1">
      <c r="E39" t="s">
        <v>146</v>
      </c>
    </row>
    <row r="41" spans="1:5">
      <c r="A41" t="s">
        <v>147</v>
      </c>
    </row>
    <row r="42" spans="1:5">
      <c r="A42" t="s">
        <v>148</v>
      </c>
    </row>
    <row r="44" spans="1:5" ht="13.8" thickBot="1">
      <c r="A44" s="200" t="s">
        <v>149</v>
      </c>
      <c r="B44" s="238">
        <f>IF(B$32&gt;B$31,0,$B$5*(B$31-B$33)/B$33)</f>
        <v>404005.36359275377</v>
      </c>
      <c r="C44" s="238">
        <f>IF(C$32&gt;C$31,0,$B$5*(C$31-C$33)/C$33)</f>
        <v>0</v>
      </c>
      <c r="D44" s="238">
        <f>IF(D$32&gt;D$31,0,$B$5*(D$31-D$33)/D$33)</f>
        <v>813460.74062968511</v>
      </c>
      <c r="E44" t="s">
        <v>150</v>
      </c>
    </row>
    <row r="45" spans="1:5" ht="13.8" thickTop="1">
      <c r="E45" t="s">
        <v>151</v>
      </c>
    </row>
  </sheetData>
  <pageMargins left="0.75" right="0.75" top="1" bottom="1" header="0.5" footer="0.5"/>
  <pageSetup orientation="portrait" horizont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3:J46"/>
  <sheetViews>
    <sheetView tabSelected="1" zoomScaleNormal="100" workbookViewId="0">
      <selection activeCell="C3" sqref="C3"/>
    </sheetView>
  </sheetViews>
  <sheetFormatPr defaultRowHeight="13.2"/>
  <cols>
    <col min="1" max="1" width="24.6640625" customWidth="1"/>
    <col min="2" max="2" width="9.33203125" customWidth="1"/>
    <col min="3" max="3" width="13.88671875" customWidth="1"/>
    <col min="4" max="4" width="11.5546875" customWidth="1"/>
    <col min="5" max="5" width="8.6640625" bestFit="1" customWidth="1"/>
    <col min="7" max="7" width="11.33203125" customWidth="1"/>
    <col min="8" max="8" width="13.88671875" customWidth="1"/>
    <col min="9" max="9" width="12.33203125" customWidth="1"/>
    <col min="10" max="10" width="58" customWidth="1"/>
  </cols>
  <sheetData>
    <row r="3" spans="1:10">
      <c r="A3" t="s">
        <v>317</v>
      </c>
    </row>
    <row r="4" spans="1:10">
      <c r="A4" s="401">
        <f>+Input!B16</f>
        <v>36707</v>
      </c>
      <c r="B4" s="401"/>
      <c r="C4" s="401"/>
    </row>
    <row r="6" spans="1:10">
      <c r="C6" s="3" t="s">
        <v>318</v>
      </c>
      <c r="F6" s="3" t="s">
        <v>319</v>
      </c>
      <c r="G6" s="3" t="s">
        <v>87</v>
      </c>
      <c r="H6" s="3"/>
      <c r="I6" s="3" t="s">
        <v>320</v>
      </c>
    </row>
    <row r="7" spans="1:10">
      <c r="A7" s="4" t="s">
        <v>321</v>
      </c>
      <c r="B7" s="5" t="s">
        <v>78</v>
      </c>
      <c r="C7" s="5" t="s">
        <v>22</v>
      </c>
      <c r="D7" s="4" t="s">
        <v>322</v>
      </c>
      <c r="E7" s="4"/>
      <c r="F7" s="5" t="s">
        <v>323</v>
      </c>
      <c r="G7" s="5" t="s">
        <v>89</v>
      </c>
      <c r="H7" s="5" t="s">
        <v>27</v>
      </c>
      <c r="I7" s="5" t="s">
        <v>22</v>
      </c>
      <c r="J7" s="5" t="s">
        <v>324</v>
      </c>
    </row>
    <row r="8" spans="1:10" ht="8.1" customHeight="1">
      <c r="A8" s="53"/>
      <c r="B8" s="53"/>
      <c r="C8" s="53"/>
      <c r="D8" s="53"/>
      <c r="E8" s="53"/>
      <c r="F8" s="10"/>
      <c r="G8" s="10"/>
      <c r="H8" s="10"/>
      <c r="I8" s="10"/>
      <c r="J8" s="10"/>
    </row>
    <row r="9" spans="1:10" ht="66">
      <c r="A9" s="442" t="s">
        <v>325</v>
      </c>
      <c r="B9" s="514" t="s">
        <v>391</v>
      </c>
      <c r="C9" s="443">
        <v>36341</v>
      </c>
      <c r="D9" s="444">
        <f>7630102-3224795</f>
        <v>4405307</v>
      </c>
      <c r="E9" s="444" t="s">
        <v>39</v>
      </c>
      <c r="F9" s="442" t="s">
        <v>323</v>
      </c>
      <c r="G9" s="442">
        <v>70.5</v>
      </c>
      <c r="H9" s="445">
        <f>+D9*G9</f>
        <v>310574143.5</v>
      </c>
      <c r="I9" s="443">
        <v>36993</v>
      </c>
      <c r="J9" s="446" t="s">
        <v>471</v>
      </c>
    </row>
    <row r="10" spans="1:10">
      <c r="A10" s="442" t="s">
        <v>472</v>
      </c>
      <c r="B10" s="514" t="s">
        <v>391</v>
      </c>
      <c r="C10" s="443">
        <v>36640</v>
      </c>
      <c r="D10" s="444">
        <v>3224795</v>
      </c>
      <c r="E10" s="444" t="s">
        <v>39</v>
      </c>
      <c r="F10" s="442" t="s">
        <v>326</v>
      </c>
      <c r="G10" s="442">
        <v>50.080232000000002</v>
      </c>
      <c r="H10" s="445">
        <f>+D10*G10</f>
        <v>161498481.75244001</v>
      </c>
      <c r="I10" s="443">
        <v>36993</v>
      </c>
      <c r="J10" s="446"/>
    </row>
    <row r="11" spans="1:10">
      <c r="A11" s="442"/>
      <c r="B11" s="514"/>
      <c r="C11" s="443"/>
      <c r="D11" s="444"/>
      <c r="E11" s="444"/>
      <c r="F11" s="442"/>
      <c r="G11" s="442"/>
      <c r="H11" s="445"/>
      <c r="I11" s="443"/>
      <c r="J11" s="446"/>
    </row>
    <row r="12" spans="1:10">
      <c r="A12" s="442" t="s">
        <v>325</v>
      </c>
      <c r="B12" s="514" t="s">
        <v>391</v>
      </c>
      <c r="C12" s="443">
        <v>36507</v>
      </c>
      <c r="D12" s="444">
        <f>1220650-514376</f>
        <v>706274</v>
      </c>
      <c r="E12" s="444" t="s">
        <v>39</v>
      </c>
      <c r="F12" s="442" t="s">
        <v>326</v>
      </c>
      <c r="G12" s="442">
        <v>41.044899999999998</v>
      </c>
      <c r="H12" s="445">
        <f>+D12*G12</f>
        <v>28988945.702599999</v>
      </c>
      <c r="I12" s="443">
        <v>36873</v>
      </c>
      <c r="J12" s="446" t="s">
        <v>327</v>
      </c>
    </row>
    <row r="13" spans="1:10">
      <c r="A13" s="442" t="s">
        <v>472</v>
      </c>
      <c r="B13" s="514" t="s">
        <v>391</v>
      </c>
      <c r="C13" s="443">
        <v>36640</v>
      </c>
      <c r="D13" s="444">
        <v>514376</v>
      </c>
      <c r="E13" s="444" t="s">
        <v>39</v>
      </c>
      <c r="F13" s="442" t="s">
        <v>326</v>
      </c>
      <c r="G13" s="442"/>
      <c r="H13" s="445">
        <f>+D13*G13</f>
        <v>0</v>
      </c>
      <c r="I13" s="443"/>
      <c r="J13" s="446"/>
    </row>
    <row r="14" spans="1:10">
      <c r="B14" s="3"/>
    </row>
    <row r="15" spans="1:10">
      <c r="A15" s="442" t="s">
        <v>361</v>
      </c>
      <c r="B15" s="514" t="s">
        <v>391</v>
      </c>
      <c r="C15" s="443" t="s">
        <v>362</v>
      </c>
      <c r="D15" s="444">
        <v>6400000</v>
      </c>
      <c r="E15" s="444"/>
      <c r="F15" s="442"/>
      <c r="G15" s="442">
        <v>19.593800000000002</v>
      </c>
      <c r="H15" s="445"/>
      <c r="I15" s="443"/>
      <c r="J15" s="446" t="s">
        <v>360</v>
      </c>
    </row>
    <row r="16" spans="1:10">
      <c r="B16" s="3"/>
    </row>
    <row r="17" spans="1:10">
      <c r="A17" s="442" t="s">
        <v>328</v>
      </c>
      <c r="B17" s="514" t="s">
        <v>392</v>
      </c>
      <c r="C17" s="447">
        <v>36526</v>
      </c>
      <c r="D17" s="444">
        <v>12012804</v>
      </c>
      <c r="E17" s="444" t="s">
        <v>272</v>
      </c>
      <c r="F17" s="442" t="s">
        <v>326</v>
      </c>
      <c r="G17" s="448">
        <v>61</v>
      </c>
      <c r="H17" s="445">
        <f>+D17*G17</f>
        <v>732781044</v>
      </c>
      <c r="I17" s="443" t="s">
        <v>329</v>
      </c>
      <c r="J17" s="446"/>
    </row>
    <row r="18" spans="1:10">
      <c r="A18" s="442"/>
      <c r="B18" s="514"/>
      <c r="C18" s="447"/>
      <c r="D18" s="444"/>
      <c r="E18" s="444"/>
      <c r="F18" s="442"/>
      <c r="G18" s="448"/>
      <c r="H18" s="445"/>
      <c r="I18" s="443"/>
      <c r="J18" s="446"/>
    </row>
    <row r="19" spans="1:10">
      <c r="A19" s="442" t="s">
        <v>369</v>
      </c>
      <c r="B19" s="514" t="s">
        <v>391</v>
      </c>
      <c r="C19" s="443">
        <v>36704</v>
      </c>
      <c r="D19" s="444">
        <v>750000</v>
      </c>
      <c r="E19" s="444" t="s">
        <v>39</v>
      </c>
      <c r="F19" s="442" t="s">
        <v>326</v>
      </c>
      <c r="G19" s="448">
        <v>68.474299999999999</v>
      </c>
      <c r="H19" s="445">
        <f>+D19*G19</f>
        <v>51355725</v>
      </c>
      <c r="I19" s="443">
        <v>36796</v>
      </c>
      <c r="J19" s="446"/>
    </row>
    <row r="20" spans="1:10">
      <c r="A20" s="442" t="s">
        <v>369</v>
      </c>
      <c r="B20" s="514" t="s">
        <v>391</v>
      </c>
      <c r="C20" s="443">
        <v>36654</v>
      </c>
      <c r="D20" s="444">
        <v>790000</v>
      </c>
      <c r="E20" s="444" t="s">
        <v>39</v>
      </c>
      <c r="F20" s="442" t="s">
        <v>326</v>
      </c>
      <c r="G20" s="442">
        <v>76.125</v>
      </c>
      <c r="H20" s="445">
        <f>+D20*G20</f>
        <v>60138750</v>
      </c>
      <c r="I20" s="443"/>
      <c r="J20" s="446" t="s">
        <v>486</v>
      </c>
    </row>
    <row r="21" spans="1:10">
      <c r="A21" s="442" t="s">
        <v>369</v>
      </c>
      <c r="B21" s="514" t="s">
        <v>391</v>
      </c>
      <c r="C21" s="443">
        <v>36654</v>
      </c>
      <c r="D21" s="444">
        <v>460000</v>
      </c>
      <c r="E21" s="444" t="s">
        <v>39</v>
      </c>
      <c r="F21" s="442" t="s">
        <v>326</v>
      </c>
      <c r="G21" s="442">
        <v>76.125</v>
      </c>
      <c r="H21" s="445">
        <f>+D21*G21</f>
        <v>35017500</v>
      </c>
      <c r="I21" s="443"/>
      <c r="J21" s="446" t="s">
        <v>486</v>
      </c>
    </row>
    <row r="22" spans="1:10">
      <c r="A22" s="442" t="s">
        <v>369</v>
      </c>
      <c r="B22" s="514" t="s">
        <v>391</v>
      </c>
      <c r="C22" s="443">
        <v>36654</v>
      </c>
      <c r="D22" s="444">
        <v>511200</v>
      </c>
      <c r="E22" s="444" t="s">
        <v>39</v>
      </c>
      <c r="F22" s="442" t="s">
        <v>326</v>
      </c>
      <c r="G22" s="442">
        <v>76.125</v>
      </c>
      <c r="H22" s="445">
        <f>+D22*G22</f>
        <v>38915100</v>
      </c>
      <c r="I22" s="443"/>
      <c r="J22" s="446" t="s">
        <v>486</v>
      </c>
    </row>
    <row r="23" spans="1:10">
      <c r="A23" s="442"/>
      <c r="B23" s="514"/>
      <c r="C23" s="447"/>
      <c r="D23" s="444"/>
      <c r="E23" s="444"/>
      <c r="F23" s="442"/>
      <c r="G23" s="448"/>
      <c r="H23" s="445"/>
      <c r="I23" s="443"/>
      <c r="J23" s="446"/>
    </row>
    <row r="24" spans="1:10">
      <c r="A24" s="442" t="s">
        <v>474</v>
      </c>
      <c r="B24" s="514" t="s">
        <v>392</v>
      </c>
      <c r="C24" s="443">
        <v>36705</v>
      </c>
      <c r="D24" s="444">
        <v>110100</v>
      </c>
      <c r="E24" s="444" t="s">
        <v>272</v>
      </c>
      <c r="F24" s="442" t="s">
        <v>323</v>
      </c>
      <c r="G24" s="448">
        <v>68.5</v>
      </c>
      <c r="H24" s="445">
        <f>+D24*G24</f>
        <v>7541850</v>
      </c>
      <c r="I24" s="443">
        <v>37070</v>
      </c>
      <c r="J24" s="446"/>
    </row>
    <row r="25" spans="1:10">
      <c r="A25" s="442" t="s">
        <v>474</v>
      </c>
      <c r="B25" s="514" t="s">
        <v>392</v>
      </c>
      <c r="C25" s="443">
        <v>36706</v>
      </c>
      <c r="D25" s="444">
        <v>150000</v>
      </c>
      <c r="E25" s="444" t="s">
        <v>272</v>
      </c>
      <c r="F25" s="442" t="s">
        <v>323</v>
      </c>
      <c r="G25" s="448">
        <v>68.5</v>
      </c>
      <c r="H25" s="445">
        <f>+D25*G25</f>
        <v>10275000</v>
      </c>
      <c r="I25" s="443">
        <v>37071</v>
      </c>
    </row>
    <row r="26" spans="1:10">
      <c r="A26" s="442" t="s">
        <v>474</v>
      </c>
      <c r="B26" s="514" t="s">
        <v>392</v>
      </c>
      <c r="C26" s="443">
        <v>36707</v>
      </c>
      <c r="D26" s="444">
        <v>636700</v>
      </c>
      <c r="E26" s="444" t="s">
        <v>272</v>
      </c>
      <c r="F26" s="442" t="s">
        <v>323</v>
      </c>
      <c r="G26" s="448">
        <f>68.3356-0.03</f>
        <v>68.305599999999998</v>
      </c>
      <c r="H26" s="445">
        <f>+D26*G26</f>
        <v>43490175.519999996</v>
      </c>
      <c r="I26" s="443">
        <v>37072</v>
      </c>
    </row>
    <row r="27" spans="1:10">
      <c r="B27" s="3"/>
      <c r="H27" s="445"/>
    </row>
    <row r="28" spans="1:10">
      <c r="A28" s="442" t="s">
        <v>330</v>
      </c>
      <c r="B28" s="514" t="s">
        <v>392</v>
      </c>
      <c r="C28" s="443">
        <v>36640</v>
      </c>
      <c r="D28" s="444">
        <v>1061000</v>
      </c>
      <c r="E28" s="444" t="s">
        <v>272</v>
      </c>
      <c r="F28" s="442" t="s">
        <v>326</v>
      </c>
      <c r="G28" s="448">
        <v>70.5</v>
      </c>
      <c r="H28" s="445">
        <f>+D28*G28</f>
        <v>74800500</v>
      </c>
      <c r="I28" s="443">
        <v>36823</v>
      </c>
      <c r="J28" s="446" t="s">
        <v>331</v>
      </c>
    </row>
    <row r="29" spans="1:10">
      <c r="A29" s="442" t="s">
        <v>330</v>
      </c>
      <c r="B29" s="514" t="s">
        <v>392</v>
      </c>
      <c r="C29" s="443">
        <v>36510</v>
      </c>
      <c r="D29" s="444">
        <f>280000-75000</f>
        <v>205000</v>
      </c>
      <c r="E29" s="444" t="s">
        <v>272</v>
      </c>
      <c r="F29" s="442" t="s">
        <v>326</v>
      </c>
      <c r="G29" s="442">
        <v>36.912799999999997</v>
      </c>
      <c r="H29" s="445">
        <f>+D29*G29</f>
        <v>7567123.9999999991</v>
      </c>
      <c r="I29" s="443">
        <v>36878</v>
      </c>
      <c r="J29" s="446" t="s">
        <v>484</v>
      </c>
    </row>
    <row r="30" spans="1:10">
      <c r="A30" s="442"/>
      <c r="B30" s="514"/>
      <c r="C30" s="443"/>
      <c r="D30" s="444"/>
      <c r="E30" s="444"/>
      <c r="F30" s="442"/>
      <c r="G30" s="442"/>
      <c r="H30" s="445"/>
      <c r="I30" s="443"/>
      <c r="J30" s="446"/>
    </row>
    <row r="31" spans="1:10">
      <c r="A31" s="442" t="s">
        <v>330</v>
      </c>
      <c r="B31" s="514" t="s">
        <v>392</v>
      </c>
      <c r="C31" s="443">
        <v>36479</v>
      </c>
      <c r="D31" s="444">
        <v>378000</v>
      </c>
      <c r="E31" s="444" t="s">
        <v>272</v>
      </c>
      <c r="F31" s="442" t="s">
        <v>326</v>
      </c>
      <c r="G31" s="442">
        <v>68.9375</v>
      </c>
      <c r="H31" s="445">
        <f>+D31*G31</f>
        <v>26058375</v>
      </c>
      <c r="I31" s="443">
        <v>36845</v>
      </c>
      <c r="J31" s="446" t="s">
        <v>331</v>
      </c>
    </row>
    <row r="32" spans="1:10">
      <c r="A32" s="442"/>
      <c r="B32" s="514"/>
      <c r="C32" s="443"/>
      <c r="D32" s="444"/>
      <c r="E32" s="444"/>
      <c r="F32" s="442"/>
      <c r="G32" s="442"/>
      <c r="H32" s="445"/>
      <c r="I32" s="443"/>
      <c r="J32" s="446"/>
    </row>
    <row r="33" spans="1:10">
      <c r="A33" s="442" t="s">
        <v>369</v>
      </c>
      <c r="B33" s="514" t="s">
        <v>391</v>
      </c>
      <c r="C33" s="443">
        <v>36654</v>
      </c>
      <c r="D33" s="444">
        <f>790000+460000+511200</f>
        <v>1761200</v>
      </c>
      <c r="E33" s="444" t="s">
        <v>272</v>
      </c>
      <c r="F33" s="442" t="s">
        <v>326</v>
      </c>
      <c r="G33" s="442">
        <v>76.125</v>
      </c>
      <c r="H33" s="445">
        <f>+D33*G33</f>
        <v>134071350</v>
      </c>
      <c r="I33" s="443">
        <v>37019</v>
      </c>
      <c r="J33" s="446" t="s">
        <v>395</v>
      </c>
    </row>
    <row r="34" spans="1:10" ht="8.1" customHeight="1">
      <c r="B34" s="3"/>
    </row>
    <row r="35" spans="1:10" ht="13.8" thickBot="1">
      <c r="B35" s="3"/>
      <c r="D35" s="449">
        <f>SUM(D8:D34)</f>
        <v>34076756</v>
      </c>
      <c r="E35" s="237"/>
      <c r="H35" s="449">
        <f>SUM(H8:H34)</f>
        <v>1723074064.47504</v>
      </c>
    </row>
    <row r="36" spans="1:10" ht="13.8" thickTop="1">
      <c r="B36" s="3"/>
      <c r="D36" s="237"/>
      <c r="E36" s="237"/>
      <c r="H36" s="237"/>
    </row>
    <row r="37" spans="1:10" ht="13.8" thickBot="1">
      <c r="A37" t="s">
        <v>332</v>
      </c>
      <c r="B37" s="3"/>
      <c r="D37" s="237"/>
      <c r="E37" s="237"/>
      <c r="H37" s="450">
        <f>+H35/D35</f>
        <v>50.564498113465966</v>
      </c>
    </row>
    <row r="38" spans="1:10" ht="13.8" thickTop="1">
      <c r="B38" s="3"/>
    </row>
    <row r="39" spans="1:10">
      <c r="A39" s="200" t="s">
        <v>390</v>
      </c>
      <c r="B39" s="515"/>
    </row>
    <row r="40" spans="1:10">
      <c r="A40" s="442" t="s">
        <v>330</v>
      </c>
      <c r="B40" s="514" t="s">
        <v>392</v>
      </c>
      <c r="C40" s="443">
        <v>36546</v>
      </c>
      <c r="D40" s="444">
        <v>15000</v>
      </c>
      <c r="E40" s="444" t="s">
        <v>272</v>
      </c>
      <c r="F40" s="442" t="s">
        <v>326</v>
      </c>
      <c r="G40" s="442">
        <v>55.9375</v>
      </c>
      <c r="H40" s="445">
        <f t="shared" ref="H40:H45" si="0">+D40*G40</f>
        <v>839062.5</v>
      </c>
      <c r="I40" s="443">
        <v>36579</v>
      </c>
      <c r="J40" s="446" t="s">
        <v>389</v>
      </c>
    </row>
    <row r="41" spans="1:10">
      <c r="A41" s="442" t="s">
        <v>369</v>
      </c>
      <c r="B41" s="514" t="s">
        <v>392</v>
      </c>
      <c r="C41" s="443">
        <v>36621</v>
      </c>
      <c r="D41" s="444">
        <v>790000</v>
      </c>
      <c r="E41" s="444" t="s">
        <v>272</v>
      </c>
      <c r="F41" s="442" t="s">
        <v>326</v>
      </c>
      <c r="G41" s="442">
        <v>66.886499999999998</v>
      </c>
      <c r="H41" s="445">
        <f t="shared" si="0"/>
        <v>52840335</v>
      </c>
      <c r="I41" s="443">
        <v>36654</v>
      </c>
      <c r="J41" s="446" t="s">
        <v>396</v>
      </c>
    </row>
    <row r="42" spans="1:10">
      <c r="A42" s="442" t="s">
        <v>369</v>
      </c>
      <c r="B42" s="514" t="s">
        <v>392</v>
      </c>
      <c r="C42" s="443">
        <v>36622</v>
      </c>
      <c r="D42" s="444">
        <v>460000</v>
      </c>
      <c r="E42" s="444" t="s">
        <v>272</v>
      </c>
      <c r="F42" s="442" t="s">
        <v>326</v>
      </c>
      <c r="G42" s="442">
        <v>67.582899999999995</v>
      </c>
      <c r="H42" s="445">
        <f t="shared" si="0"/>
        <v>31088133.999999996</v>
      </c>
      <c r="I42" s="443">
        <v>36654</v>
      </c>
      <c r="J42" s="446" t="s">
        <v>396</v>
      </c>
    </row>
    <row r="43" spans="1:10">
      <c r="A43" s="442" t="s">
        <v>369</v>
      </c>
      <c r="B43" s="514" t="s">
        <v>392</v>
      </c>
      <c r="C43" s="443">
        <v>36633</v>
      </c>
      <c r="D43" s="444">
        <v>511200</v>
      </c>
      <c r="E43" s="444" t="s">
        <v>272</v>
      </c>
      <c r="F43" s="442" t="s">
        <v>326</v>
      </c>
      <c r="G43" s="442">
        <v>64.768100000000004</v>
      </c>
      <c r="H43" s="445">
        <f t="shared" si="0"/>
        <v>33109452.720000003</v>
      </c>
      <c r="I43" s="443">
        <v>36654</v>
      </c>
      <c r="J43" s="446" t="s">
        <v>396</v>
      </c>
    </row>
    <row r="44" spans="1:10">
      <c r="A44" s="442" t="s">
        <v>330</v>
      </c>
      <c r="B44" s="514" t="s">
        <v>392</v>
      </c>
      <c r="C44" s="443">
        <v>36549</v>
      </c>
      <c r="D44" s="444">
        <v>1061000</v>
      </c>
      <c r="E44" s="444" t="s">
        <v>272</v>
      </c>
      <c r="F44" s="442" t="s">
        <v>326</v>
      </c>
      <c r="G44" s="448">
        <v>65</v>
      </c>
      <c r="H44" s="445">
        <f t="shared" si="0"/>
        <v>68965000</v>
      </c>
      <c r="I44" s="443">
        <v>36640</v>
      </c>
      <c r="J44" s="446" t="s">
        <v>331</v>
      </c>
    </row>
    <row r="45" spans="1:10">
      <c r="A45" s="442" t="s">
        <v>330</v>
      </c>
      <c r="B45" s="514" t="s">
        <v>392</v>
      </c>
      <c r="C45" s="443">
        <v>36510</v>
      </c>
      <c r="D45" s="444">
        <v>280000</v>
      </c>
      <c r="E45" s="444" t="s">
        <v>272</v>
      </c>
      <c r="F45" s="442" t="s">
        <v>326</v>
      </c>
      <c r="G45" s="442">
        <v>69.4375</v>
      </c>
      <c r="H45" s="445">
        <f t="shared" si="0"/>
        <v>19442500</v>
      </c>
      <c r="I45" s="443">
        <v>36878</v>
      </c>
      <c r="J45" s="446" t="s">
        <v>359</v>
      </c>
    </row>
    <row r="46" spans="1:10">
      <c r="A46" s="442" t="s">
        <v>330</v>
      </c>
      <c r="B46" s="514" t="s">
        <v>392</v>
      </c>
      <c r="C46" s="443">
        <v>36510</v>
      </c>
      <c r="D46" s="444">
        <v>75000</v>
      </c>
      <c r="E46" s="444" t="s">
        <v>272</v>
      </c>
      <c r="F46" s="442" t="s">
        <v>326</v>
      </c>
      <c r="G46" s="442">
        <v>36.912799999999997</v>
      </c>
      <c r="H46" s="445">
        <f>+D46*G46</f>
        <v>2768460</v>
      </c>
      <c r="I46" s="443">
        <v>36878</v>
      </c>
      <c r="J46" s="446" t="s">
        <v>485</v>
      </c>
    </row>
  </sheetData>
  <pageMargins left="1" right="0.75" top="1" bottom="0.5" header="0.5" footer="0.25"/>
  <pageSetup scale="69" orientation="landscape" horizontalDpi="0" r:id="rId1"/>
  <headerFooter alignWithMargins="0">
    <oddFooter>&amp;L&amp;F  &amp;A&amp;R&amp;D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M68"/>
  <sheetViews>
    <sheetView topLeftCell="A10" zoomScaleNormal="100" workbookViewId="0">
      <selection activeCell="E34" sqref="E34"/>
    </sheetView>
  </sheetViews>
  <sheetFormatPr defaultRowHeight="13.2"/>
  <cols>
    <col min="1" max="1" width="14" customWidth="1"/>
    <col min="2" max="2" width="33.6640625" customWidth="1"/>
    <col min="3" max="4" width="15.88671875" customWidth="1"/>
    <col min="5" max="5" width="15.5546875" bestFit="1" customWidth="1"/>
    <col min="6" max="6" width="14.6640625" customWidth="1"/>
    <col min="7" max="8" width="15.6640625" customWidth="1"/>
    <col min="9" max="9" width="12.88671875" customWidth="1"/>
    <col min="10" max="11" width="13.5546875" customWidth="1"/>
    <col min="13" max="13" width="13.5546875" customWidth="1"/>
  </cols>
  <sheetData>
    <row r="1" spans="1:13">
      <c r="C1" t="s">
        <v>152</v>
      </c>
      <c r="E1" s="548">
        <v>36525</v>
      </c>
      <c r="F1" s="548">
        <v>36616</v>
      </c>
      <c r="G1" s="548">
        <v>36707</v>
      </c>
      <c r="H1" s="548">
        <v>36799</v>
      </c>
      <c r="I1" s="548">
        <v>36891</v>
      </c>
    </row>
    <row r="2" spans="1:13">
      <c r="A2" s="522"/>
      <c r="C2" t="s">
        <v>463</v>
      </c>
    </row>
    <row r="3" spans="1:13">
      <c r="A3" s="537">
        <f>+Input!B16</f>
        <v>36707</v>
      </c>
    </row>
    <row r="5" spans="1:13" ht="15.6">
      <c r="A5" s="133" t="s">
        <v>404</v>
      </c>
    </row>
    <row r="6" spans="1:13">
      <c r="A6" s="200" t="s">
        <v>405</v>
      </c>
    </row>
    <row r="7" spans="1:13">
      <c r="C7" s="3" t="s">
        <v>42</v>
      </c>
      <c r="D7" s="3" t="s">
        <v>467</v>
      </c>
      <c r="E7" s="3" t="s">
        <v>409</v>
      </c>
      <c r="M7" s="3" t="s">
        <v>454</v>
      </c>
    </row>
    <row r="8" spans="1:13">
      <c r="C8" s="524" t="s">
        <v>0</v>
      </c>
      <c r="D8" s="524" t="s">
        <v>466</v>
      </c>
      <c r="E8" s="524" t="s">
        <v>410</v>
      </c>
      <c r="F8" s="524" t="s">
        <v>411</v>
      </c>
      <c r="G8" s="524" t="s">
        <v>412</v>
      </c>
      <c r="H8" s="524" t="s">
        <v>413</v>
      </c>
      <c r="I8" s="524" t="s">
        <v>414</v>
      </c>
      <c r="J8" s="524" t="s">
        <v>85</v>
      </c>
      <c r="K8" s="524" t="s">
        <v>214</v>
      </c>
      <c r="M8" s="524" t="s">
        <v>214</v>
      </c>
    </row>
    <row r="9" spans="1:13">
      <c r="C9" s="524"/>
      <c r="D9" s="524"/>
      <c r="E9" s="524"/>
      <c r="F9" s="524"/>
      <c r="G9" s="524"/>
      <c r="H9" s="524"/>
      <c r="I9" s="524"/>
      <c r="J9" s="524"/>
      <c r="K9" s="524"/>
    </row>
    <row r="10" spans="1:13">
      <c r="A10" t="s">
        <v>406</v>
      </c>
      <c r="F10" s="547">
        <f>LOOKUP(+E1,Input!$A$20:$A$826,Input!$B$20:$B$826)</f>
        <v>44.375</v>
      </c>
      <c r="G10" s="546">
        <f>+F11</f>
        <v>74.875</v>
      </c>
      <c r="H10" s="546"/>
      <c r="I10" s="546"/>
    </row>
    <row r="11" spans="1:13">
      <c r="A11" t="s">
        <v>407</v>
      </c>
      <c r="F11" s="547">
        <f>IF($A$3&gt;F1,LOOKUP(+F1,Input!$A$20:$A$826,Input!$B$20:$B$826),LOOKUP(+$A$3,Input!$A$20:$A$826,Input!$B$20:$B$826))</f>
        <v>74.875</v>
      </c>
      <c r="G11" s="547">
        <f>IF($A$3&gt;G1,LOOKUP(+G1,Input!$A$20:$A$826,Input!$B$20:$B$826),LOOKUP(+$A$3,Input!$A$20:$A$826,Input!$B$20:$B$826))</f>
        <v>64.5</v>
      </c>
      <c r="H11" s="547"/>
      <c r="I11" s="547"/>
    </row>
    <row r="12" spans="1:13">
      <c r="A12" t="s">
        <v>408</v>
      </c>
      <c r="B12" s="523">
        <f>+A3</f>
        <v>36707</v>
      </c>
    </row>
    <row r="14" spans="1:13">
      <c r="A14" s="200" t="s">
        <v>415</v>
      </c>
    </row>
    <row r="15" spans="1:13">
      <c r="C15" s="6"/>
      <c r="D15" s="6"/>
      <c r="E15" s="6"/>
      <c r="G15" s="194"/>
      <c r="H15" s="194"/>
      <c r="I15" s="194"/>
      <c r="J15" s="194"/>
      <c r="K15" s="194"/>
      <c r="M15" s="194"/>
    </row>
    <row r="16" spans="1:13">
      <c r="B16" s="200" t="s">
        <v>425</v>
      </c>
      <c r="E16" s="194">
        <f>2000000-SUM(D17:D21)</f>
        <v>1103200</v>
      </c>
      <c r="G16" s="194"/>
      <c r="H16" s="194"/>
      <c r="I16" s="194"/>
      <c r="J16" s="194"/>
      <c r="K16" s="194"/>
      <c r="M16" s="194"/>
    </row>
    <row r="17" spans="1:13">
      <c r="B17" t="s">
        <v>476</v>
      </c>
      <c r="C17" s="6">
        <f>+'MLCO 6-28'!B16</f>
        <v>110100</v>
      </c>
      <c r="D17" s="6">
        <f>C17</f>
        <v>110100</v>
      </c>
      <c r="E17" s="6"/>
      <c r="G17" s="194">
        <f>+'MLCO 6-28'!E39</f>
        <v>-446725.25</v>
      </c>
      <c r="H17" s="194">
        <f>+'MLCO 6-28'!I39</f>
        <v>0</v>
      </c>
      <c r="I17" s="194">
        <f>+'MLCO 6-28'!M39</f>
        <v>0</v>
      </c>
      <c r="J17" s="194">
        <f>+K17-M17</f>
        <v>-446725.25</v>
      </c>
      <c r="K17" s="194">
        <f>+'MLCO 6-28'!O39</f>
        <v>-446725.25</v>
      </c>
      <c r="M17" s="194">
        <v>0</v>
      </c>
    </row>
    <row r="18" spans="1:13">
      <c r="C18" s="6"/>
      <c r="D18" s="6"/>
      <c r="E18" s="6"/>
      <c r="G18" s="194"/>
      <c r="H18" s="194"/>
      <c r="I18" s="194"/>
      <c r="J18" s="194"/>
      <c r="K18" s="194"/>
      <c r="M18" s="194"/>
    </row>
    <row r="19" spans="1:13">
      <c r="B19" t="s">
        <v>477</v>
      </c>
      <c r="C19" s="6">
        <f>+'MLCO 6-29'!B16</f>
        <v>150000</v>
      </c>
      <c r="D19" s="6">
        <f>C19</f>
        <v>150000</v>
      </c>
      <c r="E19" s="6"/>
      <c r="G19" s="194">
        <f>+'MLCO 6-29'!E39</f>
        <v>-606601.59</v>
      </c>
      <c r="H19" s="194">
        <f>+'MLCO 6-29'!I39</f>
        <v>0</v>
      </c>
      <c r="I19" s="194">
        <f>+'MLCO 6-29'!M39</f>
        <v>0</v>
      </c>
      <c r="J19" s="194">
        <f>+K19-M19</f>
        <v>-606601.59</v>
      </c>
      <c r="K19" s="194">
        <f>+'MLCO 6-29'!O39</f>
        <v>-606601.59</v>
      </c>
      <c r="M19" s="194">
        <v>0</v>
      </c>
    </row>
    <row r="20" spans="1:13">
      <c r="B20" s="200"/>
      <c r="C20" s="6"/>
      <c r="D20" s="6"/>
      <c r="E20" s="6"/>
      <c r="M20" s="194"/>
    </row>
    <row r="21" spans="1:13">
      <c r="B21" t="s">
        <v>481</v>
      </c>
      <c r="C21" s="6">
        <f>+'MLCO 6-29 (2)'!B16</f>
        <v>636700</v>
      </c>
      <c r="D21" s="6">
        <f>C21</f>
        <v>636700</v>
      </c>
      <c r="E21" s="6"/>
      <c r="G21" s="194">
        <f>+'MLCO 6-29 (2)'!E39</f>
        <v>-2461354.8599999994</v>
      </c>
      <c r="H21" s="194">
        <f>+'MLCO 6-29 (2)'!I39</f>
        <v>0</v>
      </c>
      <c r="I21" s="194">
        <f>+'MLCO 6-29 (2)'!M39</f>
        <v>0</v>
      </c>
      <c r="J21" s="194">
        <f>+K21-M21</f>
        <v>-2461354.8599999994</v>
      </c>
      <c r="K21" s="194">
        <f>+'MLCO 6-29 (2)'!O39</f>
        <v>-2461354.8599999994</v>
      </c>
      <c r="M21" s="194">
        <v>0</v>
      </c>
    </row>
    <row r="22" spans="1:13">
      <c r="C22" s="6"/>
      <c r="D22" s="6"/>
    </row>
    <row r="23" spans="1:13">
      <c r="A23" s="200" t="s">
        <v>468</v>
      </c>
      <c r="C23" s="6"/>
      <c r="D23" s="6"/>
    </row>
    <row r="24" spans="1:13">
      <c r="C24" s="6"/>
      <c r="D24" s="6"/>
    </row>
    <row r="25" spans="1:13">
      <c r="B25" s="200" t="s">
        <v>418</v>
      </c>
      <c r="C25" s="6"/>
      <c r="D25" s="6"/>
      <c r="E25" s="525"/>
    </row>
    <row r="26" spans="1:13">
      <c r="B26" t="s">
        <v>419</v>
      </c>
      <c r="C26" s="6">
        <f>+'Credit Suisse 4-5'!B16</f>
        <v>790000</v>
      </c>
      <c r="D26" s="6">
        <f>C26</f>
        <v>790000</v>
      </c>
      <c r="G26" s="194">
        <f>ROUND(+'Credit Suisse 4-5'!E39,0)</f>
        <v>6946004</v>
      </c>
      <c r="J26" s="194">
        <f>+K26-M26</f>
        <v>0</v>
      </c>
      <c r="K26" s="194">
        <f>ROUND(+'Credit Suisse 4-5'!O39,0)</f>
        <v>6946004</v>
      </c>
      <c r="L26">
        <v>0</v>
      </c>
      <c r="M26" s="194">
        <v>6946004</v>
      </c>
    </row>
    <row r="27" spans="1:13">
      <c r="B27" t="s">
        <v>420</v>
      </c>
      <c r="C27" s="6"/>
      <c r="D27" s="6"/>
      <c r="M27" s="194"/>
    </row>
    <row r="28" spans="1:13">
      <c r="B28" t="s">
        <v>421</v>
      </c>
      <c r="C28" s="6">
        <f>+'Credit Suisse 4-6'!B16</f>
        <v>460000</v>
      </c>
      <c r="D28" s="6">
        <f>C28</f>
        <v>460000</v>
      </c>
      <c r="G28" s="194">
        <f>ROUND(+'Credit Suisse 4-6'!E39,0)</f>
        <v>3728188</v>
      </c>
      <c r="J28" s="194">
        <f>+K28-M28</f>
        <v>0</v>
      </c>
      <c r="K28" s="194">
        <f>ROUND(+'Credit Suisse 4-6'!O39,0)</f>
        <v>3728188</v>
      </c>
      <c r="L28">
        <v>0</v>
      </c>
      <c r="M28" s="194">
        <v>3728188</v>
      </c>
    </row>
    <row r="29" spans="1:13">
      <c r="B29" t="s">
        <v>420</v>
      </c>
      <c r="C29" s="6"/>
      <c r="D29" s="6"/>
      <c r="M29" s="194"/>
    </row>
    <row r="30" spans="1:13">
      <c r="B30" t="s">
        <v>422</v>
      </c>
      <c r="C30" s="6">
        <f>+'Credit Suisse 4-17'!B16</f>
        <v>511200</v>
      </c>
      <c r="D30" s="6">
        <f>C30</f>
        <v>511200</v>
      </c>
      <c r="G30" s="194">
        <f>ROUND(+'Credit Suisse 4-17'!E39,0)</f>
        <v>5650377</v>
      </c>
      <c r="J30" s="194">
        <f>+K30-M30</f>
        <v>0</v>
      </c>
      <c r="K30" s="194">
        <f>ROUND(+'Credit Suisse 4-17'!O39,0)</f>
        <v>5650377</v>
      </c>
      <c r="L30">
        <v>0</v>
      </c>
      <c r="M30" s="194">
        <v>5650377</v>
      </c>
    </row>
    <row r="31" spans="1:13">
      <c r="B31" t="s">
        <v>420</v>
      </c>
      <c r="C31" s="6"/>
      <c r="D31" s="6"/>
      <c r="M31" s="194"/>
    </row>
    <row r="32" spans="1:13">
      <c r="B32" t="s">
        <v>475</v>
      </c>
      <c r="C32" s="6">
        <f>+'CFSB 6-27'!B16</f>
        <v>750000</v>
      </c>
      <c r="D32" s="6">
        <f>C32</f>
        <v>750000</v>
      </c>
      <c r="E32" s="6"/>
      <c r="G32" s="194"/>
      <c r="H32" s="194">
        <f>+'CFSB 6-27'!I39</f>
        <v>0</v>
      </c>
      <c r="I32" s="194">
        <f>+'CFSB 6-27'!M39</f>
        <v>0</v>
      </c>
      <c r="J32" s="194">
        <f>+K32-M32</f>
        <v>-3013507.07</v>
      </c>
      <c r="K32" s="194">
        <f>+'CFSB 6-27'!O39</f>
        <v>-3013507.07</v>
      </c>
      <c r="M32" s="194">
        <v>0</v>
      </c>
    </row>
    <row r="33" spans="2:13">
      <c r="C33" s="6"/>
      <c r="D33" s="6"/>
      <c r="M33" s="194"/>
    </row>
    <row r="34" spans="2:13">
      <c r="B34" s="200" t="s">
        <v>425</v>
      </c>
      <c r="E34" s="525"/>
      <c r="M34" s="194"/>
    </row>
    <row r="35" spans="2:13">
      <c r="B35" t="s">
        <v>426</v>
      </c>
      <c r="M35" s="194"/>
    </row>
    <row r="36" spans="2:13">
      <c r="M36" s="194"/>
    </row>
    <row r="37" spans="2:13">
      <c r="B37" s="200" t="s">
        <v>416</v>
      </c>
      <c r="M37" s="194"/>
    </row>
    <row r="38" spans="2:13">
      <c r="B38" t="s">
        <v>417</v>
      </c>
      <c r="C38" s="6">
        <v>323000</v>
      </c>
      <c r="D38" s="6">
        <f>C38</f>
        <v>323000</v>
      </c>
      <c r="E38" s="525">
        <v>677000</v>
      </c>
      <c r="G38" s="194">
        <f>ROUND(+'Bear Stearns 5-24'!E39,0)</f>
        <v>2177032</v>
      </c>
      <c r="J38" s="194">
        <f>+K38-M38</f>
        <v>0</v>
      </c>
      <c r="K38" s="194">
        <f>ROUND(+'Bear Stearns 5-24'!O39,0)</f>
        <v>2177032</v>
      </c>
      <c r="L38">
        <v>0</v>
      </c>
      <c r="M38" s="194">
        <v>2177032</v>
      </c>
    </row>
    <row r="39" spans="2:13">
      <c r="B39" t="s">
        <v>473</v>
      </c>
      <c r="M39" s="194"/>
    </row>
    <row r="40" spans="2:13">
      <c r="B40" s="401">
        <v>36678</v>
      </c>
      <c r="M40" s="194"/>
    </row>
    <row r="41" spans="2:13">
      <c r="M41" s="194"/>
    </row>
    <row r="42" spans="2:13">
      <c r="B42" s="200" t="s">
        <v>423</v>
      </c>
      <c r="C42" s="6"/>
      <c r="D42" s="6"/>
      <c r="E42" s="526"/>
      <c r="M42" s="194"/>
    </row>
    <row r="43" spans="2:13">
      <c r="B43" t="s">
        <v>424</v>
      </c>
      <c r="C43" s="6">
        <f>+'DWR 1305741'!B10</f>
        <v>15000</v>
      </c>
      <c r="D43" s="6"/>
      <c r="F43" s="194">
        <f>ROUND(+'DWR 1305741'!E31,0)</f>
        <v>137354</v>
      </c>
      <c r="J43" s="194">
        <f>+K43-M43</f>
        <v>0</v>
      </c>
      <c r="K43" s="194">
        <f>ROUND(+'DWR 1305741'!I31,0)</f>
        <v>137354</v>
      </c>
      <c r="L43">
        <v>0</v>
      </c>
      <c r="M43" s="194">
        <v>137354</v>
      </c>
    </row>
    <row r="44" spans="2:13">
      <c r="B44" t="s">
        <v>427</v>
      </c>
      <c r="M44" s="194"/>
    </row>
    <row r="45" spans="2:13">
      <c r="M45" s="194"/>
    </row>
    <row r="46" spans="2:13">
      <c r="B46" s="200" t="s">
        <v>30</v>
      </c>
      <c r="E46" s="259" t="s">
        <v>186</v>
      </c>
      <c r="M46" s="194"/>
    </row>
    <row r="47" spans="2:13">
      <c r="B47" t="s">
        <v>429</v>
      </c>
      <c r="C47" s="6">
        <f>+'JEDI MTM'!A58</f>
        <v>12012804</v>
      </c>
      <c r="D47" s="6"/>
      <c r="F47" s="527">
        <f>ROUND(+AndyJeff!J18+AndyJeff!J27+AndyJeff!J22+AndyJeff!J34,0)</f>
        <v>85158000</v>
      </c>
      <c r="G47" s="527"/>
      <c r="J47" s="194">
        <f>+K47-M47</f>
        <v>0</v>
      </c>
      <c r="K47" s="527">
        <f>ROUND(+AndyJeff!J18+AndyJeff!J27+AndyJeff!J22+AndyJeff!J34,0)</f>
        <v>85158000</v>
      </c>
      <c r="L47">
        <v>0</v>
      </c>
      <c r="M47" s="194">
        <v>85158000</v>
      </c>
    </row>
    <row r="48" spans="2:13">
      <c r="B48" t="s">
        <v>431</v>
      </c>
      <c r="C48" s="6"/>
      <c r="D48" s="6"/>
      <c r="F48" s="527"/>
      <c r="G48" s="527"/>
      <c r="K48" s="527"/>
      <c r="M48" s="194"/>
    </row>
    <row r="49" spans="1:13">
      <c r="B49" s="57" t="s">
        <v>430</v>
      </c>
      <c r="C49" s="6">
        <f>+C47</f>
        <v>12012804</v>
      </c>
      <c r="D49" s="6"/>
      <c r="F49" s="526"/>
      <c r="G49" s="527"/>
      <c r="J49" s="194">
        <f>+K49-M49</f>
        <v>0</v>
      </c>
      <c r="K49" s="526">
        <v>0</v>
      </c>
      <c r="L49">
        <v>0</v>
      </c>
      <c r="M49" s="194">
        <v>0</v>
      </c>
    </row>
    <row r="50" spans="1:13">
      <c r="C50" s="6"/>
      <c r="D50" s="6"/>
      <c r="F50" s="527"/>
      <c r="G50" s="527"/>
      <c r="K50" s="527"/>
      <c r="M50" s="194"/>
    </row>
    <row r="51" spans="1:13">
      <c r="B51" s="200"/>
      <c r="C51" s="6"/>
      <c r="D51" s="6"/>
      <c r="F51" s="527"/>
      <c r="G51" s="527"/>
      <c r="K51" s="527"/>
      <c r="M51" s="194"/>
    </row>
    <row r="52" spans="1:13">
      <c r="B52" s="57"/>
      <c r="C52" s="6"/>
      <c r="D52" s="6"/>
      <c r="F52" s="527"/>
      <c r="G52" s="194"/>
      <c r="H52" s="194"/>
      <c r="I52" s="194"/>
      <c r="J52" s="194"/>
      <c r="K52" s="194"/>
      <c r="M52" s="194"/>
    </row>
    <row r="53" spans="1:13">
      <c r="C53" s="6"/>
      <c r="D53" s="6"/>
      <c r="F53" s="527"/>
      <c r="G53" s="527"/>
      <c r="K53" s="527"/>
      <c r="M53" s="194"/>
    </row>
    <row r="54" spans="1:13">
      <c r="C54" s="6"/>
      <c r="D54" s="6"/>
      <c r="F54" s="527"/>
      <c r="G54" s="527"/>
      <c r="K54" s="527"/>
      <c r="M54" s="194"/>
    </row>
    <row r="55" spans="1:13">
      <c r="A55" s="528" t="s">
        <v>428</v>
      </c>
      <c r="B55" s="529"/>
      <c r="C55" s="529"/>
      <c r="D55" s="549">
        <f>SUM(D14:D53)</f>
        <v>3731000</v>
      </c>
      <c r="E55" s="549">
        <f>SUM(E14:E53)</f>
        <v>1780200</v>
      </c>
      <c r="F55" s="549">
        <f>SUM(F14:F53)</f>
        <v>85295354</v>
      </c>
      <c r="G55" s="549">
        <f>SUM(G14:G53)</f>
        <v>14986919.300000001</v>
      </c>
      <c r="H55" s="530">
        <f>SUM(H9:H54)</f>
        <v>0</v>
      </c>
      <c r="I55" s="530">
        <f>SUM(I9:I54)</f>
        <v>0</v>
      </c>
      <c r="J55" s="530">
        <f>SUM(J9:J54)</f>
        <v>-6528188.7699999996</v>
      </c>
      <c r="K55" s="530">
        <f>SUM(K9:K54)</f>
        <v>97268766.230000004</v>
      </c>
    </row>
    <row r="57" spans="1:13">
      <c r="B57" s="536" t="s">
        <v>432</v>
      </c>
      <c r="C57" s="531"/>
      <c r="D57" s="531"/>
      <c r="E57" s="531"/>
      <c r="F57" s="532"/>
      <c r="G57" s="53"/>
      <c r="H57" s="536" t="s">
        <v>436</v>
      </c>
      <c r="I57" s="531"/>
      <c r="J57" s="531"/>
      <c r="K57" s="532"/>
    </row>
    <row r="58" spans="1:13">
      <c r="B58" s="533" t="s">
        <v>433</v>
      </c>
      <c r="C58" s="53"/>
      <c r="D58" s="53"/>
      <c r="E58" s="53"/>
      <c r="F58" s="214"/>
      <c r="G58" s="53"/>
      <c r="H58" s="533"/>
      <c r="I58" s="53"/>
      <c r="J58" s="540" t="s">
        <v>383</v>
      </c>
      <c r="K58" s="541" t="s">
        <v>439</v>
      </c>
    </row>
    <row r="59" spans="1:13">
      <c r="B59" s="533" t="s">
        <v>434</v>
      </c>
      <c r="C59" s="53"/>
      <c r="D59" s="53"/>
      <c r="E59" s="53"/>
      <c r="F59" s="214"/>
      <c r="G59" s="53"/>
      <c r="H59" s="533" t="s">
        <v>437</v>
      </c>
      <c r="I59" s="53"/>
      <c r="J59" s="542">
        <v>10</v>
      </c>
      <c r="K59" s="543">
        <v>300</v>
      </c>
    </row>
    <row r="60" spans="1:13">
      <c r="B60" s="533" t="s">
        <v>435</v>
      </c>
      <c r="C60" s="53"/>
      <c r="D60" s="53"/>
      <c r="E60" s="53"/>
      <c r="F60" s="214"/>
      <c r="G60" s="53"/>
      <c r="H60" s="533" t="s">
        <v>438</v>
      </c>
      <c r="I60" s="53"/>
      <c r="J60" s="542">
        <f>VaR!B1/-1000000</f>
        <v>3.5656274948348901</v>
      </c>
      <c r="K60" s="543">
        <f>VaR!H4/1000000</f>
        <v>106.2186</v>
      </c>
    </row>
    <row r="61" spans="1:13">
      <c r="B61" s="534"/>
      <c r="C61" s="4"/>
      <c r="D61" s="4"/>
      <c r="E61" s="4"/>
      <c r="F61" s="535"/>
      <c r="G61" s="53"/>
      <c r="H61" s="534"/>
      <c r="I61" s="4"/>
      <c r="J61" s="4"/>
      <c r="K61" s="535"/>
    </row>
    <row r="63" spans="1:13">
      <c r="B63" s="536" t="s">
        <v>441</v>
      </c>
      <c r="C63" s="531"/>
      <c r="D63" s="531"/>
      <c r="E63" s="531"/>
      <c r="F63" s="532"/>
    </row>
    <row r="64" spans="1:13">
      <c r="B64" s="533" t="s">
        <v>442</v>
      </c>
      <c r="C64" s="53" t="s">
        <v>443</v>
      </c>
      <c r="D64" s="53"/>
      <c r="E64" s="544" t="s">
        <v>444</v>
      </c>
      <c r="F64" s="214"/>
    </row>
    <row r="65" spans="2:6">
      <c r="B65" s="533" t="s">
        <v>423</v>
      </c>
      <c r="C65" s="53" t="s">
        <v>446</v>
      </c>
      <c r="D65" s="53"/>
      <c r="E65" s="544" t="s">
        <v>445</v>
      </c>
      <c r="F65" s="214"/>
    </row>
    <row r="66" spans="2:6">
      <c r="B66" s="533" t="s">
        <v>425</v>
      </c>
      <c r="C66" s="53" t="s">
        <v>447</v>
      </c>
      <c r="D66" s="53"/>
      <c r="E66" s="544" t="s">
        <v>448</v>
      </c>
      <c r="F66" s="214"/>
    </row>
    <row r="67" spans="2:6">
      <c r="B67" s="533" t="s">
        <v>416</v>
      </c>
      <c r="C67" s="53" t="s">
        <v>450</v>
      </c>
      <c r="D67" s="53"/>
      <c r="E67" s="544" t="s">
        <v>449</v>
      </c>
      <c r="F67" s="214"/>
    </row>
    <row r="68" spans="2:6">
      <c r="B68" s="534" t="s">
        <v>451</v>
      </c>
      <c r="C68" s="4" t="s">
        <v>452</v>
      </c>
      <c r="D68" s="4"/>
      <c r="E68" s="545" t="s">
        <v>453</v>
      </c>
      <c r="F68" s="535"/>
    </row>
  </sheetData>
  <pageMargins left="0.75" right="0.75" top="0.75" bottom="0.75" header="0.5" footer="0.25"/>
  <pageSetup scale="58" orientation="landscape" horizontalDpi="0" r:id="rId1"/>
  <headerFooter alignWithMargins="0">
    <oddFooter>&amp;L&amp;F  &amp;A&amp;R&amp;D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3:F15"/>
  <sheetViews>
    <sheetView workbookViewId="0">
      <selection activeCell="J20" sqref="J20"/>
    </sheetView>
  </sheetViews>
  <sheetFormatPr defaultRowHeight="13.2"/>
  <cols>
    <col min="2" max="2" width="12.88671875" bestFit="1" customWidth="1"/>
    <col min="5" max="6" width="13.88671875" bestFit="1" customWidth="1"/>
  </cols>
  <sheetData>
    <row r="3" spans="1:6">
      <c r="A3" t="s">
        <v>363</v>
      </c>
    </row>
    <row r="4" spans="1:6">
      <c r="A4" t="s">
        <v>364</v>
      </c>
    </row>
    <row r="6" spans="1:6">
      <c r="A6" s="10"/>
      <c r="B6" s="10" t="s">
        <v>367</v>
      </c>
      <c r="C6" s="10" t="s">
        <v>275</v>
      </c>
      <c r="D6" s="10" t="s">
        <v>18</v>
      </c>
      <c r="E6" s="10" t="s">
        <v>52</v>
      </c>
      <c r="F6" s="10" t="s">
        <v>52</v>
      </c>
    </row>
    <row r="7" spans="1:6">
      <c r="A7" s="5" t="s">
        <v>22</v>
      </c>
      <c r="B7" s="5" t="s">
        <v>368</v>
      </c>
      <c r="C7" s="5" t="s">
        <v>365</v>
      </c>
      <c r="D7" s="5" t="s">
        <v>89</v>
      </c>
      <c r="E7" s="5" t="s">
        <v>366</v>
      </c>
      <c r="F7" s="5" t="s">
        <v>366</v>
      </c>
    </row>
    <row r="8" spans="1:6">
      <c r="A8" s="57">
        <v>36243</v>
      </c>
      <c r="B8" s="6">
        <v>1600000</v>
      </c>
      <c r="C8" s="56">
        <v>64</v>
      </c>
      <c r="D8">
        <v>24.8125</v>
      </c>
      <c r="E8" s="6">
        <f t="shared" ref="E8:E13" si="0">+B8*D8</f>
        <v>39700000</v>
      </c>
      <c r="F8" s="6">
        <f t="shared" ref="F8:F13" si="1">+B8*C8</f>
        <v>102400000</v>
      </c>
    </row>
    <row r="9" spans="1:6">
      <c r="A9" s="57">
        <v>36251</v>
      </c>
      <c r="B9" s="6">
        <v>200000</v>
      </c>
      <c r="C9" s="56">
        <v>63.44</v>
      </c>
      <c r="D9">
        <v>24.25</v>
      </c>
      <c r="E9" s="6">
        <f t="shared" si="0"/>
        <v>4850000</v>
      </c>
      <c r="F9" s="6">
        <f t="shared" si="1"/>
        <v>12688000</v>
      </c>
    </row>
    <row r="10" spans="1:6">
      <c r="A10" s="57">
        <v>36251</v>
      </c>
      <c r="B10" s="6">
        <v>100000</v>
      </c>
      <c r="C10" s="56">
        <v>64</v>
      </c>
      <c r="D10">
        <v>24.8125</v>
      </c>
      <c r="E10" s="6">
        <f t="shared" si="0"/>
        <v>2481250</v>
      </c>
      <c r="F10" s="6">
        <f t="shared" si="1"/>
        <v>6400000</v>
      </c>
    </row>
    <row r="11" spans="1:6">
      <c r="A11" s="57">
        <v>36255</v>
      </c>
      <c r="B11" s="6">
        <v>150000</v>
      </c>
      <c r="C11" s="56">
        <v>62.88</v>
      </c>
      <c r="D11">
        <v>23.6875</v>
      </c>
      <c r="E11" s="6">
        <f t="shared" si="0"/>
        <v>3553125</v>
      </c>
      <c r="F11" s="6">
        <f t="shared" si="1"/>
        <v>9432000</v>
      </c>
    </row>
    <row r="12" spans="1:6">
      <c r="A12" s="57">
        <v>36265</v>
      </c>
      <c r="B12" s="6">
        <v>750000</v>
      </c>
      <c r="C12" s="56">
        <v>67.06</v>
      </c>
      <c r="D12">
        <v>27.875</v>
      </c>
      <c r="E12" s="6">
        <f t="shared" si="0"/>
        <v>20906250</v>
      </c>
      <c r="F12" s="6">
        <f t="shared" si="1"/>
        <v>50295000</v>
      </c>
    </row>
    <row r="13" spans="1:6">
      <c r="A13" s="57">
        <v>36265</v>
      </c>
      <c r="B13" s="6">
        <v>400000</v>
      </c>
      <c r="C13" s="56">
        <v>68</v>
      </c>
      <c r="D13">
        <v>28.8125</v>
      </c>
      <c r="E13" s="6">
        <f t="shared" si="0"/>
        <v>11525000</v>
      </c>
      <c r="F13" s="6">
        <f t="shared" si="1"/>
        <v>27200000</v>
      </c>
    </row>
    <row r="14" spans="1:6" ht="13.8" thickBot="1">
      <c r="B14" s="494">
        <f>SUM(B8:B13)</f>
        <v>3200000</v>
      </c>
      <c r="C14" s="261">
        <f>+F14/B14</f>
        <v>65.129687500000003</v>
      </c>
      <c r="D14" s="114">
        <f>+E14/B14</f>
        <v>25.9423828125</v>
      </c>
      <c r="E14" s="494">
        <f>SUM(E8:E13)</f>
        <v>83015625</v>
      </c>
      <c r="F14" s="494">
        <f>SUM(F8:F13)</f>
        <v>208415000</v>
      </c>
    </row>
    <row r="15" spans="1:6" ht="13.8" thickTop="1">
      <c r="B15" s="6"/>
    </row>
  </sheetData>
  <pageMargins left="0.75" right="0.75" top="1" bottom="1" header="0.5" footer="0.5"/>
  <pageSetup orientation="portrait" horizontalDpi="0" r:id="rId1"/>
  <headerFooter alignWithMargins="0">
    <oddFooter>&amp;L&amp;F  &amp;A&amp;R&amp;D  &amp;T</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I21"/>
  <sheetViews>
    <sheetView workbookViewId="0">
      <selection activeCell="A8" sqref="A8"/>
    </sheetView>
  </sheetViews>
  <sheetFormatPr defaultRowHeight="13.2"/>
  <cols>
    <col min="1" max="1" width="10.109375" customWidth="1"/>
    <col min="2" max="2" width="12.44140625" bestFit="1" customWidth="1"/>
    <col min="3" max="3" width="13.44140625" bestFit="1" customWidth="1"/>
    <col min="4" max="5" width="13.88671875" bestFit="1" customWidth="1"/>
    <col min="6" max="6" width="9.6640625" bestFit="1" customWidth="1"/>
    <col min="7" max="7" width="14.88671875" bestFit="1" customWidth="1"/>
    <col min="8" max="8" width="15" customWidth="1"/>
    <col min="9" max="9" width="13.109375" customWidth="1"/>
  </cols>
  <sheetData>
    <row r="2" spans="1:9">
      <c r="B2" t="s">
        <v>38</v>
      </c>
    </row>
    <row r="3" spans="1:9">
      <c r="B3" s="57" t="s">
        <v>39</v>
      </c>
    </row>
    <row r="4" spans="1:9">
      <c r="B4" s="57" t="e">
        <f>#REF!</f>
        <v>#REF!</v>
      </c>
    </row>
    <row r="6" spans="1:9" ht="13.5" customHeight="1"/>
    <row r="7" spans="1:9" s="3" customFormat="1" ht="13.5" customHeight="1">
      <c r="A7" s="5" t="s">
        <v>82</v>
      </c>
      <c r="B7" s="5" t="s">
        <v>40</v>
      </c>
      <c r="C7" s="5" t="s">
        <v>41</v>
      </c>
      <c r="D7" s="5" t="s">
        <v>45</v>
      </c>
      <c r="E7" s="5" t="s">
        <v>42</v>
      </c>
      <c r="F7" s="5" t="s">
        <v>43</v>
      </c>
      <c r="G7" s="5" t="s">
        <v>44</v>
      </c>
      <c r="H7" s="117">
        <v>36160</v>
      </c>
      <c r="I7" s="117" t="e">
        <f>#REF!</f>
        <v>#REF!</v>
      </c>
    </row>
    <row r="8" spans="1:9" ht="13.5" customHeight="1">
      <c r="A8" s="138" t="s">
        <v>83</v>
      </c>
      <c r="B8" s="141">
        <v>35775</v>
      </c>
      <c r="C8" s="141">
        <v>36507</v>
      </c>
      <c r="D8" s="140" t="s">
        <v>0</v>
      </c>
      <c r="E8" s="139">
        <v>1099773</v>
      </c>
      <c r="F8" s="138">
        <v>44.075000000000003</v>
      </c>
      <c r="G8" s="58">
        <f>F8*E8</f>
        <v>48472494.975000001</v>
      </c>
      <c r="H8" s="138">
        <v>57.0625</v>
      </c>
      <c r="I8" s="202" t="e">
        <f>#REF!</f>
        <v>#REF!</v>
      </c>
    </row>
    <row r="9" spans="1:9" ht="13.5" customHeight="1"/>
    <row r="10" spans="1:9" ht="13.5" customHeight="1">
      <c r="A10" s="57"/>
      <c r="B10" s="57">
        <v>36347</v>
      </c>
      <c r="D10" t="s">
        <v>0</v>
      </c>
      <c r="E10" s="139">
        <v>610325</v>
      </c>
      <c r="F10">
        <v>79.817700000000002</v>
      </c>
      <c r="G10" s="58">
        <f>F10*E10</f>
        <v>48714737.752499998</v>
      </c>
      <c r="I10" s="202" t="e">
        <f>#REF!</f>
        <v>#REF!</v>
      </c>
    </row>
    <row r="11" spans="1:9" ht="13.5" customHeight="1">
      <c r="A11" s="57"/>
      <c r="B11" s="57"/>
      <c r="E11" s="139"/>
      <c r="G11" s="58"/>
      <c r="I11" s="202"/>
    </row>
    <row r="12" spans="1:9" ht="13.5" customHeight="1">
      <c r="A12" s="57"/>
      <c r="B12" s="57">
        <v>36388</v>
      </c>
      <c r="E12" s="139">
        <f>+E10*2</f>
        <v>1220650</v>
      </c>
      <c r="F12">
        <f>+F10/2</f>
        <v>39.908850000000001</v>
      </c>
      <c r="G12" s="58">
        <f>F12*E12</f>
        <v>48714737.752499998</v>
      </c>
      <c r="I12" s="202" t="e">
        <f>+I10</f>
        <v>#REF!</v>
      </c>
    </row>
    <row r="14" spans="1:9">
      <c r="D14" s="57" t="e">
        <f>#REF!</f>
        <v>#REF!</v>
      </c>
      <c r="E14" t="s">
        <v>159</v>
      </c>
    </row>
    <row r="15" spans="1:9">
      <c r="C15" t="s">
        <v>39</v>
      </c>
      <c r="D15" s="6" t="e">
        <f>(I8-F8)*E8</f>
        <v>#REF!</v>
      </c>
    </row>
    <row r="17" spans="2:4">
      <c r="C17" s="57" t="s">
        <v>215</v>
      </c>
      <c r="D17" s="6" t="e">
        <f>(I10-F10)*E10</f>
        <v>#REF!</v>
      </c>
    </row>
    <row r="21" spans="2:4">
      <c r="B21" t="s">
        <v>115</v>
      </c>
    </row>
  </sheetData>
  <pageMargins left="0.75" right="0.75" top="1" bottom="1" header="0.5" footer="0.5"/>
  <pageSetup orientation="landscape" horizont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51"/>
  <sheetViews>
    <sheetView workbookViewId="0"/>
  </sheetViews>
  <sheetFormatPr defaultRowHeight="13.2"/>
  <cols>
    <col min="1" max="1" width="2.109375" customWidth="1"/>
    <col min="2" max="2" width="4.5546875" customWidth="1"/>
    <col min="3" max="3" width="1.109375" customWidth="1"/>
    <col min="4" max="4" width="11.44140625" customWidth="1"/>
    <col min="5" max="5" width="1.109375" customWidth="1"/>
    <col min="6" max="6" width="10.5546875" customWidth="1"/>
    <col min="7" max="7" width="1.109375" customWidth="1"/>
    <col min="8" max="8" width="9.88671875" bestFit="1" customWidth="1"/>
    <col min="9" max="9" width="1" customWidth="1"/>
    <col min="10" max="10" width="9.33203125" customWidth="1"/>
    <col min="11" max="11" width="1.109375" customWidth="1"/>
    <col min="12" max="12" width="8.88671875" customWidth="1"/>
    <col min="13" max="13" width="1.109375" customWidth="1"/>
    <col min="14" max="14" width="18.33203125" customWidth="1"/>
    <col min="15" max="15" width="1" customWidth="1"/>
    <col min="16" max="16" width="6.33203125" customWidth="1"/>
    <col min="17" max="17" width="1.109375" customWidth="1"/>
    <col min="18" max="18" width="9.33203125" customWidth="1"/>
    <col min="19" max="19" width="1.109375" customWidth="1"/>
    <col min="20" max="20" width="11.6640625" customWidth="1"/>
    <col min="21" max="21" width="1.109375" customWidth="1"/>
    <col min="22" max="22" width="10.5546875" customWidth="1"/>
    <col min="23" max="23" width="1.109375" customWidth="1"/>
    <col min="24" max="24" width="18.88671875" customWidth="1"/>
    <col min="25" max="25" width="1" customWidth="1"/>
    <col min="26" max="26" width="14.109375" customWidth="1"/>
  </cols>
  <sheetData>
    <row r="1" spans="1:26" ht="12" customHeight="1">
      <c r="B1" s="59"/>
      <c r="C1" s="59"/>
      <c r="D1" s="60" t="s">
        <v>46</v>
      </c>
      <c r="E1" s="61"/>
      <c r="F1" s="62"/>
      <c r="G1" s="62"/>
      <c r="H1" s="63"/>
      <c r="I1" s="63"/>
      <c r="J1" s="64"/>
      <c r="K1" s="63"/>
      <c r="L1" s="63"/>
      <c r="M1" s="63"/>
      <c r="N1" s="65"/>
      <c r="O1" s="65"/>
      <c r="P1" s="65"/>
      <c r="Q1" s="65"/>
      <c r="R1" s="65"/>
      <c r="S1" s="65"/>
      <c r="T1" s="65"/>
      <c r="U1" s="65"/>
      <c r="V1" s="65"/>
      <c r="W1" s="65"/>
      <c r="X1" s="61"/>
      <c r="Y1" s="66"/>
      <c r="Z1" s="67"/>
    </row>
    <row r="2" spans="1:26" ht="10.5" customHeight="1">
      <c r="A2" s="59"/>
      <c r="B2" s="59"/>
      <c r="C2" s="59"/>
      <c r="D2" s="66" t="s">
        <v>47</v>
      </c>
      <c r="E2" s="66"/>
      <c r="F2" s="59"/>
      <c r="G2" s="59"/>
      <c r="H2" s="63"/>
      <c r="I2" s="63"/>
      <c r="J2" s="64"/>
      <c r="K2" s="63"/>
      <c r="L2" s="63"/>
      <c r="M2" s="63"/>
      <c r="N2" s="65"/>
      <c r="O2" s="65"/>
      <c r="P2" s="65"/>
      <c r="Q2" s="65"/>
      <c r="R2" s="65"/>
      <c r="S2" s="65"/>
      <c r="T2" s="65"/>
      <c r="U2" s="65"/>
      <c r="V2" s="65" t="s">
        <v>48</v>
      </c>
      <c r="W2" s="65"/>
      <c r="X2" s="68">
        <f ca="1">NOW()</f>
        <v>36728.573221064813</v>
      </c>
      <c r="Y2" s="66"/>
      <c r="Z2" s="69">
        <f ca="1">NOW()</f>
        <v>36728.573221064813</v>
      </c>
    </row>
    <row r="3" spans="1:26" ht="10.5" customHeight="1">
      <c r="A3" s="59"/>
      <c r="B3" s="59"/>
      <c r="C3" s="59"/>
      <c r="D3" s="66"/>
      <c r="E3" s="70"/>
      <c r="F3" s="59"/>
      <c r="G3" s="59"/>
      <c r="H3" s="63"/>
      <c r="I3" s="63"/>
      <c r="J3" s="64"/>
      <c r="K3" s="63"/>
      <c r="L3" s="63"/>
      <c r="M3" s="63"/>
      <c r="N3" s="143" t="s">
        <v>49</v>
      </c>
      <c r="O3" s="144"/>
      <c r="P3" s="145"/>
      <c r="Q3" s="145"/>
      <c r="R3" s="146">
        <v>36353</v>
      </c>
      <c r="S3" s="65"/>
      <c r="T3" s="65"/>
      <c r="U3" s="65"/>
      <c r="V3" s="65" t="s">
        <v>50</v>
      </c>
      <c r="W3" s="65"/>
      <c r="X3" s="63">
        <f>+Z3*V48</f>
        <v>154509565.5</v>
      </c>
      <c r="Y3" s="71"/>
      <c r="Z3" s="67">
        <v>40.5</v>
      </c>
    </row>
    <row r="4" spans="1:26" ht="10.5" customHeight="1">
      <c r="A4" s="59"/>
      <c r="B4" s="59"/>
      <c r="C4" s="59"/>
      <c r="D4" s="65"/>
      <c r="E4" s="66"/>
      <c r="F4" s="59"/>
      <c r="G4" s="59"/>
      <c r="H4" s="63"/>
      <c r="I4" s="63"/>
      <c r="J4" s="64"/>
      <c r="K4" s="63"/>
      <c r="L4" s="63"/>
      <c r="M4" s="63"/>
      <c r="N4" s="61" t="s">
        <v>51</v>
      </c>
      <c r="O4" s="72"/>
      <c r="P4" s="65"/>
      <c r="Q4" s="65"/>
      <c r="R4" s="147">
        <v>6.4999999999999997E-3</v>
      </c>
      <c r="S4" s="65"/>
      <c r="T4" s="65"/>
      <c r="U4" s="65"/>
      <c r="V4" s="65" t="s">
        <v>52</v>
      </c>
      <c r="W4" s="59"/>
      <c r="X4" s="73">
        <f>+X3-X48</f>
        <v>-143112613.28497815</v>
      </c>
      <c r="Y4" s="59"/>
      <c r="Z4" s="67">
        <f>+Z3-Z48</f>
        <v>-37.512634375000005</v>
      </c>
    </row>
    <row r="5" spans="1:26" ht="10.5" customHeight="1">
      <c r="A5" s="59"/>
      <c r="B5" s="59"/>
      <c r="C5" s="59"/>
      <c r="D5" s="66"/>
      <c r="E5" s="66"/>
      <c r="F5" s="59"/>
      <c r="G5" s="59"/>
      <c r="H5" s="63"/>
      <c r="I5" s="63"/>
      <c r="J5" s="64"/>
      <c r="K5" s="63"/>
      <c r="L5" s="63"/>
      <c r="M5" s="63"/>
      <c r="N5" s="63"/>
      <c r="O5" s="59"/>
      <c r="P5" s="72"/>
      <c r="Q5" s="72"/>
      <c r="R5" s="74"/>
      <c r="S5" s="72"/>
      <c r="T5" s="65"/>
      <c r="U5" s="65"/>
      <c r="V5" s="65"/>
      <c r="W5" s="59"/>
      <c r="X5" s="61"/>
      <c r="Y5" s="70"/>
      <c r="Z5" s="67"/>
    </row>
    <row r="6" spans="1:26" ht="10.5" customHeight="1">
      <c r="A6" s="59"/>
      <c r="B6" s="59"/>
      <c r="C6" s="59"/>
      <c r="D6" s="66"/>
      <c r="E6" s="66"/>
      <c r="F6" s="59"/>
      <c r="G6" s="59"/>
      <c r="H6" s="63"/>
      <c r="I6" s="63"/>
      <c r="J6" s="64"/>
      <c r="K6" s="63"/>
      <c r="L6" s="63"/>
      <c r="M6" s="63"/>
      <c r="N6" s="63"/>
      <c r="O6" s="59"/>
      <c r="P6" s="72"/>
      <c r="Q6" s="72"/>
      <c r="R6" s="74"/>
      <c r="S6" s="72"/>
      <c r="T6" s="65"/>
      <c r="U6" s="65"/>
      <c r="V6" s="65"/>
      <c r="W6" s="59"/>
      <c r="X6" s="63"/>
      <c r="Y6" s="63"/>
      <c r="Z6" s="75"/>
    </row>
    <row r="7" spans="1:26" ht="10.5" customHeight="1">
      <c r="A7" s="59"/>
      <c r="B7" s="59"/>
      <c r="C7" s="59"/>
      <c r="D7" s="61"/>
      <c r="E7" s="76"/>
      <c r="F7" s="76"/>
      <c r="G7" s="76"/>
      <c r="H7" s="77"/>
      <c r="I7" s="77"/>
      <c r="J7" s="78"/>
      <c r="K7" s="77"/>
      <c r="L7" s="77"/>
      <c r="M7" s="77"/>
      <c r="N7" s="77"/>
      <c r="O7" s="79"/>
      <c r="P7" s="80"/>
      <c r="Q7" s="80"/>
      <c r="R7" s="81"/>
      <c r="S7" s="80"/>
      <c r="T7" s="65"/>
      <c r="U7" s="65"/>
      <c r="V7" s="65"/>
      <c r="W7" s="76"/>
      <c r="X7" s="77"/>
      <c r="Y7" s="77"/>
      <c r="Z7" s="82"/>
    </row>
    <row r="8" spans="1:26" ht="10.5" customHeight="1">
      <c r="A8" s="59"/>
      <c r="B8" s="59"/>
      <c r="C8" s="59"/>
      <c r="D8" s="79" t="s">
        <v>53</v>
      </c>
      <c r="E8" s="79"/>
      <c r="F8" s="79"/>
      <c r="G8" s="79"/>
      <c r="H8" s="83" t="s">
        <v>54</v>
      </c>
      <c r="I8" s="83"/>
      <c r="J8" s="84" t="s">
        <v>55</v>
      </c>
      <c r="K8" s="83"/>
      <c r="L8" s="83" t="s">
        <v>56</v>
      </c>
      <c r="M8" s="83"/>
      <c r="N8" s="83" t="s">
        <v>57</v>
      </c>
      <c r="O8" s="79"/>
      <c r="P8" s="85" t="s">
        <v>58</v>
      </c>
      <c r="Q8" s="85"/>
      <c r="R8" s="86"/>
      <c r="S8" s="85"/>
      <c r="T8" s="79" t="s">
        <v>59</v>
      </c>
      <c r="U8" s="79"/>
      <c r="V8" s="79" t="s">
        <v>60</v>
      </c>
      <c r="W8" s="79"/>
      <c r="X8" s="83" t="s">
        <v>61</v>
      </c>
      <c r="Y8" s="83"/>
      <c r="Z8" s="87" t="s">
        <v>62</v>
      </c>
    </row>
    <row r="9" spans="1:26" ht="10.5" customHeight="1">
      <c r="A9" s="59"/>
      <c r="B9" s="59"/>
      <c r="C9" s="59"/>
      <c r="D9" s="88" t="s">
        <v>63</v>
      </c>
      <c r="E9" s="79"/>
      <c r="F9" s="88" t="s">
        <v>64</v>
      </c>
      <c r="G9" s="79"/>
      <c r="H9" s="89" t="s">
        <v>65</v>
      </c>
      <c r="I9" s="83"/>
      <c r="J9" s="90" t="s">
        <v>66</v>
      </c>
      <c r="K9" s="83"/>
      <c r="L9" s="89" t="s">
        <v>67</v>
      </c>
      <c r="M9" s="83"/>
      <c r="N9" s="89" t="s">
        <v>68</v>
      </c>
      <c r="O9" s="79"/>
      <c r="P9" s="91" t="s">
        <v>69</v>
      </c>
      <c r="Q9" s="85"/>
      <c r="R9" s="92" t="s">
        <v>70</v>
      </c>
      <c r="S9" s="85"/>
      <c r="T9" s="88" t="s">
        <v>71</v>
      </c>
      <c r="U9" s="79"/>
      <c r="V9" s="88" t="s">
        <v>64</v>
      </c>
      <c r="W9" s="79"/>
      <c r="X9" s="89" t="s">
        <v>71</v>
      </c>
      <c r="Y9" s="83"/>
      <c r="Z9" s="93" t="s">
        <v>72</v>
      </c>
    </row>
    <row r="10" spans="1:26" ht="10.5" customHeight="1">
      <c r="A10" s="59"/>
      <c r="B10" s="62" t="s">
        <v>73</v>
      </c>
      <c r="C10" s="59"/>
      <c r="D10" s="177">
        <v>36323</v>
      </c>
      <c r="E10" s="79"/>
      <c r="F10" s="176">
        <f>'[2]June 1999'!$V$47</f>
        <v>6703300</v>
      </c>
      <c r="G10" s="94"/>
      <c r="H10" s="95"/>
      <c r="I10" s="95"/>
      <c r="J10" s="216">
        <f>'[2]June 1999'!$Z$47</f>
        <v>44.546394720246639</v>
      </c>
      <c r="K10" s="95"/>
      <c r="L10" s="95"/>
      <c r="M10" s="95"/>
      <c r="N10" s="148">
        <f>F10*J10</f>
        <v>298607847.72822928</v>
      </c>
      <c r="O10" s="79"/>
      <c r="P10" s="96">
        <f>+$R$3-D10</f>
        <v>30</v>
      </c>
      <c r="Q10" s="85"/>
      <c r="R10" s="320">
        <v>5.1812499999999997E-2</v>
      </c>
      <c r="S10" s="85"/>
      <c r="T10" s="164">
        <f>+N10*(R10+$R$4)/360*P10</f>
        <v>1451047.5100543641</v>
      </c>
      <c r="U10" s="79"/>
      <c r="V10" s="97">
        <f>+F10</f>
        <v>6703300</v>
      </c>
      <c r="W10" s="79"/>
      <c r="X10" s="169">
        <f>+N10+T10</f>
        <v>300058895.23828363</v>
      </c>
      <c r="Y10" s="83"/>
      <c r="Z10" s="67">
        <f>+X10/V10</f>
        <v>44.762862357090334</v>
      </c>
    </row>
    <row r="11" spans="1:26" ht="10.5" customHeight="1">
      <c r="A11" s="59"/>
      <c r="B11" s="59"/>
      <c r="C11" s="59"/>
      <c r="D11" s="79"/>
      <c r="E11" s="79"/>
      <c r="F11" s="79"/>
      <c r="G11" s="79"/>
      <c r="H11" s="83"/>
      <c r="I11" s="83"/>
      <c r="J11" s="83"/>
      <c r="K11" s="83"/>
      <c r="L11" s="83"/>
      <c r="M11" s="83"/>
      <c r="N11" s="83"/>
      <c r="O11" s="79"/>
      <c r="P11" s="85"/>
      <c r="Q11" s="85"/>
      <c r="R11" s="98"/>
      <c r="S11" s="85"/>
      <c r="T11" s="165"/>
      <c r="U11" s="79"/>
      <c r="V11" s="79"/>
      <c r="W11" s="79"/>
      <c r="X11" s="170"/>
      <c r="Y11" s="83"/>
      <c r="Z11" s="87"/>
    </row>
    <row r="12" spans="1:26" ht="10.5" customHeight="1">
      <c r="A12" s="59"/>
      <c r="B12" s="59"/>
      <c r="C12" s="59"/>
      <c r="D12" s="99">
        <f>+D10+1</f>
        <v>36324</v>
      </c>
      <c r="E12" s="99"/>
      <c r="F12" s="157">
        <v>0</v>
      </c>
      <c r="G12" s="149"/>
      <c r="H12" s="158">
        <v>0</v>
      </c>
      <c r="I12" s="149"/>
      <c r="J12" s="160">
        <f t="shared" ref="J12:J43" si="0">IF(F12=0,0,+H12/F12)</f>
        <v>0</v>
      </c>
      <c r="K12" s="149"/>
      <c r="L12" s="155">
        <v>0</v>
      </c>
      <c r="M12" s="149"/>
      <c r="N12" s="149">
        <f t="shared" ref="N12:N18" si="1">+H12+(L12*V12)</f>
        <v>0</v>
      </c>
      <c r="O12" s="59"/>
      <c r="P12" s="96">
        <f t="shared" ref="P12:P40" si="2">+$R$3-D12</f>
        <v>29</v>
      </c>
      <c r="Q12" s="96"/>
      <c r="R12" s="321">
        <f>+R10</f>
        <v>5.1812499999999997E-2</v>
      </c>
      <c r="S12" s="96"/>
      <c r="T12" s="164">
        <f t="shared" ref="T12:T17" si="3">+N12*(R12+$R$4)/360*P12</f>
        <v>0</v>
      </c>
      <c r="U12" s="59"/>
      <c r="V12" s="100">
        <f>+F12+V10</f>
        <v>6703300</v>
      </c>
      <c r="W12" s="100"/>
      <c r="X12" s="169">
        <f>+N12+T12+X10</f>
        <v>300058895.23828363</v>
      </c>
      <c r="Y12" s="63"/>
      <c r="Z12" s="67">
        <f t="shared" ref="Z12:Z42" si="4">+X12/V12</f>
        <v>44.762862357090334</v>
      </c>
    </row>
    <row r="13" spans="1:26" ht="10.5" customHeight="1">
      <c r="A13" s="59"/>
      <c r="B13" s="59"/>
      <c r="C13" s="59"/>
      <c r="D13" s="99">
        <f t="shared" ref="D13:D41" si="5">+D12+1</f>
        <v>36325</v>
      </c>
      <c r="E13" s="99"/>
      <c r="F13" s="157">
        <v>0</v>
      </c>
      <c r="G13" s="149"/>
      <c r="H13" s="158">
        <v>0</v>
      </c>
      <c r="I13" s="149"/>
      <c r="J13" s="160">
        <f t="shared" si="0"/>
        <v>0</v>
      </c>
      <c r="K13" s="149"/>
      <c r="L13" s="155">
        <v>0</v>
      </c>
      <c r="M13" s="149"/>
      <c r="N13" s="149">
        <f t="shared" si="1"/>
        <v>0</v>
      </c>
      <c r="O13" s="59"/>
      <c r="P13" s="96">
        <f t="shared" si="2"/>
        <v>28</v>
      </c>
      <c r="Q13" s="96"/>
      <c r="R13" s="321">
        <f t="shared" ref="R13:R19" si="6">+R12</f>
        <v>5.1812499999999997E-2</v>
      </c>
      <c r="S13" s="96"/>
      <c r="T13" s="164">
        <f t="shared" si="3"/>
        <v>0</v>
      </c>
      <c r="U13" s="59"/>
      <c r="V13" s="100">
        <f t="shared" ref="V13:V32" si="7">+V12+F13</f>
        <v>6703300</v>
      </c>
      <c r="W13" s="100"/>
      <c r="X13" s="169">
        <f t="shared" ref="X13:X32" si="8">+X12+N13+T13</f>
        <v>300058895.23828363</v>
      </c>
      <c r="Y13" s="63"/>
      <c r="Z13" s="67">
        <f t="shared" si="4"/>
        <v>44.762862357090334</v>
      </c>
    </row>
    <row r="14" spans="1:26" ht="10.5" customHeight="1">
      <c r="A14" s="59"/>
      <c r="B14" s="59"/>
      <c r="C14" s="59"/>
      <c r="D14" s="99">
        <f t="shared" si="5"/>
        <v>36326</v>
      </c>
      <c r="E14" s="99"/>
      <c r="F14" s="157">
        <v>0</v>
      </c>
      <c r="G14" s="149"/>
      <c r="H14" s="158">
        <v>0</v>
      </c>
      <c r="I14" s="149"/>
      <c r="J14" s="160">
        <f t="shared" si="0"/>
        <v>0</v>
      </c>
      <c r="K14" s="149"/>
      <c r="L14" s="155">
        <v>0</v>
      </c>
      <c r="M14" s="149"/>
      <c r="N14" s="149">
        <f t="shared" si="1"/>
        <v>0</v>
      </c>
      <c r="O14" s="59"/>
      <c r="P14" s="96">
        <f t="shared" si="2"/>
        <v>27</v>
      </c>
      <c r="Q14" s="96"/>
      <c r="R14" s="321">
        <f t="shared" si="6"/>
        <v>5.1812499999999997E-2</v>
      </c>
      <c r="S14" s="96"/>
      <c r="T14" s="164">
        <f t="shared" si="3"/>
        <v>0</v>
      </c>
      <c r="U14" s="59"/>
      <c r="V14" s="100">
        <f t="shared" si="7"/>
        <v>6703300</v>
      </c>
      <c r="W14" s="100"/>
      <c r="X14" s="169">
        <f t="shared" si="8"/>
        <v>300058895.23828363</v>
      </c>
      <c r="Y14" s="63"/>
      <c r="Z14" s="67">
        <f t="shared" si="4"/>
        <v>44.762862357090334</v>
      </c>
    </row>
    <row r="15" spans="1:26" ht="10.5" customHeight="1">
      <c r="A15" s="59"/>
      <c r="B15" s="59"/>
      <c r="C15" s="59"/>
      <c r="D15" s="99">
        <f t="shared" si="5"/>
        <v>36327</v>
      </c>
      <c r="E15" s="99"/>
      <c r="F15" s="157">
        <v>0</v>
      </c>
      <c r="G15" s="149"/>
      <c r="H15" s="158">
        <v>0</v>
      </c>
      <c r="I15" s="149"/>
      <c r="J15" s="160">
        <f t="shared" si="0"/>
        <v>0</v>
      </c>
      <c r="K15" s="149"/>
      <c r="L15" s="155">
        <v>0</v>
      </c>
      <c r="M15" s="149"/>
      <c r="N15" s="149">
        <f t="shared" si="1"/>
        <v>0</v>
      </c>
      <c r="O15" s="59"/>
      <c r="P15" s="96">
        <f t="shared" si="2"/>
        <v>26</v>
      </c>
      <c r="Q15" s="96"/>
      <c r="R15" s="321">
        <f t="shared" si="6"/>
        <v>5.1812499999999997E-2</v>
      </c>
      <c r="S15" s="96"/>
      <c r="T15" s="164">
        <f t="shared" si="3"/>
        <v>0</v>
      </c>
      <c r="U15" s="59"/>
      <c r="V15" s="100">
        <f t="shared" si="7"/>
        <v>6703300</v>
      </c>
      <c r="W15" s="100"/>
      <c r="X15" s="169">
        <f t="shared" si="8"/>
        <v>300058895.23828363</v>
      </c>
      <c r="Y15" s="63"/>
      <c r="Z15" s="67">
        <f t="shared" si="4"/>
        <v>44.762862357090334</v>
      </c>
    </row>
    <row r="16" spans="1:26" ht="10.5" customHeight="1">
      <c r="A16" s="59"/>
      <c r="B16" s="59"/>
      <c r="C16" s="59"/>
      <c r="D16" s="99">
        <f t="shared" si="5"/>
        <v>36328</v>
      </c>
      <c r="E16" s="99"/>
      <c r="F16" s="157">
        <v>0</v>
      </c>
      <c r="G16" s="149"/>
      <c r="H16" s="158">
        <v>0</v>
      </c>
      <c r="I16" s="149"/>
      <c r="J16" s="160">
        <f t="shared" si="0"/>
        <v>0</v>
      </c>
      <c r="K16" s="149"/>
      <c r="L16" s="155">
        <v>0</v>
      </c>
      <c r="M16" s="149"/>
      <c r="N16" s="149">
        <f t="shared" si="1"/>
        <v>0</v>
      </c>
      <c r="O16" s="59"/>
      <c r="P16" s="96">
        <f t="shared" si="2"/>
        <v>25</v>
      </c>
      <c r="Q16" s="96"/>
      <c r="R16" s="321">
        <f t="shared" si="6"/>
        <v>5.1812499999999997E-2</v>
      </c>
      <c r="S16" s="96"/>
      <c r="T16" s="164">
        <f t="shared" si="3"/>
        <v>0</v>
      </c>
      <c r="U16" s="59"/>
      <c r="V16" s="100">
        <f t="shared" si="7"/>
        <v>6703300</v>
      </c>
      <c r="W16" s="100"/>
      <c r="X16" s="169">
        <f t="shared" si="8"/>
        <v>300058895.23828363</v>
      </c>
      <c r="Y16" s="63"/>
      <c r="Z16" s="67">
        <f t="shared" si="4"/>
        <v>44.762862357090334</v>
      </c>
    </row>
    <row r="17" spans="1:26" ht="10.5" customHeight="1">
      <c r="A17" s="59"/>
      <c r="B17" s="59"/>
      <c r="C17" s="59"/>
      <c r="D17" s="99">
        <f t="shared" si="5"/>
        <v>36329</v>
      </c>
      <c r="E17" s="99"/>
      <c r="F17" s="157">
        <v>0</v>
      </c>
      <c r="G17" s="149"/>
      <c r="H17" s="158">
        <v>0</v>
      </c>
      <c r="I17" s="149"/>
      <c r="J17" s="160">
        <f t="shared" si="0"/>
        <v>0</v>
      </c>
      <c r="K17" s="149"/>
      <c r="L17" s="155">
        <v>0</v>
      </c>
      <c r="M17" s="149"/>
      <c r="N17" s="149">
        <f t="shared" si="1"/>
        <v>0</v>
      </c>
      <c r="O17" s="59"/>
      <c r="P17" s="96">
        <f t="shared" si="2"/>
        <v>24</v>
      </c>
      <c r="Q17" s="96"/>
      <c r="R17" s="321">
        <f t="shared" si="6"/>
        <v>5.1812499999999997E-2</v>
      </c>
      <c r="S17" s="96"/>
      <c r="T17" s="164">
        <f t="shared" si="3"/>
        <v>0</v>
      </c>
      <c r="U17" s="59"/>
      <c r="V17" s="100">
        <f t="shared" si="7"/>
        <v>6703300</v>
      </c>
      <c r="W17" s="100"/>
      <c r="X17" s="169">
        <f t="shared" si="8"/>
        <v>300058895.23828363</v>
      </c>
      <c r="Y17" s="63"/>
      <c r="Z17" s="67">
        <f t="shared" si="4"/>
        <v>44.762862357090334</v>
      </c>
    </row>
    <row r="18" spans="1:26" ht="10.5" customHeight="1">
      <c r="A18" s="59"/>
      <c r="B18" s="59"/>
      <c r="C18" s="59"/>
      <c r="D18" s="99">
        <f t="shared" si="5"/>
        <v>36330</v>
      </c>
      <c r="E18" s="99"/>
      <c r="F18" s="157">
        <v>0</v>
      </c>
      <c r="G18" s="149"/>
      <c r="H18" s="158">
        <v>0</v>
      </c>
      <c r="I18" s="149"/>
      <c r="J18" s="160">
        <f t="shared" si="0"/>
        <v>0</v>
      </c>
      <c r="K18" s="149"/>
      <c r="L18" s="155">
        <v>0</v>
      </c>
      <c r="M18" s="149"/>
      <c r="N18" s="149">
        <f t="shared" si="1"/>
        <v>0</v>
      </c>
      <c r="O18" s="59"/>
      <c r="P18" s="96">
        <f t="shared" si="2"/>
        <v>23</v>
      </c>
      <c r="Q18" s="96"/>
      <c r="R18" s="321">
        <f t="shared" si="6"/>
        <v>5.1812499999999997E-2</v>
      </c>
      <c r="S18" s="96"/>
      <c r="T18" s="164">
        <f>(N18*(R18+$R$4))/360*P18</f>
        <v>0</v>
      </c>
      <c r="U18" s="59"/>
      <c r="V18" s="100">
        <f t="shared" si="7"/>
        <v>6703300</v>
      </c>
      <c r="W18" s="100"/>
      <c r="X18" s="169">
        <f t="shared" si="8"/>
        <v>300058895.23828363</v>
      </c>
      <c r="Y18" s="63"/>
      <c r="Z18" s="67">
        <f t="shared" si="4"/>
        <v>44.762862357090334</v>
      </c>
    </row>
    <row r="19" spans="1:26" ht="10.5" customHeight="1">
      <c r="A19" s="59"/>
      <c r="B19" s="59"/>
      <c r="C19" s="59"/>
      <c r="D19" s="99">
        <f t="shared" si="5"/>
        <v>36331</v>
      </c>
      <c r="E19" s="99"/>
      <c r="F19" s="157">
        <v>0</v>
      </c>
      <c r="G19" s="149"/>
      <c r="H19" s="158">
        <v>0</v>
      </c>
      <c r="I19" s="149"/>
      <c r="J19" s="160">
        <f t="shared" si="0"/>
        <v>0</v>
      </c>
      <c r="K19" s="149"/>
      <c r="L19" s="155">
        <v>0</v>
      </c>
      <c r="M19" s="149"/>
      <c r="N19" s="149">
        <f>+H19+(L19*'[1]Dec 1996'!V26)</f>
        <v>0</v>
      </c>
      <c r="O19" s="59"/>
      <c r="P19" s="96">
        <f t="shared" si="2"/>
        <v>22</v>
      </c>
      <c r="Q19" s="96"/>
      <c r="R19" s="321">
        <f t="shared" si="6"/>
        <v>5.1812499999999997E-2</v>
      </c>
      <c r="S19" s="96"/>
      <c r="T19" s="164">
        <f>((+L19*'[1]Dec 1996'!V26*(0.0566016+$R$4))+N19*(R19+$R$4))/360*P19</f>
        <v>0</v>
      </c>
      <c r="U19" s="59"/>
      <c r="V19" s="100">
        <f t="shared" si="7"/>
        <v>6703300</v>
      </c>
      <c r="W19" s="100"/>
      <c r="X19" s="169">
        <f t="shared" si="8"/>
        <v>300058895.23828363</v>
      </c>
      <c r="Y19" s="63"/>
      <c r="Z19" s="67">
        <f t="shared" si="4"/>
        <v>44.762862357090334</v>
      </c>
    </row>
    <row r="20" spans="1:26" ht="10.5" customHeight="1">
      <c r="A20" s="59"/>
      <c r="B20" s="59"/>
      <c r="C20" s="59"/>
      <c r="D20" s="99">
        <f t="shared" si="5"/>
        <v>36332</v>
      </c>
      <c r="E20" s="99"/>
      <c r="F20" s="157">
        <v>0</v>
      </c>
      <c r="G20" s="149"/>
      <c r="H20" s="158">
        <f>+F20*43.207</f>
        <v>0</v>
      </c>
      <c r="I20" s="149"/>
      <c r="J20" s="160">
        <f t="shared" si="0"/>
        <v>0</v>
      </c>
      <c r="K20" s="149"/>
      <c r="L20" s="155">
        <v>0</v>
      </c>
      <c r="M20" s="149"/>
      <c r="N20" s="149">
        <f t="shared" ref="N20:N40" si="9">+H20+(L20*V20)</f>
        <v>0</v>
      </c>
      <c r="O20" s="59"/>
      <c r="P20" s="96">
        <f t="shared" si="2"/>
        <v>21</v>
      </c>
      <c r="Q20" s="96"/>
      <c r="R20" s="321">
        <f>+R18</f>
        <v>5.1812499999999997E-2</v>
      </c>
      <c r="S20" s="96"/>
      <c r="T20" s="164">
        <f t="shared" ref="T20:T42" si="10">+N20*(R20+$R$4)/360*P20</f>
        <v>0</v>
      </c>
      <c r="U20" s="59"/>
      <c r="V20" s="100">
        <f t="shared" si="7"/>
        <v>6703300</v>
      </c>
      <c r="W20" s="100"/>
      <c r="X20" s="169">
        <f t="shared" si="8"/>
        <v>300058895.23828363</v>
      </c>
      <c r="Y20" s="63"/>
      <c r="Z20" s="67">
        <f t="shared" si="4"/>
        <v>44.762862357090334</v>
      </c>
    </row>
    <row r="21" spans="1:26" ht="10.5" customHeight="1">
      <c r="A21" s="59"/>
      <c r="B21" s="59"/>
      <c r="C21" s="59"/>
      <c r="D21" s="99">
        <f t="shared" si="5"/>
        <v>36333</v>
      </c>
      <c r="E21" s="99"/>
      <c r="F21" s="157">
        <v>0</v>
      </c>
      <c r="G21" s="149"/>
      <c r="H21" s="158">
        <f>+F21*42.48</f>
        <v>0</v>
      </c>
      <c r="I21" s="149"/>
      <c r="J21" s="160">
        <f t="shared" si="0"/>
        <v>0</v>
      </c>
      <c r="K21" s="149"/>
      <c r="L21" s="155">
        <v>0</v>
      </c>
      <c r="M21" s="149"/>
      <c r="N21" s="149">
        <f t="shared" si="9"/>
        <v>0</v>
      </c>
      <c r="O21" s="59"/>
      <c r="P21" s="96">
        <f t="shared" si="2"/>
        <v>20</v>
      </c>
      <c r="Q21" s="96"/>
      <c r="R21" s="321">
        <f t="shared" ref="R21:R40" si="11">+R20</f>
        <v>5.1812499999999997E-2</v>
      </c>
      <c r="S21" s="96"/>
      <c r="T21" s="164">
        <f t="shared" si="10"/>
        <v>0</v>
      </c>
      <c r="U21" s="59"/>
      <c r="V21" s="100">
        <f t="shared" si="7"/>
        <v>6703300</v>
      </c>
      <c r="W21" s="100"/>
      <c r="X21" s="169">
        <f t="shared" si="8"/>
        <v>300058895.23828363</v>
      </c>
      <c r="Y21" s="63"/>
      <c r="Z21" s="67">
        <f t="shared" si="4"/>
        <v>44.762862357090334</v>
      </c>
    </row>
    <row r="22" spans="1:26" ht="10.5" customHeight="1">
      <c r="A22" s="59"/>
      <c r="B22" s="59"/>
      <c r="C22" s="59"/>
      <c r="D22" s="99">
        <f t="shared" si="5"/>
        <v>36334</v>
      </c>
      <c r="E22" s="99"/>
      <c r="F22" s="157">
        <v>0</v>
      </c>
      <c r="G22" s="149"/>
      <c r="H22" s="158">
        <f>+F22*42.48</f>
        <v>0</v>
      </c>
      <c r="I22" s="149"/>
      <c r="J22" s="160">
        <f t="shared" si="0"/>
        <v>0</v>
      </c>
      <c r="K22" s="149"/>
      <c r="L22" s="155">
        <v>0</v>
      </c>
      <c r="M22" s="149"/>
      <c r="N22" s="149">
        <f t="shared" si="9"/>
        <v>0</v>
      </c>
      <c r="O22" s="59"/>
      <c r="P22" s="96">
        <f t="shared" si="2"/>
        <v>19</v>
      </c>
      <c r="Q22" s="96"/>
      <c r="R22" s="321">
        <f t="shared" si="11"/>
        <v>5.1812499999999997E-2</v>
      </c>
      <c r="S22" s="96"/>
      <c r="T22" s="164">
        <f t="shared" si="10"/>
        <v>0</v>
      </c>
      <c r="U22" s="59"/>
      <c r="V22" s="100">
        <f t="shared" si="7"/>
        <v>6703300</v>
      </c>
      <c r="W22" s="100"/>
      <c r="X22" s="169">
        <f t="shared" si="8"/>
        <v>300058895.23828363</v>
      </c>
      <c r="Y22" s="63"/>
      <c r="Z22" s="67">
        <f t="shared" si="4"/>
        <v>44.762862357090334</v>
      </c>
    </row>
    <row r="23" spans="1:26" ht="10.5" customHeight="1">
      <c r="A23" s="59"/>
      <c r="B23" s="59"/>
      <c r="C23" s="59"/>
      <c r="D23" s="99">
        <f t="shared" si="5"/>
        <v>36335</v>
      </c>
      <c r="E23" s="99"/>
      <c r="F23" s="157">
        <v>0</v>
      </c>
      <c r="G23" s="149"/>
      <c r="H23" s="158">
        <v>0</v>
      </c>
      <c r="I23" s="149"/>
      <c r="J23" s="160">
        <f t="shared" si="0"/>
        <v>0</v>
      </c>
      <c r="K23" s="149"/>
      <c r="L23" s="155">
        <v>0</v>
      </c>
      <c r="M23" s="149"/>
      <c r="N23" s="149">
        <f t="shared" si="9"/>
        <v>0</v>
      </c>
      <c r="O23" s="59"/>
      <c r="P23" s="96">
        <f t="shared" si="2"/>
        <v>18</v>
      </c>
      <c r="Q23" s="96"/>
      <c r="R23" s="321">
        <f t="shared" si="11"/>
        <v>5.1812499999999997E-2</v>
      </c>
      <c r="S23" s="96"/>
      <c r="T23" s="164">
        <f t="shared" si="10"/>
        <v>0</v>
      </c>
      <c r="U23" s="59"/>
      <c r="V23" s="100">
        <f t="shared" si="7"/>
        <v>6703300</v>
      </c>
      <c r="W23" s="100"/>
      <c r="X23" s="169">
        <f t="shared" si="8"/>
        <v>300058895.23828363</v>
      </c>
      <c r="Y23" s="63"/>
      <c r="Z23" s="67">
        <f t="shared" si="4"/>
        <v>44.762862357090334</v>
      </c>
    </row>
    <row r="24" spans="1:26" ht="10.5" customHeight="1">
      <c r="A24" s="59"/>
      <c r="B24" s="59"/>
      <c r="C24" s="59"/>
      <c r="D24" s="99">
        <f t="shared" si="5"/>
        <v>36336</v>
      </c>
      <c r="E24" s="99"/>
      <c r="F24" s="157">
        <v>0</v>
      </c>
      <c r="G24" s="149"/>
      <c r="H24" s="158">
        <v>0</v>
      </c>
      <c r="I24" s="149"/>
      <c r="J24" s="160">
        <f t="shared" si="0"/>
        <v>0</v>
      </c>
      <c r="K24" s="149"/>
      <c r="L24" s="155">
        <v>0</v>
      </c>
      <c r="M24" s="149"/>
      <c r="N24" s="149">
        <f t="shared" si="9"/>
        <v>0</v>
      </c>
      <c r="O24" s="59"/>
      <c r="P24" s="96">
        <f t="shared" si="2"/>
        <v>17</v>
      </c>
      <c r="Q24" s="96"/>
      <c r="R24" s="321">
        <f t="shared" si="11"/>
        <v>5.1812499999999997E-2</v>
      </c>
      <c r="S24" s="96"/>
      <c r="T24" s="164">
        <f t="shared" si="10"/>
        <v>0</v>
      </c>
      <c r="U24" s="59"/>
      <c r="V24" s="100">
        <f t="shared" si="7"/>
        <v>6703300</v>
      </c>
      <c r="W24" s="100"/>
      <c r="X24" s="169">
        <f t="shared" si="8"/>
        <v>300058895.23828363</v>
      </c>
      <c r="Y24" s="63"/>
      <c r="Z24" s="67">
        <f t="shared" si="4"/>
        <v>44.762862357090334</v>
      </c>
    </row>
    <row r="25" spans="1:26" ht="10.5" customHeight="1">
      <c r="A25" s="59"/>
      <c r="B25" s="59"/>
      <c r="C25" s="59"/>
      <c r="D25" s="99">
        <f t="shared" si="5"/>
        <v>36337</v>
      </c>
      <c r="E25" s="99"/>
      <c r="F25" s="157">
        <v>0</v>
      </c>
      <c r="G25" s="149"/>
      <c r="H25" s="158">
        <f>+F25*41.746</f>
        <v>0</v>
      </c>
      <c r="I25" s="149"/>
      <c r="J25" s="160">
        <f t="shared" si="0"/>
        <v>0</v>
      </c>
      <c r="K25" s="149"/>
      <c r="L25" s="155">
        <v>0</v>
      </c>
      <c r="M25" s="149"/>
      <c r="N25" s="149">
        <f t="shared" si="9"/>
        <v>0</v>
      </c>
      <c r="O25" s="59"/>
      <c r="P25" s="96">
        <f t="shared" si="2"/>
        <v>16</v>
      </c>
      <c r="Q25" s="96"/>
      <c r="R25" s="321">
        <f t="shared" si="11"/>
        <v>5.1812499999999997E-2</v>
      </c>
      <c r="S25" s="96"/>
      <c r="T25" s="164">
        <f t="shared" si="10"/>
        <v>0</v>
      </c>
      <c r="U25" s="59"/>
      <c r="V25" s="100">
        <f t="shared" si="7"/>
        <v>6703300</v>
      </c>
      <c r="W25" s="100"/>
      <c r="X25" s="169">
        <f t="shared" si="8"/>
        <v>300058895.23828363</v>
      </c>
      <c r="Y25" s="63"/>
      <c r="Z25" s="67">
        <f t="shared" si="4"/>
        <v>44.762862357090334</v>
      </c>
    </row>
    <row r="26" spans="1:26" ht="10.5" customHeight="1">
      <c r="A26" s="59"/>
      <c r="B26" s="59"/>
      <c r="C26" s="59"/>
      <c r="D26" s="99">
        <f t="shared" si="5"/>
        <v>36338</v>
      </c>
      <c r="E26" s="99"/>
      <c r="F26" s="157">
        <v>0</v>
      </c>
      <c r="G26" s="149"/>
      <c r="H26" s="158">
        <f>+F26*41.15</f>
        <v>0</v>
      </c>
      <c r="I26" s="149"/>
      <c r="J26" s="160">
        <f t="shared" si="0"/>
        <v>0</v>
      </c>
      <c r="K26" s="149"/>
      <c r="L26" s="155">
        <v>0</v>
      </c>
      <c r="M26" s="149"/>
      <c r="N26" s="149">
        <f t="shared" si="9"/>
        <v>0</v>
      </c>
      <c r="O26" s="59"/>
      <c r="P26" s="96">
        <f t="shared" si="2"/>
        <v>15</v>
      </c>
      <c r="Q26" s="96"/>
      <c r="R26" s="321">
        <f t="shared" si="11"/>
        <v>5.1812499999999997E-2</v>
      </c>
      <c r="S26" s="96"/>
      <c r="T26" s="164">
        <f t="shared" si="10"/>
        <v>0</v>
      </c>
      <c r="U26" s="59"/>
      <c r="V26" s="100">
        <f t="shared" si="7"/>
        <v>6703300</v>
      </c>
      <c r="W26" s="100"/>
      <c r="X26" s="169">
        <f t="shared" si="8"/>
        <v>300058895.23828363</v>
      </c>
      <c r="Y26" s="63"/>
      <c r="Z26" s="67">
        <f t="shared" si="4"/>
        <v>44.762862357090334</v>
      </c>
    </row>
    <row r="27" spans="1:26" ht="10.5" customHeight="1">
      <c r="A27" s="59"/>
      <c r="B27" s="59"/>
      <c r="C27" s="59"/>
      <c r="D27" s="99">
        <f t="shared" si="5"/>
        <v>36339</v>
      </c>
      <c r="E27" s="99"/>
      <c r="F27" s="157">
        <v>0</v>
      </c>
      <c r="G27" s="149"/>
      <c r="H27" s="158">
        <f>+F27*41.029</f>
        <v>0</v>
      </c>
      <c r="I27" s="149"/>
      <c r="J27" s="160">
        <f t="shared" si="0"/>
        <v>0</v>
      </c>
      <c r="K27" s="149"/>
      <c r="L27" s="155">
        <v>0</v>
      </c>
      <c r="M27" s="149"/>
      <c r="N27" s="149">
        <f t="shared" si="9"/>
        <v>0</v>
      </c>
      <c r="O27" s="59"/>
      <c r="P27" s="96">
        <f t="shared" si="2"/>
        <v>14</v>
      </c>
      <c r="Q27" s="96"/>
      <c r="R27" s="321">
        <f t="shared" si="11"/>
        <v>5.1812499999999997E-2</v>
      </c>
      <c r="S27" s="96"/>
      <c r="T27" s="164">
        <f t="shared" si="10"/>
        <v>0</v>
      </c>
      <c r="U27" s="59"/>
      <c r="V27" s="100">
        <f t="shared" si="7"/>
        <v>6703300</v>
      </c>
      <c r="W27" s="100"/>
      <c r="X27" s="169">
        <f t="shared" si="8"/>
        <v>300058895.23828363</v>
      </c>
      <c r="Y27" s="63"/>
      <c r="Z27" s="67">
        <f t="shared" si="4"/>
        <v>44.762862357090334</v>
      </c>
    </row>
    <row r="28" spans="1:26" ht="10.5" customHeight="1">
      <c r="A28" s="59"/>
      <c r="B28" s="59"/>
      <c r="C28" s="59"/>
      <c r="D28" s="99">
        <f t="shared" si="5"/>
        <v>36340</v>
      </c>
      <c r="E28" s="99"/>
      <c r="F28" s="157">
        <v>0</v>
      </c>
      <c r="G28" s="149"/>
      <c r="H28" s="158">
        <f>+F28*41.3452</f>
        <v>0</v>
      </c>
      <c r="I28" s="149"/>
      <c r="J28" s="160">
        <f t="shared" si="0"/>
        <v>0</v>
      </c>
      <c r="K28" s="149"/>
      <c r="L28" s="155">
        <v>0</v>
      </c>
      <c r="M28" s="149"/>
      <c r="N28" s="149">
        <f t="shared" si="9"/>
        <v>0</v>
      </c>
      <c r="O28" s="59"/>
      <c r="P28" s="96">
        <f t="shared" si="2"/>
        <v>13</v>
      </c>
      <c r="Q28" s="96"/>
      <c r="R28" s="321">
        <f t="shared" si="11"/>
        <v>5.1812499999999997E-2</v>
      </c>
      <c r="S28" s="96"/>
      <c r="T28" s="164">
        <f t="shared" si="10"/>
        <v>0</v>
      </c>
      <c r="U28" s="59"/>
      <c r="V28" s="100">
        <f t="shared" si="7"/>
        <v>6703300</v>
      </c>
      <c r="W28" s="100"/>
      <c r="X28" s="169">
        <f t="shared" si="8"/>
        <v>300058895.23828363</v>
      </c>
      <c r="Y28" s="63"/>
      <c r="Z28" s="67">
        <f t="shared" si="4"/>
        <v>44.762862357090334</v>
      </c>
    </row>
    <row r="29" spans="1:26" ht="10.5" customHeight="1">
      <c r="A29" s="59"/>
      <c r="B29" s="59"/>
      <c r="C29" s="59"/>
      <c r="D29" s="99">
        <f t="shared" si="5"/>
        <v>36341</v>
      </c>
      <c r="E29" s="99"/>
      <c r="F29" s="157">
        <v>0</v>
      </c>
      <c r="G29" s="149"/>
      <c r="H29" s="158">
        <v>0</v>
      </c>
      <c r="I29" s="149"/>
      <c r="J29" s="160">
        <f t="shared" si="0"/>
        <v>0</v>
      </c>
      <c r="K29" s="149"/>
      <c r="L29" s="155">
        <v>0</v>
      </c>
      <c r="M29" s="149"/>
      <c r="N29" s="149">
        <f t="shared" si="9"/>
        <v>0</v>
      </c>
      <c r="O29" s="59"/>
      <c r="P29" s="96">
        <f t="shared" si="2"/>
        <v>12</v>
      </c>
      <c r="Q29" s="96"/>
      <c r="R29" s="321">
        <f t="shared" si="11"/>
        <v>5.1812499999999997E-2</v>
      </c>
      <c r="S29" s="96"/>
      <c r="T29" s="164">
        <f t="shared" si="10"/>
        <v>0</v>
      </c>
      <c r="U29" s="59"/>
      <c r="V29" s="100">
        <f t="shared" si="7"/>
        <v>6703300</v>
      </c>
      <c r="W29" s="100"/>
      <c r="X29" s="169">
        <f t="shared" si="8"/>
        <v>300058895.23828363</v>
      </c>
      <c r="Y29" s="63"/>
      <c r="Z29" s="67">
        <f t="shared" si="4"/>
        <v>44.762862357090334</v>
      </c>
    </row>
    <row r="30" spans="1:26" ht="10.5" customHeight="1">
      <c r="A30" s="59"/>
      <c r="B30" s="59"/>
      <c r="C30" s="59"/>
      <c r="D30" s="99">
        <f t="shared" si="5"/>
        <v>36342</v>
      </c>
      <c r="E30" s="99"/>
      <c r="F30" s="157">
        <v>0</v>
      </c>
      <c r="G30" s="149"/>
      <c r="H30" s="158">
        <v>0</v>
      </c>
      <c r="I30" s="149"/>
      <c r="J30" s="160">
        <f t="shared" si="0"/>
        <v>0</v>
      </c>
      <c r="K30" s="149"/>
      <c r="L30" s="155">
        <v>0</v>
      </c>
      <c r="M30" s="149"/>
      <c r="N30" s="149">
        <f t="shared" si="9"/>
        <v>0</v>
      </c>
      <c r="O30" s="59"/>
      <c r="P30" s="96">
        <f t="shared" si="2"/>
        <v>11</v>
      </c>
      <c r="Q30" s="96"/>
      <c r="R30" s="321">
        <f t="shared" si="11"/>
        <v>5.1812499999999997E-2</v>
      </c>
      <c r="S30" s="96"/>
      <c r="T30" s="164">
        <f t="shared" si="10"/>
        <v>0</v>
      </c>
      <c r="U30" s="59"/>
      <c r="V30" s="100">
        <f t="shared" si="7"/>
        <v>6703300</v>
      </c>
      <c r="W30" s="100"/>
      <c r="X30" s="169">
        <f t="shared" si="8"/>
        <v>300058895.23828363</v>
      </c>
      <c r="Y30" s="63"/>
      <c r="Z30" s="67">
        <f t="shared" si="4"/>
        <v>44.762862357090334</v>
      </c>
    </row>
    <row r="31" spans="1:26" ht="10.5" customHeight="1">
      <c r="A31" s="59"/>
      <c r="B31" s="59"/>
      <c r="C31" s="59"/>
      <c r="D31" s="99">
        <f t="shared" si="5"/>
        <v>36343</v>
      </c>
      <c r="E31" s="99"/>
      <c r="F31" s="157">
        <v>0</v>
      </c>
      <c r="G31" s="149"/>
      <c r="H31" s="158">
        <v>0</v>
      </c>
      <c r="I31" s="149"/>
      <c r="J31" s="160">
        <f t="shared" si="0"/>
        <v>0</v>
      </c>
      <c r="K31" s="149"/>
      <c r="L31" s="155">
        <v>0</v>
      </c>
      <c r="M31" s="149"/>
      <c r="N31" s="149">
        <f t="shared" si="9"/>
        <v>0</v>
      </c>
      <c r="O31" s="59"/>
      <c r="P31" s="96">
        <f t="shared" si="2"/>
        <v>10</v>
      </c>
      <c r="Q31" s="96"/>
      <c r="R31" s="321">
        <f t="shared" si="11"/>
        <v>5.1812499999999997E-2</v>
      </c>
      <c r="S31" s="96"/>
      <c r="T31" s="164">
        <f t="shared" si="10"/>
        <v>0</v>
      </c>
      <c r="U31" s="59"/>
      <c r="V31" s="100">
        <f t="shared" si="7"/>
        <v>6703300</v>
      </c>
      <c r="W31" s="100"/>
      <c r="X31" s="169">
        <f t="shared" si="8"/>
        <v>300058895.23828363</v>
      </c>
      <c r="Y31" s="63"/>
      <c r="Z31" s="67">
        <f t="shared" si="4"/>
        <v>44.762862357090334</v>
      </c>
    </row>
    <row r="32" spans="1:26" ht="10.5" customHeight="1">
      <c r="A32" s="59"/>
      <c r="B32" s="59"/>
      <c r="C32" s="59"/>
      <c r="D32" s="99">
        <f t="shared" si="5"/>
        <v>36344</v>
      </c>
      <c r="E32" s="99"/>
      <c r="F32" s="157">
        <v>0</v>
      </c>
      <c r="G32" s="149"/>
      <c r="H32" s="158">
        <v>0</v>
      </c>
      <c r="I32" s="149"/>
      <c r="J32" s="160">
        <f t="shared" si="0"/>
        <v>0</v>
      </c>
      <c r="K32" s="149"/>
      <c r="L32" s="155">
        <v>0</v>
      </c>
      <c r="M32" s="149"/>
      <c r="N32" s="149">
        <f t="shared" si="9"/>
        <v>0</v>
      </c>
      <c r="O32" s="59"/>
      <c r="P32" s="96">
        <f t="shared" si="2"/>
        <v>9</v>
      </c>
      <c r="Q32" s="96"/>
      <c r="R32" s="321">
        <f t="shared" si="11"/>
        <v>5.1812499999999997E-2</v>
      </c>
      <c r="S32" s="96"/>
      <c r="T32" s="164">
        <f t="shared" si="10"/>
        <v>0</v>
      </c>
      <c r="U32" s="59"/>
      <c r="V32" s="100">
        <f t="shared" si="7"/>
        <v>6703300</v>
      </c>
      <c r="W32" s="100"/>
      <c r="X32" s="169">
        <f t="shared" si="8"/>
        <v>300058895.23828363</v>
      </c>
      <c r="Y32" s="63"/>
      <c r="Z32" s="67">
        <f t="shared" si="4"/>
        <v>44.762862357090334</v>
      </c>
    </row>
    <row r="33" spans="1:26" ht="10.5" customHeight="1">
      <c r="A33" s="59"/>
      <c r="B33" s="59"/>
      <c r="C33" s="59"/>
      <c r="D33" s="99">
        <f t="shared" si="5"/>
        <v>36345</v>
      </c>
      <c r="E33" s="99"/>
      <c r="F33" s="157">
        <v>0</v>
      </c>
      <c r="G33" s="149"/>
      <c r="H33" s="158">
        <v>0</v>
      </c>
      <c r="I33" s="149"/>
      <c r="J33" s="160">
        <f t="shared" si="0"/>
        <v>0</v>
      </c>
      <c r="K33" s="149"/>
      <c r="L33" s="155">
        <v>0</v>
      </c>
      <c r="M33" s="149"/>
      <c r="N33" s="149">
        <f t="shared" si="9"/>
        <v>0</v>
      </c>
      <c r="O33" s="59"/>
      <c r="P33" s="96">
        <f t="shared" si="2"/>
        <v>8</v>
      </c>
      <c r="Q33" s="96"/>
      <c r="R33" s="321">
        <f t="shared" si="11"/>
        <v>5.1812499999999997E-2</v>
      </c>
      <c r="S33" s="96"/>
      <c r="T33" s="164">
        <f t="shared" si="10"/>
        <v>0</v>
      </c>
      <c r="U33" s="59"/>
      <c r="V33" s="100">
        <f>+V30+F33</f>
        <v>6703300</v>
      </c>
      <c r="W33" s="100"/>
      <c r="X33" s="169">
        <f>+X30+N33+T33</f>
        <v>300058895.23828363</v>
      </c>
      <c r="Y33" s="63"/>
      <c r="Z33" s="67">
        <f t="shared" si="4"/>
        <v>44.762862357090334</v>
      </c>
    </row>
    <row r="34" spans="1:26" ht="10.5" customHeight="1">
      <c r="A34" s="59"/>
      <c r="B34" s="59"/>
      <c r="C34" s="59"/>
      <c r="D34" s="99">
        <f t="shared" si="5"/>
        <v>36346</v>
      </c>
      <c r="E34" s="99"/>
      <c r="F34" s="157">
        <v>0</v>
      </c>
      <c r="G34" s="149"/>
      <c r="H34" s="158">
        <v>0</v>
      </c>
      <c r="I34" s="149"/>
      <c r="J34" s="160">
        <f t="shared" si="0"/>
        <v>0</v>
      </c>
      <c r="K34" s="149"/>
      <c r="L34" s="155">
        <v>0</v>
      </c>
      <c r="M34" s="149"/>
      <c r="N34" s="149">
        <f t="shared" si="9"/>
        <v>0</v>
      </c>
      <c r="O34" s="59"/>
      <c r="P34" s="96">
        <f t="shared" si="2"/>
        <v>7</v>
      </c>
      <c r="Q34" s="96"/>
      <c r="R34" s="321">
        <f t="shared" si="11"/>
        <v>5.1812499999999997E-2</v>
      </c>
      <c r="S34" s="96"/>
      <c r="T34" s="164">
        <f t="shared" si="10"/>
        <v>0</v>
      </c>
      <c r="U34" s="59"/>
      <c r="V34" s="100">
        <f t="shared" ref="V34:V40" si="12">+V33+F34</f>
        <v>6703300</v>
      </c>
      <c r="W34" s="100"/>
      <c r="X34" s="169">
        <f t="shared" ref="X34:X40" si="13">+X33+N34+T34</f>
        <v>300058895.23828363</v>
      </c>
      <c r="Y34" s="63"/>
      <c r="Z34" s="67">
        <f t="shared" si="4"/>
        <v>44.762862357090334</v>
      </c>
    </row>
    <row r="35" spans="1:26" ht="10.5" customHeight="1">
      <c r="A35" s="59"/>
      <c r="B35" s="59"/>
      <c r="C35" s="59"/>
      <c r="D35" s="99">
        <f t="shared" si="5"/>
        <v>36347</v>
      </c>
      <c r="E35" s="99"/>
      <c r="F35" s="157">
        <v>0</v>
      </c>
      <c r="G35" s="149"/>
      <c r="H35" s="158">
        <v>0</v>
      </c>
      <c r="I35" s="149"/>
      <c r="J35" s="160">
        <f t="shared" si="0"/>
        <v>0</v>
      </c>
      <c r="K35" s="149"/>
      <c r="L35" s="155">
        <v>0</v>
      </c>
      <c r="M35" s="149"/>
      <c r="N35" s="149">
        <f t="shared" si="9"/>
        <v>0</v>
      </c>
      <c r="O35" s="59"/>
      <c r="P35" s="96">
        <f t="shared" si="2"/>
        <v>6</v>
      </c>
      <c r="Q35" s="96"/>
      <c r="R35" s="321">
        <f t="shared" si="11"/>
        <v>5.1812499999999997E-2</v>
      </c>
      <c r="S35" s="96"/>
      <c r="T35" s="164">
        <f t="shared" si="10"/>
        <v>0</v>
      </c>
      <c r="U35" s="59"/>
      <c r="V35" s="100">
        <f t="shared" si="12"/>
        <v>6703300</v>
      </c>
      <c r="W35" s="100"/>
      <c r="X35" s="169">
        <f t="shared" si="13"/>
        <v>300058895.23828363</v>
      </c>
      <c r="Y35" s="63"/>
      <c r="Z35" s="67">
        <f t="shared" si="4"/>
        <v>44.762862357090334</v>
      </c>
    </row>
    <row r="36" spans="1:26" ht="10.5" customHeight="1">
      <c r="A36" s="59"/>
      <c r="B36" s="59"/>
      <c r="C36" s="59"/>
      <c r="D36" s="99">
        <f t="shared" si="5"/>
        <v>36348</v>
      </c>
      <c r="E36" s="99"/>
      <c r="F36" s="157">
        <v>0</v>
      </c>
      <c r="G36" s="149"/>
      <c r="H36" s="158">
        <v>0</v>
      </c>
      <c r="I36" s="149"/>
      <c r="J36" s="160">
        <f t="shared" si="0"/>
        <v>0</v>
      </c>
      <c r="K36" s="149"/>
      <c r="L36" s="155">
        <v>0</v>
      </c>
      <c r="M36" s="149"/>
      <c r="N36" s="149">
        <f t="shared" si="9"/>
        <v>0</v>
      </c>
      <c r="O36" s="59"/>
      <c r="P36" s="96">
        <f t="shared" si="2"/>
        <v>5</v>
      </c>
      <c r="Q36" s="96"/>
      <c r="R36" s="321">
        <f t="shared" si="11"/>
        <v>5.1812499999999997E-2</v>
      </c>
      <c r="S36" s="96"/>
      <c r="T36" s="164">
        <f t="shared" si="10"/>
        <v>0</v>
      </c>
      <c r="U36" s="59"/>
      <c r="V36" s="100">
        <f t="shared" si="12"/>
        <v>6703300</v>
      </c>
      <c r="W36" s="100"/>
      <c r="X36" s="169">
        <f t="shared" si="13"/>
        <v>300058895.23828363</v>
      </c>
      <c r="Y36" s="63"/>
      <c r="Z36" s="67">
        <f t="shared" si="4"/>
        <v>44.762862357090334</v>
      </c>
    </row>
    <row r="37" spans="1:26" ht="10.5" customHeight="1">
      <c r="A37" s="59"/>
      <c r="B37" s="59"/>
      <c r="C37" s="59"/>
      <c r="D37" s="99">
        <f t="shared" si="5"/>
        <v>36349</v>
      </c>
      <c r="E37" s="99"/>
      <c r="F37" s="157">
        <v>0</v>
      </c>
      <c r="G37" s="149"/>
      <c r="H37" s="158">
        <v>0</v>
      </c>
      <c r="I37" s="149"/>
      <c r="J37" s="160">
        <f t="shared" si="0"/>
        <v>0</v>
      </c>
      <c r="K37" s="149"/>
      <c r="L37" s="155">
        <v>0</v>
      </c>
      <c r="M37" s="149"/>
      <c r="N37" s="149">
        <f t="shared" si="9"/>
        <v>0</v>
      </c>
      <c r="O37" s="59"/>
      <c r="P37" s="96">
        <f t="shared" si="2"/>
        <v>4</v>
      </c>
      <c r="Q37" s="96"/>
      <c r="R37" s="321">
        <f t="shared" si="11"/>
        <v>5.1812499999999997E-2</v>
      </c>
      <c r="S37" s="96"/>
      <c r="T37" s="164">
        <f t="shared" si="10"/>
        <v>0</v>
      </c>
      <c r="U37" s="59"/>
      <c r="V37" s="100">
        <f t="shared" si="12"/>
        <v>6703300</v>
      </c>
      <c r="W37" s="100"/>
      <c r="X37" s="169">
        <f t="shared" si="13"/>
        <v>300058895.23828363</v>
      </c>
      <c r="Y37" s="63"/>
      <c r="Z37" s="67">
        <f t="shared" si="4"/>
        <v>44.762862357090334</v>
      </c>
    </row>
    <row r="38" spans="1:26" ht="10.5" customHeight="1">
      <c r="A38" s="59"/>
      <c r="B38" s="59"/>
      <c r="C38" s="59"/>
      <c r="D38" s="99">
        <f t="shared" si="5"/>
        <v>36350</v>
      </c>
      <c r="E38" s="99"/>
      <c r="F38" s="157">
        <v>0</v>
      </c>
      <c r="G38" s="149"/>
      <c r="H38" s="158">
        <v>0</v>
      </c>
      <c r="I38" s="149"/>
      <c r="J38" s="160">
        <f t="shared" si="0"/>
        <v>0</v>
      </c>
      <c r="K38" s="149"/>
      <c r="L38" s="155">
        <v>0</v>
      </c>
      <c r="M38" s="149"/>
      <c r="N38" s="149">
        <f t="shared" si="9"/>
        <v>0</v>
      </c>
      <c r="O38" s="59"/>
      <c r="P38" s="96">
        <f t="shared" si="2"/>
        <v>3</v>
      </c>
      <c r="Q38" s="96"/>
      <c r="R38" s="321">
        <f t="shared" si="11"/>
        <v>5.1812499999999997E-2</v>
      </c>
      <c r="S38" s="96"/>
      <c r="T38" s="164">
        <f t="shared" si="10"/>
        <v>0</v>
      </c>
      <c r="U38" s="59"/>
      <c r="V38" s="100">
        <f t="shared" si="12"/>
        <v>6703300</v>
      </c>
      <c r="W38" s="100"/>
      <c r="X38" s="169">
        <f t="shared" si="13"/>
        <v>300058895.23828363</v>
      </c>
      <c r="Y38" s="63"/>
      <c r="Z38" s="67">
        <f t="shared" si="4"/>
        <v>44.762862357090334</v>
      </c>
    </row>
    <row r="39" spans="1:26" ht="10.5" customHeight="1">
      <c r="A39" s="59"/>
      <c r="B39" s="59"/>
      <c r="C39" s="59"/>
      <c r="D39" s="99">
        <f t="shared" si="5"/>
        <v>36351</v>
      </c>
      <c r="E39" s="99"/>
      <c r="F39" s="157">
        <v>0</v>
      </c>
      <c r="G39" s="149"/>
      <c r="H39" s="158">
        <v>0</v>
      </c>
      <c r="I39" s="149"/>
      <c r="J39" s="160">
        <f t="shared" si="0"/>
        <v>0</v>
      </c>
      <c r="K39" s="149"/>
      <c r="L39" s="155">
        <v>0</v>
      </c>
      <c r="M39" s="149"/>
      <c r="N39" s="149">
        <f t="shared" si="9"/>
        <v>0</v>
      </c>
      <c r="O39" s="59"/>
      <c r="P39" s="96">
        <f t="shared" si="2"/>
        <v>2</v>
      </c>
      <c r="Q39" s="96"/>
      <c r="R39" s="321">
        <f t="shared" si="11"/>
        <v>5.1812499999999997E-2</v>
      </c>
      <c r="S39" s="96"/>
      <c r="T39" s="164">
        <f t="shared" si="10"/>
        <v>0</v>
      </c>
      <c r="U39" s="59"/>
      <c r="V39" s="100">
        <f t="shared" si="12"/>
        <v>6703300</v>
      </c>
      <c r="W39" s="100"/>
      <c r="X39" s="169">
        <f t="shared" si="13"/>
        <v>300058895.23828363</v>
      </c>
      <c r="Y39" s="63"/>
      <c r="Z39" s="67">
        <f t="shared" si="4"/>
        <v>44.762862357090334</v>
      </c>
    </row>
    <row r="40" spans="1:26" s="53" customFormat="1" ht="10.5" customHeight="1">
      <c r="A40" s="59"/>
      <c r="B40" s="59"/>
      <c r="C40" s="59"/>
      <c r="D40" s="99">
        <f t="shared" si="5"/>
        <v>36352</v>
      </c>
      <c r="E40" s="99"/>
      <c r="F40" s="157">
        <v>0</v>
      </c>
      <c r="G40" s="149"/>
      <c r="H40" s="158">
        <v>0</v>
      </c>
      <c r="I40" s="149"/>
      <c r="J40" s="160">
        <f t="shared" si="0"/>
        <v>0</v>
      </c>
      <c r="K40" s="149"/>
      <c r="L40" s="155">
        <v>0</v>
      </c>
      <c r="M40" s="149"/>
      <c r="N40" s="149">
        <f t="shared" si="9"/>
        <v>0</v>
      </c>
      <c r="O40" s="59"/>
      <c r="P40" s="96">
        <f t="shared" si="2"/>
        <v>1</v>
      </c>
      <c r="Q40" s="96"/>
      <c r="R40" s="321">
        <f t="shared" si="11"/>
        <v>5.1812499999999997E-2</v>
      </c>
      <c r="S40" s="96"/>
      <c r="T40" s="164">
        <f t="shared" si="10"/>
        <v>0</v>
      </c>
      <c r="U40" s="59"/>
      <c r="V40" s="100">
        <f t="shared" si="12"/>
        <v>6703300</v>
      </c>
      <c r="W40" s="100"/>
      <c r="X40" s="169">
        <f t="shared" si="13"/>
        <v>300058895.23828363</v>
      </c>
      <c r="Y40" s="63"/>
      <c r="Z40" s="67">
        <f t="shared" si="4"/>
        <v>44.762862357090334</v>
      </c>
    </row>
    <row r="41" spans="1:26" s="53" customFormat="1" ht="10.5" customHeight="1">
      <c r="A41" s="59"/>
      <c r="B41" s="59"/>
      <c r="C41" s="59"/>
      <c r="D41" s="99">
        <f t="shared" si="5"/>
        <v>36353</v>
      </c>
      <c r="E41" s="99"/>
      <c r="F41" s="323">
        <v>-2888249</v>
      </c>
      <c r="G41" s="149"/>
      <c r="H41" s="158">
        <v>0</v>
      </c>
      <c r="I41" s="149"/>
      <c r="J41" s="322">
        <v>44.545999999999999</v>
      </c>
      <c r="K41" s="149"/>
      <c r="L41" s="155">
        <v>0</v>
      </c>
      <c r="M41" s="149"/>
      <c r="N41" s="148">
        <f>F41*J41</f>
        <v>-128659939.954</v>
      </c>
      <c r="O41" s="59"/>
      <c r="P41" s="96">
        <f>+$R$3-D41</f>
        <v>0</v>
      </c>
      <c r="Q41" s="96"/>
      <c r="R41" s="321">
        <f>+R40</f>
        <v>5.1812499999999997E-2</v>
      </c>
      <c r="S41" s="96"/>
      <c r="T41" s="164">
        <f>+N41*(R41+$R$4)/360*P41</f>
        <v>0</v>
      </c>
      <c r="U41" s="59"/>
      <c r="V41" s="100">
        <f>+V40+F41</f>
        <v>3815051</v>
      </c>
      <c r="W41" s="100"/>
      <c r="X41" s="169">
        <f>+X40+N41+T41</f>
        <v>171398955.28428364</v>
      </c>
      <c r="Y41" s="63"/>
      <c r="Z41" s="67">
        <f>+X41/V41</f>
        <v>44.927041678940505</v>
      </c>
    </row>
    <row r="42" spans="1:26" ht="10.5" customHeight="1">
      <c r="A42" s="59"/>
      <c r="B42" s="59"/>
      <c r="C42" s="59"/>
      <c r="D42" s="99">
        <f>+D40+1</f>
        <v>36353</v>
      </c>
      <c r="E42" s="99"/>
      <c r="F42" s="176">
        <v>3815051</v>
      </c>
      <c r="G42" s="149"/>
      <c r="H42" s="159">
        <v>0</v>
      </c>
      <c r="I42" s="149"/>
      <c r="J42" s="322">
        <v>78</v>
      </c>
      <c r="K42" s="149"/>
      <c r="L42" s="156">
        <v>0</v>
      </c>
      <c r="M42" s="149"/>
      <c r="N42" s="148">
        <f>F42*J42</f>
        <v>297573978</v>
      </c>
      <c r="O42" s="59"/>
      <c r="P42" s="96">
        <v>1</v>
      </c>
      <c r="Q42" s="96"/>
      <c r="R42" s="321">
        <f>+R40</f>
        <v>5.1812499999999997E-2</v>
      </c>
      <c r="S42" s="96"/>
      <c r="T42" s="166">
        <f t="shared" si="10"/>
        <v>48200.784978124997</v>
      </c>
      <c r="U42" s="59"/>
      <c r="V42" s="324">
        <f>+F42</f>
        <v>3815051</v>
      </c>
      <c r="W42" s="100"/>
      <c r="X42" s="169">
        <f>+N42+T42</f>
        <v>297622178.78497815</v>
      </c>
      <c r="Y42" s="63"/>
      <c r="Z42" s="67">
        <f t="shared" si="4"/>
        <v>78.012634375000005</v>
      </c>
    </row>
    <row r="43" spans="1:26" ht="10.5" customHeight="1">
      <c r="A43" s="59"/>
      <c r="B43" s="101" t="s">
        <v>74</v>
      </c>
      <c r="C43" s="65"/>
      <c r="D43" s="65"/>
      <c r="E43" s="99"/>
      <c r="F43" s="154">
        <v>0</v>
      </c>
      <c r="G43" s="149"/>
      <c r="H43" s="149">
        <f>SUM(H12:H39)</f>
        <v>0</v>
      </c>
      <c r="I43" s="149"/>
      <c r="J43" s="160">
        <f t="shared" si="0"/>
        <v>0</v>
      </c>
      <c r="K43" s="149"/>
      <c r="L43" s="149"/>
      <c r="M43" s="149"/>
      <c r="N43" s="150"/>
      <c r="O43" s="65"/>
      <c r="P43" s="65"/>
      <c r="Q43" s="65"/>
      <c r="R43" s="65"/>
      <c r="S43" s="65"/>
      <c r="T43" s="167"/>
      <c r="U43" s="65"/>
      <c r="V43" s="65"/>
      <c r="W43" s="65"/>
      <c r="X43" s="172"/>
      <c r="Y43" s="65"/>
      <c r="Z43" s="102"/>
    </row>
    <row r="44" spans="1:26" ht="10.5" customHeight="1" thickBot="1">
      <c r="A44" s="65"/>
      <c r="F44" s="151"/>
      <c r="G44" s="151"/>
      <c r="H44" s="151"/>
      <c r="I44" s="151"/>
      <c r="J44" s="161"/>
      <c r="K44" s="150"/>
      <c r="L44" s="152">
        <f>SUM(L12:L43)</f>
        <v>0</v>
      </c>
      <c r="M44" s="150"/>
      <c r="N44" s="153">
        <f>SUM(N10:N42)</f>
        <v>467521885.77422929</v>
      </c>
      <c r="O44" s="59"/>
      <c r="P44" s="96"/>
      <c r="Q44" s="96"/>
      <c r="R44" s="98"/>
      <c r="S44" s="96"/>
      <c r="T44" s="168">
        <f>SUM(T10:T42)</f>
        <v>1499248.2950324891</v>
      </c>
      <c r="U44" s="59"/>
      <c r="V44" s="100"/>
      <c r="W44" s="100"/>
      <c r="X44" s="172">
        <f>+X42</f>
        <v>297622178.78497815</v>
      </c>
      <c r="Y44" s="63"/>
      <c r="Z44" s="67"/>
    </row>
    <row r="45" spans="1:26" ht="10.5" customHeight="1" thickTop="1">
      <c r="A45" s="59"/>
      <c r="B45" s="103" t="s">
        <v>75</v>
      </c>
      <c r="C45" s="65"/>
      <c r="D45" s="65"/>
      <c r="E45" s="65"/>
      <c r="F45" s="150"/>
      <c r="G45" s="150"/>
      <c r="H45" s="163">
        <v>0</v>
      </c>
      <c r="I45" s="150"/>
      <c r="J45" s="162">
        <f>IF(F43=0,0,H45/F43)</f>
        <v>0</v>
      </c>
      <c r="K45" s="149"/>
      <c r="L45" s="149"/>
      <c r="M45" s="149"/>
      <c r="N45" s="150"/>
      <c r="O45" s="65"/>
      <c r="P45" s="65"/>
      <c r="Q45" s="65"/>
      <c r="R45" s="104"/>
      <c r="S45" s="65"/>
      <c r="T45" s="65"/>
      <c r="U45" s="65"/>
      <c r="V45" s="65"/>
      <c r="W45" s="65"/>
      <c r="X45" s="171">
        <f>+H45</f>
        <v>0</v>
      </c>
      <c r="Y45" s="65"/>
      <c r="Z45" s="67"/>
    </row>
    <row r="46" spans="1:26" ht="10.5" customHeight="1" thickBot="1">
      <c r="A46" s="59"/>
      <c r="B46" s="66" t="s">
        <v>76</v>
      </c>
      <c r="C46" s="65"/>
      <c r="D46" s="65"/>
      <c r="E46" s="66"/>
      <c r="F46" s="149"/>
      <c r="G46" s="149"/>
      <c r="H46" s="153">
        <f>+H45+H43+H10</f>
        <v>0</v>
      </c>
      <c r="I46" s="149"/>
      <c r="J46" s="160">
        <f>IF(F43=0,0,+H46/F43)</f>
        <v>0</v>
      </c>
      <c r="K46" s="149"/>
      <c r="L46" s="149"/>
      <c r="M46" s="149"/>
      <c r="N46" s="150"/>
      <c r="O46" s="65"/>
      <c r="P46" s="65"/>
      <c r="Q46" s="65"/>
      <c r="R46" s="104"/>
      <c r="S46" s="65"/>
      <c r="T46" s="65"/>
      <c r="U46" s="65"/>
      <c r="V46" s="65"/>
      <c r="W46" s="65"/>
      <c r="X46" s="105"/>
      <c r="Y46" s="65"/>
      <c r="Z46" s="67"/>
    </row>
    <row r="47" spans="1:26" ht="10.5" customHeight="1" thickTop="1">
      <c r="A47" s="59"/>
      <c r="Z47" s="106"/>
    </row>
    <row r="48" spans="1:26" ht="18.75" customHeight="1" thickBot="1">
      <c r="A48" s="65"/>
      <c r="B48" s="145" t="s">
        <v>32</v>
      </c>
      <c r="C48" s="65"/>
      <c r="D48" s="65"/>
      <c r="E48" s="65"/>
      <c r="F48" s="65"/>
      <c r="G48" s="107"/>
      <c r="H48" s="64"/>
      <c r="I48" s="63"/>
      <c r="J48" s="64"/>
      <c r="K48" s="63"/>
      <c r="L48" s="63"/>
      <c r="M48" s="63"/>
      <c r="N48" s="63"/>
      <c r="O48" s="59"/>
      <c r="P48" s="72"/>
      <c r="Q48" s="72"/>
      <c r="R48" s="74"/>
      <c r="S48" s="72"/>
      <c r="T48" s="59"/>
      <c r="U48" s="59"/>
      <c r="V48" s="175">
        <f>+V42</f>
        <v>3815051</v>
      </c>
      <c r="W48" s="108"/>
      <c r="X48" s="174">
        <f>+X45+X44</f>
        <v>297622178.78497815</v>
      </c>
      <c r="Y48" s="109"/>
      <c r="Z48" s="173">
        <f>+X48/V48</f>
        <v>78.012634375000005</v>
      </c>
    </row>
    <row r="49" spans="20:26" ht="13.8" thickTop="1">
      <c r="X49" s="110"/>
    </row>
    <row r="50" spans="20:26">
      <c r="Z50" s="106"/>
    </row>
    <row r="51" spans="20:26">
      <c r="T51" t="s">
        <v>78</v>
      </c>
      <c r="V51" s="142" t="e">
        <f>#REF!</f>
        <v>#REF!</v>
      </c>
      <c r="X51" s="58" t="e">
        <f>(V51-Z48)*V48</f>
        <v>#REF!</v>
      </c>
    </row>
  </sheetData>
  <pageMargins left="0.2" right="0.75" top="0.39" bottom="0.25" header="0.39" footer="0.19"/>
  <pageSetup paperSize="5" orientation="landscape" horizont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W78"/>
  <sheetViews>
    <sheetView workbookViewId="0">
      <selection activeCell="D9" sqref="D9"/>
    </sheetView>
  </sheetViews>
  <sheetFormatPr defaultColWidth="21.109375" defaultRowHeight="15.6"/>
  <cols>
    <col min="1" max="1" width="2.33203125" customWidth="1"/>
    <col min="2" max="2" width="12.5546875" customWidth="1"/>
    <col min="3" max="3" width="7.44140625" customWidth="1"/>
    <col min="4" max="4" width="16.44140625" customWidth="1"/>
    <col min="5" max="5" width="2.33203125" customWidth="1"/>
    <col min="6" max="6" width="8.6640625" style="30" customWidth="1"/>
    <col min="7" max="7" width="2.33203125" customWidth="1"/>
    <col min="8" max="8" width="17.109375" customWidth="1"/>
    <col min="9" max="9" width="2.33203125" customWidth="1"/>
    <col min="10" max="10" width="16.44140625" customWidth="1"/>
    <col min="11" max="11" width="2.44140625" customWidth="1"/>
    <col min="12" max="12" width="13.88671875" style="6" customWidth="1"/>
    <col min="13" max="13" width="2.33203125" customWidth="1"/>
    <col min="14" max="14" width="13.88671875" customWidth="1"/>
    <col min="15" max="15" width="2.33203125" customWidth="1"/>
    <col min="16" max="16" width="19" customWidth="1"/>
    <col min="17" max="17" width="2.33203125" hidden="1" customWidth="1"/>
    <col min="18" max="18" width="16.44140625" hidden="1" customWidth="1"/>
    <col min="19" max="19" width="2.33203125" hidden="1" customWidth="1"/>
    <col min="20" max="20" width="19.33203125" hidden="1" customWidth="1"/>
    <col min="21" max="21" width="2.33203125" hidden="1" customWidth="1"/>
    <col min="22" max="22" width="21.109375" style="56"/>
  </cols>
  <sheetData>
    <row r="1" spans="1:22">
      <c r="A1" s="12"/>
      <c r="B1" s="13"/>
      <c r="C1" s="14"/>
      <c r="D1" s="12"/>
      <c r="E1" s="12"/>
      <c r="F1" s="15"/>
      <c r="G1" s="12"/>
      <c r="H1" s="12"/>
      <c r="I1" s="12"/>
      <c r="J1" s="12"/>
      <c r="K1" s="12"/>
      <c r="L1" s="119"/>
      <c r="M1" s="12"/>
      <c r="N1" s="12"/>
      <c r="O1" s="12"/>
      <c r="P1" s="16">
        <f ca="1">NOW()</f>
        <v>36728.573221064813</v>
      </c>
      <c r="Q1" s="12"/>
      <c r="R1" s="12"/>
      <c r="S1" s="12"/>
      <c r="U1" s="12"/>
    </row>
    <row r="2" spans="1:22">
      <c r="A2" s="12"/>
      <c r="B2" s="13" t="s">
        <v>12</v>
      </c>
      <c r="C2" s="14"/>
      <c r="D2" s="12"/>
      <c r="E2" s="12"/>
      <c r="F2" s="15"/>
      <c r="G2" s="12"/>
      <c r="H2" s="12"/>
      <c r="I2" s="12"/>
      <c r="J2" s="12"/>
      <c r="K2" s="12"/>
      <c r="L2" s="119"/>
      <c r="M2" s="12"/>
      <c r="N2" s="12"/>
      <c r="O2" s="12"/>
      <c r="P2" s="17">
        <f ca="1">NOW()</f>
        <v>36728.573221064813</v>
      </c>
      <c r="Q2" s="12"/>
      <c r="R2" s="12"/>
      <c r="S2" s="12"/>
      <c r="U2" s="12"/>
    </row>
    <row r="3" spans="1:22">
      <c r="A3" s="12"/>
      <c r="B3" s="18">
        <v>1999</v>
      </c>
      <c r="C3" s="18"/>
      <c r="D3" s="19"/>
      <c r="E3" s="19"/>
      <c r="F3" s="20"/>
      <c r="G3" s="19"/>
      <c r="H3" s="19"/>
      <c r="I3" s="12"/>
      <c r="J3" s="12"/>
      <c r="K3" s="12"/>
      <c r="L3" s="119"/>
      <c r="M3" s="12"/>
      <c r="N3" s="12"/>
      <c r="O3" s="12"/>
      <c r="P3" s="12"/>
      <c r="Q3" s="12"/>
      <c r="R3" s="12"/>
      <c r="S3" s="12"/>
      <c r="U3" s="12"/>
    </row>
    <row r="4" spans="1:22">
      <c r="A4" s="12"/>
      <c r="B4" s="118" t="e">
        <f>#REF!</f>
        <v>#REF!</v>
      </c>
      <c r="C4" s="21"/>
      <c r="D4" s="21"/>
      <c r="E4" s="21"/>
      <c r="F4" s="22"/>
      <c r="G4" s="23"/>
      <c r="H4" s="24"/>
      <c r="I4" s="25"/>
      <c r="J4" s="12"/>
      <c r="K4" s="12"/>
      <c r="L4" s="119"/>
      <c r="M4" s="12"/>
      <c r="N4" s="12"/>
      <c r="O4" s="12"/>
      <c r="P4" s="12"/>
      <c r="Q4" s="12"/>
      <c r="R4" s="12"/>
      <c r="S4" s="12"/>
      <c r="T4" s="12"/>
      <c r="U4" s="12"/>
    </row>
    <row r="5" spans="1:22">
      <c r="A5" s="12"/>
      <c r="B5" s="14"/>
      <c r="C5" s="26"/>
      <c r="D5" s="12"/>
      <c r="E5" s="12"/>
      <c r="F5" s="15"/>
      <c r="G5" s="12"/>
      <c r="H5" s="12"/>
      <c r="I5" s="12"/>
      <c r="J5" s="12"/>
      <c r="K5" s="12"/>
      <c r="L5" s="119"/>
      <c r="M5" s="12"/>
      <c r="N5" s="12"/>
      <c r="O5" s="12"/>
      <c r="P5" s="12"/>
      <c r="Q5" s="12"/>
      <c r="R5" s="12"/>
      <c r="S5" s="12"/>
      <c r="T5" s="12"/>
      <c r="U5" s="12"/>
    </row>
    <row r="6" spans="1:22">
      <c r="A6" s="12"/>
      <c r="B6" s="26"/>
      <c r="C6" s="26"/>
      <c r="D6" s="26"/>
      <c r="E6" s="12"/>
      <c r="F6" s="12"/>
      <c r="G6" s="15"/>
      <c r="H6" s="12"/>
      <c r="I6" s="12"/>
      <c r="J6" s="12"/>
      <c r="K6" s="12"/>
      <c r="L6" s="119"/>
      <c r="M6" s="12"/>
      <c r="N6" s="12"/>
      <c r="O6" s="12"/>
      <c r="P6" s="12"/>
      <c r="Q6" s="12"/>
      <c r="R6" s="12"/>
      <c r="S6" s="12"/>
      <c r="T6" s="12"/>
      <c r="U6" s="12"/>
    </row>
    <row r="7" spans="1:22">
      <c r="A7" s="12"/>
      <c r="B7" s="26"/>
      <c r="C7" s="26"/>
      <c r="D7" s="12"/>
      <c r="E7" s="12"/>
      <c r="F7" s="15"/>
      <c r="G7" s="12"/>
      <c r="H7" s="12"/>
      <c r="I7" s="12"/>
      <c r="J7" s="12"/>
      <c r="K7" s="12"/>
      <c r="L7" s="119"/>
      <c r="M7" s="12"/>
      <c r="N7" s="12"/>
      <c r="O7" s="12"/>
      <c r="P7" s="12"/>
      <c r="Q7" s="12"/>
      <c r="R7" s="12"/>
      <c r="S7" s="12"/>
      <c r="T7" s="12"/>
      <c r="U7" s="12"/>
    </row>
    <row r="8" spans="1:22">
      <c r="A8" s="12"/>
      <c r="B8" s="12"/>
      <c r="C8" s="12"/>
      <c r="D8" s="12"/>
      <c r="E8" s="12"/>
      <c r="F8" s="15"/>
      <c r="G8" s="12"/>
      <c r="H8" s="12"/>
      <c r="I8" s="12"/>
      <c r="J8" s="12"/>
      <c r="K8" s="12"/>
      <c r="L8" s="119"/>
      <c r="M8" s="12"/>
      <c r="N8" s="12"/>
      <c r="O8" s="12"/>
      <c r="P8" s="12"/>
      <c r="Q8" s="12"/>
      <c r="R8" s="12"/>
      <c r="S8" s="12"/>
      <c r="T8" s="12"/>
      <c r="U8" s="12"/>
    </row>
    <row r="9" spans="1:22">
      <c r="A9" s="12"/>
      <c r="B9" s="26" t="s">
        <v>13</v>
      </c>
      <c r="C9" s="26"/>
      <c r="D9" s="178" t="e">
        <f>#REF!</f>
        <v>#REF!</v>
      </c>
      <c r="E9" s="28"/>
      <c r="F9" s="29"/>
      <c r="G9" s="28"/>
      <c r="H9" s="12"/>
      <c r="I9" s="12"/>
      <c r="J9" s="12"/>
      <c r="K9" s="12"/>
      <c r="L9" s="119"/>
      <c r="M9" s="12"/>
      <c r="N9" s="12"/>
      <c r="O9" s="12"/>
      <c r="P9" s="12"/>
      <c r="Q9" s="12"/>
      <c r="R9" s="12"/>
      <c r="S9" s="12"/>
      <c r="T9" s="12"/>
      <c r="U9" s="12"/>
    </row>
    <row r="10" spans="1:22" hidden="1">
      <c r="A10" s="12"/>
      <c r="B10" s="26" t="s">
        <v>14</v>
      </c>
      <c r="C10" s="26"/>
      <c r="D10" s="27">
        <v>0</v>
      </c>
      <c r="E10" s="28"/>
      <c r="F10" s="29"/>
      <c r="G10" s="28"/>
      <c r="H10" s="12"/>
      <c r="I10" s="12"/>
      <c r="J10" s="12"/>
      <c r="K10" s="12"/>
      <c r="L10" s="119"/>
      <c r="M10" s="12"/>
      <c r="N10" s="12"/>
      <c r="O10" s="12"/>
      <c r="P10" s="12"/>
      <c r="Q10" s="12"/>
      <c r="R10" s="12"/>
      <c r="S10" s="12"/>
      <c r="T10" s="12"/>
      <c r="U10" s="12"/>
    </row>
    <row r="12" spans="1:22">
      <c r="B12" s="31" t="s">
        <v>15</v>
      </c>
      <c r="C12" s="31"/>
    </row>
    <row r="13" spans="1:22">
      <c r="N13" s="32" t="s">
        <v>16</v>
      </c>
      <c r="O13" s="32"/>
      <c r="P13" s="32"/>
      <c r="R13" s="32" t="s">
        <v>79</v>
      </c>
      <c r="S13" s="32"/>
      <c r="T13" s="32"/>
    </row>
    <row r="14" spans="1:22">
      <c r="L14" s="7" t="s">
        <v>17</v>
      </c>
      <c r="M14" s="3"/>
      <c r="N14" s="3" t="s">
        <v>17</v>
      </c>
      <c r="O14" s="3"/>
      <c r="P14" s="3"/>
      <c r="Q14" s="3"/>
      <c r="R14" s="3" t="s">
        <v>17</v>
      </c>
      <c r="S14" s="3"/>
    </row>
    <row r="15" spans="1:22">
      <c r="F15" s="33" t="s">
        <v>18</v>
      </c>
      <c r="H15" s="3" t="s">
        <v>19</v>
      </c>
      <c r="I15" s="3"/>
      <c r="J15" s="3" t="s">
        <v>17</v>
      </c>
      <c r="K15" s="3"/>
      <c r="L15" s="7" t="s">
        <v>20</v>
      </c>
      <c r="M15" s="3"/>
      <c r="N15" s="3" t="s">
        <v>20</v>
      </c>
      <c r="O15" s="3"/>
      <c r="P15" s="3" t="s">
        <v>21</v>
      </c>
      <c r="Q15" s="3"/>
      <c r="R15" s="3" t="s">
        <v>20</v>
      </c>
      <c r="S15" s="3"/>
      <c r="T15" s="3" t="s">
        <v>21</v>
      </c>
    </row>
    <row r="16" spans="1:22">
      <c r="B16" t="s">
        <v>80</v>
      </c>
      <c r="D16" s="5" t="s">
        <v>22</v>
      </c>
      <c r="E16" s="10"/>
      <c r="F16" s="34" t="s">
        <v>23</v>
      </c>
      <c r="G16" s="10"/>
      <c r="H16" s="5" t="s">
        <v>24</v>
      </c>
      <c r="I16" s="3"/>
      <c r="J16" s="5" t="s">
        <v>25</v>
      </c>
      <c r="K16" s="3"/>
      <c r="L16" s="120" t="s">
        <v>26</v>
      </c>
      <c r="M16" s="3"/>
      <c r="N16" s="5" t="s">
        <v>26</v>
      </c>
      <c r="O16" s="3"/>
      <c r="P16" s="5" t="s">
        <v>27</v>
      </c>
      <c r="Q16" s="3"/>
      <c r="R16" s="5" t="s">
        <v>26</v>
      </c>
      <c r="S16" s="3"/>
      <c r="T16" s="5" t="s">
        <v>27</v>
      </c>
      <c r="V16" s="111" t="s">
        <v>81</v>
      </c>
    </row>
    <row r="17" spans="2:23" ht="8.1" customHeight="1">
      <c r="D17" s="35"/>
      <c r="E17" s="35"/>
      <c r="F17" s="36"/>
      <c r="G17" s="35"/>
      <c r="H17" s="35"/>
      <c r="I17" s="35"/>
      <c r="J17" s="35"/>
      <c r="K17" s="35"/>
      <c r="L17" s="121"/>
      <c r="M17" s="35"/>
      <c r="N17" s="35"/>
      <c r="O17" s="35"/>
      <c r="P17" s="35"/>
      <c r="Q17" s="35"/>
      <c r="R17" s="35"/>
      <c r="S17" s="35"/>
      <c r="T17" s="35"/>
    </row>
    <row r="18" spans="2:23">
      <c r="D18" s="179" t="s">
        <v>28</v>
      </c>
      <c r="E18" s="37"/>
      <c r="F18" s="181"/>
      <c r="G18" s="182"/>
      <c r="H18" s="182"/>
      <c r="J18" s="184">
        <v>47.587764229999998</v>
      </c>
      <c r="L18" s="122">
        <v>0</v>
      </c>
      <c r="N18" s="40" t="e">
        <f t="shared" ref="N18:N33" si="0">IF(J18&gt;$D$9,L18,0)</f>
        <v>#REF!</v>
      </c>
      <c r="O18" s="39"/>
      <c r="P18" s="41" t="e">
        <f t="shared" ref="P18:P33" si="1">IF(J18&gt;$D$9,J18*L18,0)</f>
        <v>#REF!</v>
      </c>
      <c r="R18" s="40"/>
      <c r="T18" s="41"/>
    </row>
    <row r="19" spans="2:23">
      <c r="D19" s="180">
        <v>35123</v>
      </c>
      <c r="E19" s="42"/>
      <c r="F19" s="181"/>
      <c r="G19" s="182"/>
      <c r="H19" s="182"/>
      <c r="J19" s="185">
        <v>57.89</v>
      </c>
      <c r="L19" s="122">
        <v>0</v>
      </c>
      <c r="N19" s="40" t="e">
        <f t="shared" si="0"/>
        <v>#REF!</v>
      </c>
      <c r="O19" s="39"/>
      <c r="P19" s="41" t="e">
        <f t="shared" si="1"/>
        <v>#REF!</v>
      </c>
      <c r="R19" s="40"/>
      <c r="T19" s="41"/>
    </row>
    <row r="20" spans="2:23">
      <c r="D20" s="180">
        <v>35155</v>
      </c>
      <c r="E20" s="42"/>
      <c r="F20" s="183"/>
      <c r="G20" s="182"/>
      <c r="H20" s="182"/>
      <c r="J20" s="185">
        <v>58.61</v>
      </c>
      <c r="L20" s="122">
        <v>0</v>
      </c>
      <c r="N20" s="40" t="e">
        <f t="shared" si="0"/>
        <v>#REF!</v>
      </c>
      <c r="O20" s="39"/>
      <c r="P20" s="41" t="e">
        <f t="shared" si="1"/>
        <v>#REF!</v>
      </c>
      <c r="R20" s="40"/>
      <c r="T20" s="41"/>
    </row>
    <row r="21" spans="2:23">
      <c r="D21" s="180">
        <v>35246</v>
      </c>
      <c r="E21" s="42"/>
      <c r="F21" s="183"/>
      <c r="G21" s="182"/>
      <c r="H21" s="182"/>
      <c r="J21" s="185">
        <v>64.17</v>
      </c>
      <c r="L21" s="122">
        <v>0</v>
      </c>
      <c r="N21" s="40" t="e">
        <f t="shared" si="0"/>
        <v>#REF!</v>
      </c>
      <c r="O21" s="39"/>
      <c r="P21" s="41" t="e">
        <f t="shared" si="1"/>
        <v>#REF!</v>
      </c>
      <c r="R21" s="40"/>
      <c r="T21" s="41"/>
    </row>
    <row r="22" spans="2:23">
      <c r="B22" s="42">
        <v>36509</v>
      </c>
      <c r="C22" t="s">
        <v>88</v>
      </c>
      <c r="D22" s="180">
        <v>35775</v>
      </c>
      <c r="E22" s="42"/>
      <c r="F22" s="183">
        <v>135</v>
      </c>
      <c r="G22" s="182"/>
      <c r="H22" s="182" t="s">
        <v>29</v>
      </c>
      <c r="J22" s="185"/>
      <c r="L22" s="122">
        <v>0</v>
      </c>
      <c r="N22" s="40" t="e">
        <f t="shared" si="0"/>
        <v>#REF!</v>
      </c>
      <c r="O22" s="39"/>
      <c r="P22" s="41" t="e">
        <f t="shared" si="1"/>
        <v>#REF!</v>
      </c>
      <c r="R22" s="40"/>
      <c r="T22" s="41"/>
      <c r="V22" s="186">
        <f>6.49*L22</f>
        <v>0</v>
      </c>
    </row>
    <row r="23" spans="2:23">
      <c r="B23" s="42">
        <v>36600</v>
      </c>
      <c r="C23" t="s">
        <v>88</v>
      </c>
      <c r="D23" s="180">
        <v>35775</v>
      </c>
      <c r="E23" s="42"/>
      <c r="F23" s="183">
        <v>136</v>
      </c>
      <c r="G23" s="182"/>
      <c r="H23" s="182" t="s">
        <v>29</v>
      </c>
      <c r="J23" s="185"/>
      <c r="L23" s="122">
        <v>0</v>
      </c>
      <c r="N23" s="40" t="e">
        <f t="shared" si="0"/>
        <v>#REF!</v>
      </c>
      <c r="O23" s="39"/>
      <c r="P23" s="41" t="e">
        <f t="shared" si="1"/>
        <v>#REF!</v>
      </c>
      <c r="R23" s="40"/>
      <c r="T23" s="41"/>
      <c r="V23" s="186">
        <f>8.23*L23</f>
        <v>0</v>
      </c>
    </row>
    <row r="24" spans="2:23">
      <c r="B24" s="42">
        <v>36631</v>
      </c>
      <c r="C24" t="s">
        <v>88</v>
      </c>
      <c r="D24" s="180">
        <v>35775</v>
      </c>
      <c r="E24" s="42"/>
      <c r="F24" s="183">
        <v>137</v>
      </c>
      <c r="G24" s="182"/>
      <c r="H24" s="182" t="s">
        <v>29</v>
      </c>
      <c r="J24" s="185"/>
      <c r="L24" s="122">
        <v>0</v>
      </c>
      <c r="N24" s="40" t="e">
        <f t="shared" si="0"/>
        <v>#REF!</v>
      </c>
      <c r="O24" s="39"/>
      <c r="P24" s="41" t="e">
        <f t="shared" si="1"/>
        <v>#REF!</v>
      </c>
      <c r="R24" s="40"/>
      <c r="T24" s="41"/>
      <c r="V24" s="186">
        <f>6.74*L24</f>
        <v>0</v>
      </c>
    </row>
    <row r="25" spans="2:23">
      <c r="B25" s="42">
        <v>36662</v>
      </c>
      <c r="C25" t="s">
        <v>88</v>
      </c>
      <c r="D25" s="180">
        <v>35775</v>
      </c>
      <c r="E25" s="42"/>
      <c r="F25" s="183">
        <v>138</v>
      </c>
      <c r="G25" s="182"/>
      <c r="H25" s="182" t="s">
        <v>29</v>
      </c>
      <c r="J25" s="185"/>
      <c r="L25" s="122">
        <v>0</v>
      </c>
      <c r="N25" s="40" t="e">
        <f t="shared" si="0"/>
        <v>#REF!</v>
      </c>
      <c r="O25" s="39"/>
      <c r="P25" s="41" t="e">
        <f t="shared" si="1"/>
        <v>#REF!</v>
      </c>
      <c r="R25" s="40"/>
      <c r="T25" s="41"/>
      <c r="V25" s="186">
        <f>5.35*L25</f>
        <v>0</v>
      </c>
    </row>
    <row r="26" spans="2:23">
      <c r="B26" s="42">
        <v>36697</v>
      </c>
      <c r="C26" t="s">
        <v>88</v>
      </c>
      <c r="D26" s="180">
        <v>35775</v>
      </c>
      <c r="E26" s="42"/>
      <c r="F26" s="183">
        <v>139</v>
      </c>
      <c r="G26" s="182"/>
      <c r="H26" s="182" t="s">
        <v>29</v>
      </c>
      <c r="J26" s="185"/>
      <c r="L26" s="122">
        <v>0</v>
      </c>
      <c r="N26" s="40" t="e">
        <f t="shared" si="0"/>
        <v>#REF!</v>
      </c>
      <c r="O26" s="39"/>
      <c r="P26" s="41" t="e">
        <f t="shared" si="1"/>
        <v>#REF!</v>
      </c>
      <c r="R26" s="40"/>
      <c r="T26" s="41"/>
      <c r="V26" s="186">
        <f>6.61*L26</f>
        <v>0</v>
      </c>
    </row>
    <row r="27" spans="2:23">
      <c r="B27" s="42">
        <v>36784</v>
      </c>
      <c r="C27" t="s">
        <v>88</v>
      </c>
      <c r="D27" s="180">
        <v>35775</v>
      </c>
      <c r="E27" s="42"/>
      <c r="F27" s="183">
        <v>140</v>
      </c>
      <c r="G27" s="182"/>
      <c r="H27" s="182" t="s">
        <v>29</v>
      </c>
      <c r="J27" s="185"/>
      <c r="L27" s="122">
        <v>0</v>
      </c>
      <c r="N27" s="40" t="e">
        <f t="shared" si="0"/>
        <v>#REF!</v>
      </c>
      <c r="O27" s="39"/>
      <c r="P27" s="41" t="e">
        <f t="shared" si="1"/>
        <v>#REF!</v>
      </c>
      <c r="R27" s="40"/>
      <c r="T27" s="41"/>
      <c r="V27" s="186">
        <f>5.84*L27</f>
        <v>0</v>
      </c>
    </row>
    <row r="28" spans="2:23">
      <c r="B28" s="42">
        <v>36875</v>
      </c>
      <c r="C28" t="s">
        <v>88</v>
      </c>
      <c r="D28" s="180">
        <v>35774</v>
      </c>
      <c r="E28" s="42"/>
      <c r="F28" s="183">
        <v>141</v>
      </c>
      <c r="G28" s="182"/>
      <c r="H28" s="182" t="s">
        <v>29</v>
      </c>
      <c r="J28" s="185"/>
      <c r="L28" s="122">
        <v>0</v>
      </c>
      <c r="N28" s="40" t="e">
        <f t="shared" si="0"/>
        <v>#REF!</v>
      </c>
      <c r="O28" s="39"/>
      <c r="P28" s="41" t="e">
        <f t="shared" si="1"/>
        <v>#REF!</v>
      </c>
      <c r="R28" s="40"/>
      <c r="T28" s="41"/>
      <c r="V28" s="186">
        <f>4.92*L28</f>
        <v>0</v>
      </c>
    </row>
    <row r="29" spans="2:23">
      <c r="B29" s="42">
        <v>37149</v>
      </c>
      <c r="C29" t="s">
        <v>88</v>
      </c>
      <c r="D29" s="180">
        <v>35775</v>
      </c>
      <c r="E29" s="42"/>
      <c r="F29" s="183">
        <v>142</v>
      </c>
      <c r="G29" s="182"/>
      <c r="H29" s="182" t="s">
        <v>29</v>
      </c>
      <c r="J29" s="185"/>
      <c r="L29" s="122">
        <v>0</v>
      </c>
      <c r="N29" s="40" t="e">
        <f t="shared" si="0"/>
        <v>#REF!</v>
      </c>
      <c r="O29" s="39"/>
      <c r="P29" s="41" t="e">
        <f t="shared" si="1"/>
        <v>#REF!</v>
      </c>
      <c r="R29" s="40"/>
      <c r="T29" s="41"/>
      <c r="V29" s="186">
        <f>8.51*L29</f>
        <v>0</v>
      </c>
    </row>
    <row r="30" spans="2:23">
      <c r="B30" s="42">
        <v>37302</v>
      </c>
      <c r="C30" t="s">
        <v>88</v>
      </c>
      <c r="D30" s="180">
        <v>35775</v>
      </c>
      <c r="E30" s="42"/>
      <c r="F30" s="183">
        <v>143</v>
      </c>
      <c r="G30" s="182"/>
      <c r="H30" s="182" t="s">
        <v>29</v>
      </c>
      <c r="J30" s="185"/>
      <c r="L30" s="122">
        <v>0</v>
      </c>
      <c r="N30" s="40" t="e">
        <f t="shared" si="0"/>
        <v>#REF!</v>
      </c>
      <c r="O30" s="39"/>
      <c r="P30" s="41" t="e">
        <f t="shared" si="1"/>
        <v>#REF!</v>
      </c>
      <c r="R30" s="40"/>
      <c r="T30" s="41"/>
      <c r="V30" s="186">
        <f>11.59*L30</f>
        <v>0</v>
      </c>
    </row>
    <row r="31" spans="2:23">
      <c r="B31" s="42">
        <v>37330</v>
      </c>
      <c r="C31" t="s">
        <v>88</v>
      </c>
      <c r="D31" s="180">
        <v>35776</v>
      </c>
      <c r="E31" s="42"/>
      <c r="F31" s="183">
        <v>144</v>
      </c>
      <c r="G31" s="182"/>
      <c r="H31" s="182" t="s">
        <v>29</v>
      </c>
      <c r="J31" s="185"/>
      <c r="L31" s="122">
        <v>0</v>
      </c>
      <c r="N31" s="40" t="e">
        <f t="shared" si="0"/>
        <v>#REF!</v>
      </c>
      <c r="O31" s="39"/>
      <c r="P31" s="41" t="e">
        <f t="shared" si="1"/>
        <v>#REF!</v>
      </c>
      <c r="R31" s="40"/>
      <c r="T31" s="41"/>
      <c r="V31" s="186">
        <f>12.29*L31</f>
        <v>0</v>
      </c>
    </row>
    <row r="32" spans="2:23">
      <c r="B32" s="42">
        <v>37424</v>
      </c>
      <c r="C32" t="s">
        <v>88</v>
      </c>
      <c r="D32" s="180">
        <v>35779</v>
      </c>
      <c r="E32" s="42"/>
      <c r="F32" s="183">
        <v>145</v>
      </c>
      <c r="G32" s="182"/>
      <c r="H32" s="182" t="s">
        <v>29</v>
      </c>
      <c r="J32" s="185"/>
      <c r="L32" s="122">
        <v>0</v>
      </c>
      <c r="N32" s="40" t="e">
        <f t="shared" si="0"/>
        <v>#REF!</v>
      </c>
      <c r="O32" s="39"/>
      <c r="P32" s="41" t="e">
        <f t="shared" si="1"/>
        <v>#REF!</v>
      </c>
      <c r="R32" s="40"/>
      <c r="T32" s="41"/>
      <c r="V32" s="186">
        <f>14.95*L32</f>
        <v>0</v>
      </c>
      <c r="W32" s="112">
        <f>SUM(V22:V32)</f>
        <v>0</v>
      </c>
    </row>
    <row r="33" spans="2:22">
      <c r="B33" s="42">
        <v>37816</v>
      </c>
      <c r="C33" t="s">
        <v>30</v>
      </c>
      <c r="D33" s="180">
        <v>35989</v>
      </c>
      <c r="E33" s="42"/>
      <c r="F33" s="183">
        <v>147</v>
      </c>
      <c r="G33" s="182"/>
      <c r="H33" s="182" t="s">
        <v>31</v>
      </c>
      <c r="J33" s="185" t="e">
        <f>#REF!</f>
        <v>#REF!</v>
      </c>
      <c r="L33" s="122">
        <v>6006402</v>
      </c>
      <c r="N33" s="40" t="e">
        <f t="shared" si="0"/>
        <v>#REF!</v>
      </c>
      <c r="O33" s="39"/>
      <c r="P33" s="41" t="e">
        <f t="shared" si="1"/>
        <v>#REF!</v>
      </c>
      <c r="R33" s="40"/>
      <c r="T33" s="41"/>
      <c r="V33" s="193">
        <v>59343251.159999996</v>
      </c>
    </row>
    <row r="34" spans="2:22">
      <c r="B34" s="1"/>
      <c r="C34" s="1"/>
      <c r="J34" s="38"/>
      <c r="K34" s="38"/>
      <c r="L34" s="123"/>
      <c r="M34" s="39"/>
      <c r="N34" s="43"/>
      <c r="O34" s="39"/>
      <c r="P34" s="44"/>
    </row>
    <row r="35" spans="2:22" ht="16.2" thickBot="1">
      <c r="B35" s="3" t="s">
        <v>32</v>
      </c>
      <c r="C35" s="3"/>
      <c r="D35" s="45"/>
      <c r="E35" s="45"/>
      <c r="J35" s="46"/>
      <c r="K35" s="46"/>
      <c r="L35" s="55">
        <f>SUM(L18:L34)</f>
        <v>6006402</v>
      </c>
      <c r="N35" s="47" t="e">
        <f>SUM(N18:N34)</f>
        <v>#REF!</v>
      </c>
      <c r="P35" s="48" t="e">
        <f>SUM(P18:P34)</f>
        <v>#REF!</v>
      </c>
      <c r="R35" s="4"/>
      <c r="T35" s="113">
        <f>D10</f>
        <v>0</v>
      </c>
      <c r="V35" s="115">
        <f>SUM(V22:V34)</f>
        <v>59343251.159999996</v>
      </c>
    </row>
    <row r="36" spans="2:22" ht="16.8" thickTop="1" thickBot="1">
      <c r="R36" s="53"/>
      <c r="T36" s="114" t="e">
        <f>#REF!/T35</f>
        <v>#REF!</v>
      </c>
    </row>
    <row r="37" spans="2:22" ht="16.2" thickTop="1">
      <c r="I37" s="49" t="s">
        <v>33</v>
      </c>
      <c r="J37" s="187" t="e">
        <f>D9</f>
        <v>#REF!</v>
      </c>
      <c r="N37" s="6" t="e">
        <f>N35</f>
        <v>#REF!</v>
      </c>
      <c r="P37" s="50" t="e">
        <f>N37*J37</f>
        <v>#REF!</v>
      </c>
    </row>
    <row r="38" spans="2:22">
      <c r="I38" s="49" t="s">
        <v>34</v>
      </c>
      <c r="J38" s="187">
        <f>D10</f>
        <v>0</v>
      </c>
      <c r="L38" s="124"/>
      <c r="N38" s="4"/>
      <c r="P38" s="4"/>
    </row>
    <row r="39" spans="2:22">
      <c r="I39" s="49" t="s">
        <v>35</v>
      </c>
      <c r="P39" s="56" t="e">
        <f>P35-P37</f>
        <v>#REF!</v>
      </c>
    </row>
    <row r="40" spans="2:22">
      <c r="B40" t="s">
        <v>36</v>
      </c>
      <c r="I40" s="49"/>
    </row>
    <row r="41" spans="2:22">
      <c r="I41" s="49" t="s">
        <v>33</v>
      </c>
      <c r="P41" s="51" t="e">
        <f>D9</f>
        <v>#REF!</v>
      </c>
    </row>
    <row r="42" spans="2:22">
      <c r="I42" s="49" t="s">
        <v>34</v>
      </c>
      <c r="L42" s="124"/>
      <c r="N42" s="4"/>
      <c r="P42" s="4"/>
    </row>
    <row r="43" spans="2:22" ht="16.2" thickBot="1">
      <c r="I43" s="52" t="s">
        <v>37</v>
      </c>
      <c r="L43" s="116"/>
      <c r="M43" s="53"/>
      <c r="N43" s="53"/>
      <c r="P43" s="54" t="e">
        <f>P39/P41</f>
        <v>#REF!</v>
      </c>
    </row>
    <row r="44" spans="2:22" ht="16.2" thickTop="1"/>
    <row r="47" spans="2:22">
      <c r="B47" t="s">
        <v>84</v>
      </c>
    </row>
    <row r="53" spans="2:20">
      <c r="B53" s="200" t="s">
        <v>157</v>
      </c>
      <c r="R53" s="32" t="s">
        <v>79</v>
      </c>
      <c r="S53" s="32"/>
      <c r="T53" s="32"/>
    </row>
    <row r="54" spans="2:20">
      <c r="L54" s="7" t="s">
        <v>17</v>
      </c>
      <c r="M54" s="3"/>
      <c r="Q54" s="3"/>
      <c r="R54" s="3" t="s">
        <v>17</v>
      </c>
      <c r="S54" s="3"/>
    </row>
    <row r="55" spans="2:20">
      <c r="F55" s="33" t="s">
        <v>18</v>
      </c>
      <c r="H55" s="3" t="s">
        <v>19</v>
      </c>
      <c r="I55" s="3"/>
      <c r="J55" s="3" t="s">
        <v>17</v>
      </c>
      <c r="K55" s="3"/>
      <c r="L55" s="7" t="s">
        <v>20</v>
      </c>
      <c r="M55" s="3"/>
      <c r="Q55" s="3"/>
      <c r="R55" s="3" t="s">
        <v>20</v>
      </c>
      <c r="S55" s="3"/>
      <c r="T55" s="3" t="s">
        <v>21</v>
      </c>
    </row>
    <row r="56" spans="2:20">
      <c r="B56" t="s">
        <v>80</v>
      </c>
      <c r="D56" s="5" t="s">
        <v>40</v>
      </c>
      <c r="E56" s="10"/>
      <c r="F56" s="34" t="s">
        <v>23</v>
      </c>
      <c r="G56" s="10"/>
      <c r="H56" s="5" t="s">
        <v>24</v>
      </c>
      <c r="I56" s="3"/>
      <c r="J56" s="5" t="s">
        <v>25</v>
      </c>
      <c r="K56" s="3"/>
      <c r="L56" s="120" t="s">
        <v>26</v>
      </c>
      <c r="M56" s="3"/>
      <c r="P56" s="111" t="s">
        <v>158</v>
      </c>
      <c r="Q56" s="3"/>
      <c r="R56" s="5" t="s">
        <v>26</v>
      </c>
      <c r="S56" s="3"/>
      <c r="T56" s="5" t="s">
        <v>27</v>
      </c>
    </row>
    <row r="57" spans="2:20">
      <c r="D57" s="35"/>
      <c r="E57" s="35"/>
      <c r="F57" s="36"/>
      <c r="G57" s="35"/>
      <c r="H57" s="35"/>
      <c r="I57" s="35"/>
      <c r="J57" s="35"/>
      <c r="K57" s="35"/>
      <c r="L57" s="121"/>
      <c r="M57" s="35"/>
      <c r="P57" s="56"/>
      <c r="Q57" s="35"/>
      <c r="R57" s="35"/>
      <c r="S57" s="35"/>
      <c r="T57" s="35"/>
    </row>
    <row r="58" spans="2:20">
      <c r="B58" s="42">
        <v>36509</v>
      </c>
      <c r="C58" t="s">
        <v>156</v>
      </c>
      <c r="D58" s="179">
        <v>34318</v>
      </c>
      <c r="E58" s="42"/>
      <c r="F58" s="183"/>
      <c r="G58" s="182"/>
      <c r="H58" s="182" t="s">
        <v>29</v>
      </c>
      <c r="J58" s="185">
        <v>47.4</v>
      </c>
      <c r="L58" s="122">
        <v>70187</v>
      </c>
      <c r="P58" s="193">
        <v>717781.2</v>
      </c>
      <c r="R58" s="40"/>
      <c r="T58" s="41"/>
    </row>
    <row r="59" spans="2:20">
      <c r="B59" s="42">
        <v>36600</v>
      </c>
      <c r="C59" t="s">
        <v>156</v>
      </c>
      <c r="D59" s="179">
        <v>34408</v>
      </c>
      <c r="E59" s="42"/>
      <c r="F59" s="183"/>
      <c r="G59" s="182"/>
      <c r="H59" s="182" t="s">
        <v>29</v>
      </c>
      <c r="J59" s="185">
        <v>50.38</v>
      </c>
      <c r="L59" s="122">
        <v>67551</v>
      </c>
      <c r="P59" s="193">
        <v>642524.63</v>
      </c>
      <c r="R59" s="40"/>
      <c r="T59" s="41"/>
    </row>
    <row r="60" spans="2:20">
      <c r="B60" s="42">
        <v>36631</v>
      </c>
      <c r="C60" t="s">
        <v>156</v>
      </c>
      <c r="D60" s="179">
        <v>34439</v>
      </c>
      <c r="E60" s="42"/>
      <c r="F60" s="183"/>
      <c r="G60" s="182"/>
      <c r="H60" s="182" t="s">
        <v>29</v>
      </c>
      <c r="J60" s="185">
        <v>48.16</v>
      </c>
      <c r="L60" s="122">
        <v>71073</v>
      </c>
      <c r="P60" s="193">
        <v>589905.9</v>
      </c>
      <c r="R60" s="40"/>
      <c r="T60" s="41"/>
    </row>
    <row r="61" spans="2:20">
      <c r="B61" s="42">
        <v>36662</v>
      </c>
      <c r="C61" t="s">
        <v>156</v>
      </c>
      <c r="D61" s="179">
        <v>34470</v>
      </c>
      <c r="E61" s="42"/>
      <c r="F61" s="183"/>
      <c r="G61" s="182"/>
      <c r="H61" s="182" t="s">
        <v>29</v>
      </c>
      <c r="J61" s="185">
        <v>45.88</v>
      </c>
      <c r="L61" s="122">
        <v>74654</v>
      </c>
      <c r="P61" s="193">
        <v>556172.30000000005</v>
      </c>
      <c r="R61" s="40"/>
      <c r="T61" s="41"/>
    </row>
    <row r="62" spans="2:20">
      <c r="B62" s="42">
        <v>36697</v>
      </c>
      <c r="C62" t="s">
        <v>156</v>
      </c>
      <c r="D62" s="179">
        <v>34505</v>
      </c>
      <c r="E62" s="42"/>
      <c r="F62" s="183"/>
      <c r="G62" s="182"/>
      <c r="H62" s="182" t="s">
        <v>29</v>
      </c>
      <c r="J62" s="185">
        <v>48.13</v>
      </c>
      <c r="L62" s="122">
        <v>71212</v>
      </c>
      <c r="P62" s="193">
        <v>576438.35</v>
      </c>
      <c r="R62" s="40"/>
      <c r="T62" s="41"/>
    </row>
    <row r="63" spans="2:20">
      <c r="B63" s="42">
        <v>36784</v>
      </c>
      <c r="C63" t="s">
        <v>156</v>
      </c>
      <c r="D63" s="179">
        <v>34592</v>
      </c>
      <c r="E63" s="42"/>
      <c r="F63" s="183"/>
      <c r="G63" s="182"/>
      <c r="H63" s="182" t="s">
        <v>29</v>
      </c>
      <c r="J63" s="185">
        <v>47.05</v>
      </c>
      <c r="L63" s="122">
        <v>425268</v>
      </c>
      <c r="P63" s="193">
        <v>4045030.14</v>
      </c>
      <c r="R63" s="40"/>
      <c r="T63" s="41"/>
    </row>
    <row r="64" spans="2:20">
      <c r="B64" s="42">
        <v>36875</v>
      </c>
      <c r="C64" t="s">
        <v>156</v>
      </c>
      <c r="D64" s="179">
        <v>34683</v>
      </c>
      <c r="E64" s="42"/>
      <c r="F64" s="183"/>
      <c r="G64" s="182"/>
      <c r="H64" s="182" t="s">
        <v>29</v>
      </c>
      <c r="J64" s="185">
        <v>44.05</v>
      </c>
      <c r="L64" s="122">
        <v>227650</v>
      </c>
      <c r="P64" s="193">
        <v>1880084.84</v>
      </c>
      <c r="R64" s="40"/>
      <c r="T64" s="41"/>
    </row>
    <row r="65" spans="2:23">
      <c r="B65" s="42">
        <v>37149</v>
      </c>
      <c r="C65" t="s">
        <v>156</v>
      </c>
      <c r="D65" s="179">
        <v>34957</v>
      </c>
      <c r="E65" s="42"/>
      <c r="F65" s="183"/>
      <c r="G65" s="182"/>
      <c r="H65" s="182" t="s">
        <v>29</v>
      </c>
      <c r="J65" s="185">
        <v>52.53</v>
      </c>
      <c r="L65" s="122">
        <v>187083</v>
      </c>
      <c r="P65" s="193">
        <v>2351680.08</v>
      </c>
      <c r="R65" s="40"/>
      <c r="T65" s="41"/>
    </row>
    <row r="66" spans="2:23">
      <c r="B66" s="42">
        <v>37302</v>
      </c>
      <c r="C66" t="s">
        <v>156</v>
      </c>
      <c r="D66" s="180">
        <v>35110</v>
      </c>
      <c r="E66" s="42"/>
      <c r="F66" s="183"/>
      <c r="G66" s="182"/>
      <c r="H66" s="182" t="s">
        <v>29</v>
      </c>
      <c r="J66" s="185">
        <v>57.889000000000003</v>
      </c>
      <c r="L66" s="122">
        <v>568718</v>
      </c>
      <c r="P66" s="193">
        <v>8057067.7199999997</v>
      </c>
      <c r="R66" s="40"/>
      <c r="T66" s="41"/>
    </row>
    <row r="67" spans="2:23">
      <c r="B67" s="42">
        <v>37330</v>
      </c>
      <c r="C67" t="s">
        <v>156</v>
      </c>
      <c r="D67" s="180">
        <v>35139</v>
      </c>
      <c r="E67" s="42"/>
      <c r="F67" s="183"/>
      <c r="G67" s="182"/>
      <c r="H67" s="182" t="s">
        <v>29</v>
      </c>
      <c r="J67" s="185">
        <v>58.61</v>
      </c>
      <c r="L67" s="122">
        <v>171854</v>
      </c>
      <c r="P67" s="193">
        <v>2180409.65</v>
      </c>
      <c r="R67" s="40"/>
      <c r="T67" s="41"/>
    </row>
    <row r="68" spans="2:23">
      <c r="B68" s="42">
        <v>37424</v>
      </c>
      <c r="C68" t="s">
        <v>156</v>
      </c>
      <c r="D68" s="180">
        <v>35233</v>
      </c>
      <c r="E68" s="42"/>
      <c r="F68" s="183"/>
      <c r="G68" s="182"/>
      <c r="H68" s="182" t="s">
        <v>29</v>
      </c>
      <c r="J68" s="185">
        <v>64.168000000000006</v>
      </c>
      <c r="L68" s="122">
        <v>1067953</v>
      </c>
      <c r="P68" s="193">
        <v>13487285.23</v>
      </c>
      <c r="R68" s="40"/>
      <c r="T68" s="41"/>
      <c r="W68" s="112"/>
    </row>
    <row r="69" spans="2:23">
      <c r="B69" s="1"/>
      <c r="C69" s="1"/>
      <c r="J69" s="38"/>
      <c r="K69" s="38"/>
      <c r="L69" s="123"/>
      <c r="M69" s="39"/>
      <c r="P69" s="56"/>
    </row>
    <row r="70" spans="2:23" ht="16.2" thickBot="1">
      <c r="B70" s="3" t="s">
        <v>32</v>
      </c>
      <c r="C70" s="3"/>
      <c r="D70" s="45"/>
      <c r="E70" s="45"/>
      <c r="J70" s="46"/>
      <c r="K70" s="46"/>
      <c r="L70" s="55">
        <f>SUM(L58:L69)</f>
        <v>3003203</v>
      </c>
      <c r="P70" s="115">
        <f>SUM(P58:P69)</f>
        <v>35084380.039999999</v>
      </c>
      <c r="R70" s="4"/>
      <c r="T70" s="113">
        <f>D50</f>
        <v>0</v>
      </c>
    </row>
    <row r="71" spans="2:23" ht="16.2" thickTop="1">
      <c r="J71" s="194"/>
      <c r="P71" s="56"/>
    </row>
    <row r="72" spans="2:23" ht="13.2">
      <c r="F72"/>
      <c r="L72"/>
      <c r="V72"/>
    </row>
    <row r="73" spans="2:23" ht="13.2">
      <c r="F73"/>
      <c r="L73"/>
      <c r="V73"/>
    </row>
    <row r="74" spans="2:23" ht="13.2">
      <c r="F74"/>
      <c r="L74"/>
      <c r="V74"/>
    </row>
    <row r="75" spans="2:23" ht="13.2">
      <c r="F75"/>
      <c r="L75"/>
      <c r="V75"/>
    </row>
    <row r="76" spans="2:23" ht="13.2">
      <c r="F76"/>
      <c r="L76"/>
      <c r="V76"/>
      <c r="W76" s="112"/>
    </row>
    <row r="77" spans="2:23" ht="13.2">
      <c r="F77"/>
      <c r="L77"/>
      <c r="V77"/>
    </row>
    <row r="78" spans="2:23" ht="13.2">
      <c r="F78"/>
      <c r="L78"/>
      <c r="V78"/>
    </row>
  </sheetData>
  <pageMargins left="0.75" right="0.51" top="0.5" bottom="0.35" header="0.31" footer="0.5"/>
  <pageSetup scale="89" orientation="landscape" horizont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H56"/>
  <sheetViews>
    <sheetView workbookViewId="0">
      <selection activeCell="D24" sqref="D24"/>
    </sheetView>
  </sheetViews>
  <sheetFormatPr defaultRowHeight="13.2"/>
  <cols>
    <col min="1" max="1" width="15.33203125" customWidth="1"/>
    <col min="2" max="2" width="16.44140625" bestFit="1" customWidth="1"/>
    <col min="3" max="3" width="16.6640625" bestFit="1" customWidth="1"/>
    <col min="4" max="4" width="14.44140625" bestFit="1" customWidth="1"/>
    <col min="6" max="8" width="17.33203125" customWidth="1"/>
  </cols>
  <sheetData>
    <row r="2" spans="1:4">
      <c r="A2" s="200" t="s">
        <v>206</v>
      </c>
    </row>
    <row r="4" spans="1:4">
      <c r="A4" s="200" t="s">
        <v>200</v>
      </c>
    </row>
    <row r="5" spans="1:4">
      <c r="A5" s="57">
        <v>35989</v>
      </c>
      <c r="B5" s="193">
        <v>22824327</v>
      </c>
    </row>
    <row r="6" spans="1:4">
      <c r="A6" s="57">
        <v>36172</v>
      </c>
      <c r="B6" s="193">
        <v>23184711.719999999</v>
      </c>
    </row>
    <row r="7" spans="1:4">
      <c r="A7" s="57">
        <v>36230</v>
      </c>
      <c r="B7" s="193">
        <v>13334212.439999999</v>
      </c>
    </row>
    <row r="8" spans="1:4">
      <c r="A8" s="259" t="s">
        <v>202</v>
      </c>
      <c r="B8" s="192">
        <f>SUM(B5:B7)</f>
        <v>59343251.159999996</v>
      </c>
    </row>
    <row r="10" spans="1:4">
      <c r="A10" s="200" t="s">
        <v>201</v>
      </c>
      <c r="C10" t="s">
        <v>204</v>
      </c>
    </row>
    <row r="11" spans="1:4">
      <c r="A11" s="57">
        <v>35998</v>
      </c>
      <c r="B11" s="193">
        <v>-22824327</v>
      </c>
      <c r="C11" t="s">
        <v>203</v>
      </c>
      <c r="D11" t="s">
        <v>217</v>
      </c>
    </row>
    <row r="12" spans="1:4">
      <c r="A12" s="57">
        <v>36341</v>
      </c>
      <c r="B12" s="193">
        <v>-8750000</v>
      </c>
      <c r="C12" t="s">
        <v>203</v>
      </c>
      <c r="D12" t="s">
        <v>217</v>
      </c>
    </row>
    <row r="13" spans="1:4">
      <c r="A13" s="57">
        <v>36363</v>
      </c>
      <c r="B13" s="193">
        <v>-1500000</v>
      </c>
      <c r="C13" s="239" t="s">
        <v>216</v>
      </c>
      <c r="D13" t="s">
        <v>218</v>
      </c>
    </row>
    <row r="14" spans="1:4">
      <c r="A14" s="57">
        <v>36508</v>
      </c>
      <c r="B14" s="193">
        <v>-15215255</v>
      </c>
      <c r="C14" s="239" t="s">
        <v>216</v>
      </c>
      <c r="D14" t="s">
        <v>218</v>
      </c>
    </row>
    <row r="15" spans="1:4">
      <c r="B15" s="193"/>
    </row>
    <row r="16" spans="1:4">
      <c r="B16" s="193"/>
    </row>
    <row r="17" spans="1:4">
      <c r="B17" s="193"/>
    </row>
    <row r="18" spans="1:4">
      <c r="B18" s="260">
        <f>SUM(B11:B17)</f>
        <v>-48289582</v>
      </c>
    </row>
    <row r="20" spans="1:4" ht="13.8" thickBot="1">
      <c r="A20" s="200" t="s">
        <v>205</v>
      </c>
      <c r="B20" s="261">
        <f>+B8+B18</f>
        <v>11053669.159999996</v>
      </c>
    </row>
    <row r="21" spans="1:4" ht="13.8" thickTop="1"/>
    <row r="22" spans="1:4">
      <c r="A22" s="200" t="s">
        <v>200</v>
      </c>
    </row>
    <row r="23" spans="1:4">
      <c r="A23" s="57">
        <v>36536</v>
      </c>
      <c r="B23" s="193">
        <v>56719353.219999999</v>
      </c>
    </row>
    <row r="25" spans="1:4">
      <c r="A25" s="200" t="s">
        <v>201</v>
      </c>
      <c r="C25" t="s">
        <v>204</v>
      </c>
    </row>
    <row r="26" spans="1:4">
      <c r="A26" s="208" t="s">
        <v>316</v>
      </c>
      <c r="B26" s="193">
        <v>-49873051</v>
      </c>
      <c r="C26" s="239" t="s">
        <v>216</v>
      </c>
      <c r="D26" t="s">
        <v>218</v>
      </c>
    </row>
    <row r="27" spans="1:4">
      <c r="A27" s="57" t="s">
        <v>315</v>
      </c>
      <c r="B27" s="193">
        <v>-17900024.02</v>
      </c>
      <c r="C27" s="239" t="s">
        <v>216</v>
      </c>
      <c r="D27" t="s">
        <v>218</v>
      </c>
    </row>
    <row r="28" spans="1:4">
      <c r="B28" s="260">
        <f>SUM(B23:B27)</f>
        <v>-11053721.800000001</v>
      </c>
    </row>
    <row r="29" spans="1:4" ht="13.8" thickBot="1">
      <c r="A29" s="200" t="s">
        <v>205</v>
      </c>
      <c r="B29" s="261">
        <f>+B20+B28</f>
        <v>-52.640000004321337</v>
      </c>
    </row>
    <row r="30" spans="1:4" ht="13.8" thickTop="1"/>
    <row r="31" spans="1:4">
      <c r="A31" t="s">
        <v>233</v>
      </c>
    </row>
    <row r="32" spans="1:4">
      <c r="A32" t="s">
        <v>234</v>
      </c>
    </row>
    <row r="34" spans="1:8">
      <c r="B34" s="200" t="s">
        <v>242</v>
      </c>
    </row>
    <row r="35" spans="1:8">
      <c r="F35" s="200" t="s">
        <v>235</v>
      </c>
    </row>
    <row r="37" spans="1:8">
      <c r="A37" s="57">
        <v>35989</v>
      </c>
      <c r="B37" t="s">
        <v>236</v>
      </c>
      <c r="C37" s="56">
        <v>22824327</v>
      </c>
      <c r="F37" t="s">
        <v>236</v>
      </c>
      <c r="G37" s="56">
        <v>22824327</v>
      </c>
    </row>
    <row r="38" spans="1:8">
      <c r="B38" t="s">
        <v>237</v>
      </c>
      <c r="D38" s="56">
        <v>-22824327</v>
      </c>
      <c r="F38" t="s">
        <v>237</v>
      </c>
      <c r="H38" s="56">
        <v>-22824327</v>
      </c>
    </row>
    <row r="40" spans="1:8">
      <c r="A40" s="57">
        <v>36172</v>
      </c>
      <c r="C40" s="56"/>
      <c r="D40" s="56"/>
      <c r="F40" t="s">
        <v>238</v>
      </c>
      <c r="G40" s="56">
        <v>23184711.719999999</v>
      </c>
      <c r="H40" s="56"/>
    </row>
    <row r="41" spans="1:8">
      <c r="C41" s="56"/>
      <c r="D41" s="56"/>
      <c r="F41" t="s">
        <v>237</v>
      </c>
      <c r="G41" s="56"/>
      <c r="H41" s="56">
        <v>-23184711.719999999</v>
      </c>
    </row>
    <row r="43" spans="1:8">
      <c r="A43" s="57">
        <v>36230</v>
      </c>
      <c r="C43" s="56"/>
      <c r="D43" s="56"/>
      <c r="F43" t="s">
        <v>238</v>
      </c>
      <c r="G43" s="56">
        <v>13334212.439999999</v>
      </c>
      <c r="H43" s="56"/>
    </row>
    <row r="44" spans="1:8">
      <c r="C44" s="56"/>
      <c r="D44" s="56"/>
      <c r="F44" t="s">
        <v>237</v>
      </c>
      <c r="G44" s="56"/>
      <c r="H44" s="56">
        <v>-13334212.439999999</v>
      </c>
    </row>
    <row r="46" spans="1:8">
      <c r="A46" s="57">
        <v>36341</v>
      </c>
      <c r="B46" t="s">
        <v>236</v>
      </c>
      <c r="C46" s="56">
        <v>8750000</v>
      </c>
      <c r="D46" s="56"/>
      <c r="F46" t="s">
        <v>236</v>
      </c>
      <c r="G46" s="56">
        <v>8750000</v>
      </c>
      <c r="H46" s="56"/>
    </row>
    <row r="47" spans="1:8">
      <c r="B47" t="s">
        <v>237</v>
      </c>
      <c r="C47" s="56"/>
      <c r="D47" s="56">
        <v>-8750000</v>
      </c>
      <c r="F47" t="s">
        <v>239</v>
      </c>
      <c r="G47" s="56"/>
      <c r="H47" s="56">
        <v>-8750000</v>
      </c>
    </row>
    <row r="49" spans="1:8">
      <c r="A49" s="57">
        <v>36363</v>
      </c>
      <c r="B49" t="s">
        <v>236</v>
      </c>
      <c r="C49" s="56">
        <v>1500000</v>
      </c>
      <c r="D49" s="56"/>
      <c r="F49" t="s">
        <v>236</v>
      </c>
      <c r="G49" s="56">
        <v>1500000</v>
      </c>
      <c r="H49" s="56"/>
    </row>
    <row r="50" spans="1:8">
      <c r="B50" t="s">
        <v>237</v>
      </c>
      <c r="C50" s="56"/>
      <c r="D50" s="56">
        <v>-1500000</v>
      </c>
      <c r="F50" t="s">
        <v>239</v>
      </c>
      <c r="G50" s="56"/>
      <c r="H50" s="56">
        <v>-1500000</v>
      </c>
    </row>
    <row r="52" spans="1:8">
      <c r="A52" s="57">
        <v>36508</v>
      </c>
      <c r="B52" t="s">
        <v>236</v>
      </c>
      <c r="C52" s="56">
        <v>15215255</v>
      </c>
      <c r="D52" s="56"/>
      <c r="F52" t="s">
        <v>236</v>
      </c>
      <c r="G52" s="56">
        <v>15215255</v>
      </c>
      <c r="H52" s="56"/>
    </row>
    <row r="53" spans="1:8">
      <c r="B53" t="s">
        <v>239</v>
      </c>
      <c r="C53" s="56"/>
      <c r="D53" s="56">
        <v>-15215255</v>
      </c>
      <c r="F53" t="s">
        <v>239</v>
      </c>
      <c r="G53" s="56"/>
      <c r="H53" s="56">
        <v>-15215255</v>
      </c>
    </row>
    <row r="55" spans="1:8">
      <c r="A55" s="57">
        <v>36508</v>
      </c>
      <c r="B55" t="s">
        <v>240</v>
      </c>
      <c r="C55" s="56">
        <v>52275302</v>
      </c>
      <c r="D55" s="56"/>
      <c r="F55" t="s">
        <v>240</v>
      </c>
      <c r="G55" s="56">
        <v>52275302</v>
      </c>
      <c r="H55" s="56"/>
    </row>
    <row r="56" spans="1:8">
      <c r="B56" t="s">
        <v>241</v>
      </c>
      <c r="C56" s="56"/>
      <c r="D56" s="56">
        <v>-52275302</v>
      </c>
      <c r="F56" t="s">
        <v>241</v>
      </c>
      <c r="G56" s="56"/>
      <c r="H56" s="56">
        <v>-52275302</v>
      </c>
    </row>
  </sheetData>
  <pageMargins left="1.25" right="0.75" top="1" bottom="1" header="0.5" footer="0.5"/>
  <pageSetup scale="68" orientation="portrait" horizontalDpi="0" r:id="rId1"/>
  <headerFooter alignWithMargins="0">
    <oddFooter>&amp;L&amp;F  &amp;A&amp;R&amp;D  &amp;T</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AQ53"/>
  <sheetViews>
    <sheetView workbookViewId="0"/>
  </sheetViews>
  <sheetFormatPr defaultColWidth="9.109375" defaultRowHeight="13.2"/>
  <cols>
    <col min="1" max="1" width="25.5546875" style="271" customWidth="1"/>
    <col min="2" max="2" width="18.88671875" style="271" customWidth="1"/>
    <col min="3" max="3" width="11.5546875" style="271" customWidth="1"/>
    <col min="4" max="4" width="10.6640625" style="271" customWidth="1"/>
    <col min="5" max="5" width="15.6640625" style="271" customWidth="1"/>
    <col min="6" max="6" width="13.44140625" style="271" customWidth="1"/>
    <col min="7" max="7" width="12.5546875" style="271" customWidth="1"/>
    <col min="8" max="8" width="15" style="271" customWidth="1"/>
    <col min="9" max="9" width="11.5546875" style="271" customWidth="1"/>
    <col min="10" max="10" width="14.6640625" style="271" customWidth="1"/>
    <col min="11" max="11" width="18" style="271" customWidth="1"/>
    <col min="12" max="13" width="11.5546875" style="271" customWidth="1"/>
    <col min="14" max="14" width="10.44140625" style="277" customWidth="1"/>
    <col min="15" max="15" width="9.6640625" style="277" customWidth="1"/>
    <col min="16" max="16" width="12.33203125" style="277" customWidth="1"/>
    <col min="17" max="17" width="13.88671875" style="277" customWidth="1"/>
    <col min="18" max="18" width="15.44140625" style="277" customWidth="1"/>
    <col min="19" max="19" width="15" style="277" customWidth="1"/>
    <col min="20" max="25" width="12" style="277" customWidth="1"/>
    <col min="26" max="16384" width="9.109375" style="277"/>
  </cols>
  <sheetData>
    <row r="1" spans="1:43">
      <c r="A1" s="262" t="s">
        <v>163</v>
      </c>
      <c r="B1" s="263">
        <f>-E4*F7*M7/SQRT(B5)*1.645</f>
        <v>-3565627.4948348901</v>
      </c>
      <c r="C1" s="276"/>
      <c r="D1" s="268"/>
      <c r="E1" s="267"/>
      <c r="F1" s="277"/>
      <c r="Q1" s="262" t="s">
        <v>198</v>
      </c>
      <c r="R1" s="263">
        <f>+R7+R11+R12+R13+R14+R15+R17+R18+R19+R20+R21</f>
        <v>-106218600</v>
      </c>
    </row>
    <row r="2" spans="1:43">
      <c r="A2" s="262" t="s">
        <v>165</v>
      </c>
      <c r="B2" s="263">
        <f>-E5*F7*M7/SQRT(B5)*1.645</f>
        <v>-55585525.761124112</v>
      </c>
      <c r="D2" s="268"/>
      <c r="E2" s="267"/>
      <c r="F2" s="277"/>
      <c r="Q2" s="278"/>
    </row>
    <row r="3" spans="1:43" ht="17.399999999999999">
      <c r="A3" s="279" t="s">
        <v>166</v>
      </c>
      <c r="B3" s="264">
        <f>'JEDI MTM'!A18</f>
        <v>36707</v>
      </c>
      <c r="D3" s="277"/>
      <c r="E3" s="267" t="s">
        <v>167</v>
      </c>
      <c r="F3" s="268" t="s">
        <v>168</v>
      </c>
      <c r="G3" s="269"/>
      <c r="H3" s="269" t="s">
        <v>199</v>
      </c>
      <c r="I3" s="269"/>
      <c r="K3" s="304" t="s">
        <v>207</v>
      </c>
    </row>
    <row r="4" spans="1:43">
      <c r="A4" s="279" t="s">
        <v>169</v>
      </c>
      <c r="B4" s="265">
        <v>5.9400000000000001E-2</v>
      </c>
      <c r="D4" s="277"/>
      <c r="E4" s="270">
        <f>SUMPRODUCT($K$7:$K$21,$N$7:$N$21,$J$7:$J$21)</f>
        <v>1646800</v>
      </c>
      <c r="F4" s="270">
        <f>SUMPRODUCT($O$7:$O$21,$K$7:$K$21,$J$7:$J$21)</f>
        <v>0</v>
      </c>
      <c r="H4" s="272">
        <f>E4*F7</f>
        <v>106218600</v>
      </c>
      <c r="K4" s="280"/>
    </row>
    <row r="5" spans="1:43">
      <c r="A5" s="266" t="s">
        <v>170</v>
      </c>
      <c r="B5" s="266">
        <v>365.25</v>
      </c>
      <c r="D5" s="281" t="s">
        <v>171</v>
      </c>
      <c r="E5" s="270">
        <f>SUMPRODUCT($K$7:$K$21,$N$7:$N$21,$Q$7:$Q$21)</f>
        <v>25672408</v>
      </c>
      <c r="F5" s="270">
        <f>SUMPRODUCT($O$7:$O$21,$K$7:$K$21,$Q$7:$Q$21)</f>
        <v>0</v>
      </c>
      <c r="R5" s="278"/>
      <c r="S5" s="282"/>
    </row>
    <row r="6" spans="1:43" s="286" customFormat="1" ht="40.799999999999997">
      <c r="A6" s="273" t="s">
        <v>172</v>
      </c>
      <c r="B6" s="273" t="s">
        <v>173</v>
      </c>
      <c r="C6" s="273" t="s">
        <v>174</v>
      </c>
      <c r="D6" s="273" t="s">
        <v>175</v>
      </c>
      <c r="E6" s="273" t="s">
        <v>82</v>
      </c>
      <c r="F6" s="273" t="s">
        <v>176</v>
      </c>
      <c r="G6" s="273" t="s">
        <v>177</v>
      </c>
      <c r="H6" s="273" t="s">
        <v>178</v>
      </c>
      <c r="I6" s="273" t="s">
        <v>179</v>
      </c>
      <c r="J6" s="273" t="s">
        <v>180</v>
      </c>
      <c r="K6" s="273" t="s">
        <v>227</v>
      </c>
      <c r="L6" s="273" t="s">
        <v>228</v>
      </c>
      <c r="M6" s="274" t="s">
        <v>86</v>
      </c>
      <c r="N6" s="274" t="s">
        <v>181</v>
      </c>
      <c r="O6" s="274" t="s">
        <v>182</v>
      </c>
      <c r="P6" s="275" t="s">
        <v>183</v>
      </c>
      <c r="Q6" s="283"/>
      <c r="R6" s="275" t="s">
        <v>197</v>
      </c>
      <c r="S6" s="284"/>
      <c r="T6" s="284"/>
      <c r="U6" s="284"/>
      <c r="V6" s="284"/>
      <c r="W6" s="284"/>
      <c r="X6" s="285"/>
      <c r="Y6" s="285"/>
      <c r="Z6" s="285"/>
      <c r="AA6" s="285"/>
      <c r="AB6" s="285"/>
      <c r="AC6" s="285"/>
      <c r="AD6" s="285"/>
      <c r="AE6" s="285"/>
      <c r="AF6" s="285"/>
      <c r="AG6" s="285"/>
      <c r="AH6" s="285"/>
      <c r="AI6" s="285"/>
      <c r="AJ6" s="285"/>
      <c r="AK6" s="285"/>
      <c r="AL6" s="285"/>
      <c r="AM6" s="285"/>
      <c r="AN6" s="285"/>
      <c r="AO6" s="285"/>
      <c r="AP6" s="285"/>
      <c r="AQ6" s="285"/>
    </row>
    <row r="7" spans="1:43">
      <c r="A7" s="287" t="s">
        <v>358</v>
      </c>
      <c r="B7" s="288" t="s">
        <v>0</v>
      </c>
      <c r="C7" s="289"/>
      <c r="D7" s="289"/>
      <c r="E7" s="289"/>
      <c r="F7" s="511">
        <f>+$F$26</f>
        <v>64.5</v>
      </c>
      <c r="G7" s="291">
        <v>1.38E-2</v>
      </c>
      <c r="H7" s="288" t="s">
        <v>185</v>
      </c>
      <c r="I7" s="288" t="s">
        <v>186</v>
      </c>
      <c r="J7" s="288">
        <v>1</v>
      </c>
      <c r="K7" s="280">
        <v>12012804</v>
      </c>
      <c r="L7" s="288">
        <v>71</v>
      </c>
      <c r="M7" s="292">
        <v>0.39</v>
      </c>
      <c r="N7" s="293">
        <v>1</v>
      </c>
      <c r="O7" s="293">
        <v>0</v>
      </c>
      <c r="P7" s="294">
        <f t="shared" ref="P7:P15" si="0">-1.645*ABS(N7)*M7/SQRT($B$5)*F7*$K7</f>
        <v>-26009949.133144613</v>
      </c>
      <c r="Q7" s="277">
        <v>1</v>
      </c>
      <c r="R7" s="294">
        <f>K7*F7*N7</f>
        <v>774825858</v>
      </c>
      <c r="S7" s="295"/>
    </row>
    <row r="8" spans="1:43">
      <c r="A8" s="296" t="s">
        <v>39</v>
      </c>
      <c r="B8" s="288" t="s">
        <v>38</v>
      </c>
      <c r="C8" s="289">
        <v>36564</v>
      </c>
      <c r="D8" s="289">
        <v>36690</v>
      </c>
      <c r="E8" s="289" t="s">
        <v>187</v>
      </c>
      <c r="F8" s="511">
        <f t="shared" ref="F8:F21" si="1">+$F$26</f>
        <v>64.5</v>
      </c>
      <c r="G8" s="291">
        <f>G7</f>
        <v>1.38E-2</v>
      </c>
      <c r="H8" s="288" t="s">
        <v>188</v>
      </c>
      <c r="I8" s="288" t="s">
        <v>186</v>
      </c>
      <c r="J8" s="288">
        <v>0</v>
      </c>
      <c r="K8" s="297">
        <v>1220650</v>
      </c>
      <c r="L8" s="288">
        <v>41.044899999999998</v>
      </c>
      <c r="M8" s="292">
        <f>M7</f>
        <v>0.39</v>
      </c>
      <c r="N8" s="293">
        <f>EXP(-($B$4-G8)*(D8-$B$3)/$B$5)</f>
        <v>1.0021246357769393</v>
      </c>
      <c r="O8" s="293">
        <v>0</v>
      </c>
      <c r="P8" s="294">
        <f t="shared" si="0"/>
        <v>-2648548.9620082667</v>
      </c>
      <c r="Q8" s="277">
        <v>0</v>
      </c>
      <c r="R8" s="294">
        <f>K8*F8*N8</f>
        <v>78899201.664642304</v>
      </c>
      <c r="S8" s="295"/>
    </row>
    <row r="9" spans="1:43" ht="52.8">
      <c r="A9" s="296" t="s">
        <v>39</v>
      </c>
      <c r="B9" s="288" t="s">
        <v>88</v>
      </c>
      <c r="C9" s="289">
        <v>35167</v>
      </c>
      <c r="D9" s="289">
        <v>36993</v>
      </c>
      <c r="E9" s="328" t="s">
        <v>226</v>
      </c>
      <c r="F9" s="511">
        <f t="shared" si="1"/>
        <v>64.5</v>
      </c>
      <c r="G9" s="291">
        <f>G8</f>
        <v>1.38E-2</v>
      </c>
      <c r="H9" s="288" t="s">
        <v>188</v>
      </c>
      <c r="I9" s="288" t="s">
        <v>186</v>
      </c>
      <c r="J9" s="288">
        <v>0</v>
      </c>
      <c r="K9" s="297">
        <f>+(6703300-2888249)*2</f>
        <v>7630102</v>
      </c>
      <c r="L9" s="288">
        <f>78/2</f>
        <v>39</v>
      </c>
      <c r="M9" s="292">
        <v>0.39</v>
      </c>
      <c r="N9" s="293">
        <f>EXP(-($B$4-G9)*(D9-$B$3)/$B$5)</f>
        <v>0.96492398301331128</v>
      </c>
      <c r="O9" s="293">
        <v>0</v>
      </c>
      <c r="P9" s="294">
        <f t="shared" si="0"/>
        <v>-15941109.911315791</v>
      </c>
      <c r="Q9" s="277">
        <v>0</v>
      </c>
      <c r="R9" s="294">
        <f>K9*F9*N9</f>
        <v>474879212.6151402</v>
      </c>
      <c r="S9" s="295"/>
    </row>
    <row r="10" spans="1:43">
      <c r="A10" s="296" t="s">
        <v>189</v>
      </c>
      <c r="B10" s="288" t="s">
        <v>0</v>
      </c>
      <c r="C10" s="289">
        <v>36244</v>
      </c>
      <c r="D10" s="289">
        <v>39425</v>
      </c>
      <c r="E10" s="288" t="s">
        <v>187</v>
      </c>
      <c r="F10" s="511">
        <f t="shared" si="1"/>
        <v>64.5</v>
      </c>
      <c r="G10" s="291">
        <f>G9</f>
        <v>1.38E-2</v>
      </c>
      <c r="H10" s="288">
        <v>1</v>
      </c>
      <c r="I10" s="288" t="s">
        <v>190</v>
      </c>
      <c r="J10" s="288">
        <v>0</v>
      </c>
      <c r="K10" s="297"/>
      <c r="L10" s="288">
        <f>39.1875/2</f>
        <v>19.59375</v>
      </c>
      <c r="M10" s="292">
        <v>0.39</v>
      </c>
      <c r="N10" s="293">
        <f>_xll.EURO($F10,$L10,$B$4,$G10,$M10,$D10-$B$3,$H10,1)</f>
        <v>0.88041031923101609</v>
      </c>
      <c r="O10" s="293">
        <f>_xll.EURO($F10,$L10,$B$4,$G10,$M10,$D10-$B$3,$H10,2)</f>
        <v>7.5238397367304683E-4</v>
      </c>
      <c r="P10" s="294">
        <f t="shared" si="0"/>
        <v>0</v>
      </c>
      <c r="Q10" s="277">
        <v>0</v>
      </c>
      <c r="R10" s="294">
        <f>K10*F10*N10</f>
        <v>0</v>
      </c>
      <c r="S10" s="295"/>
    </row>
    <row r="11" spans="1:43">
      <c r="A11" s="296" t="s">
        <v>357</v>
      </c>
      <c r="B11" s="288"/>
      <c r="C11" s="289">
        <v>36546</v>
      </c>
      <c r="D11" s="289">
        <v>36780</v>
      </c>
      <c r="E11" s="288"/>
      <c r="F11" s="511">
        <f t="shared" si="1"/>
        <v>64.5</v>
      </c>
      <c r="G11" s="291">
        <f>G10</f>
        <v>1.38E-2</v>
      </c>
      <c r="H11" s="288" t="s">
        <v>185</v>
      </c>
      <c r="I11" s="288" t="s">
        <v>186</v>
      </c>
      <c r="J11" s="288">
        <v>-1</v>
      </c>
      <c r="K11" s="280">
        <f>K7</f>
        <v>12012804</v>
      </c>
      <c r="L11" s="288">
        <v>71</v>
      </c>
      <c r="M11" s="292">
        <v>0.39</v>
      </c>
      <c r="N11" s="293">
        <v>1</v>
      </c>
      <c r="O11" s="293">
        <v>0</v>
      </c>
      <c r="P11" s="294">
        <f t="shared" si="0"/>
        <v>-26009949.133144613</v>
      </c>
      <c r="Q11" s="277">
        <v>1</v>
      </c>
      <c r="R11" s="294">
        <f t="shared" ref="R11:R21" si="2">K11*F11*N11*-1</f>
        <v>-774825858</v>
      </c>
      <c r="S11" s="295"/>
    </row>
    <row r="12" spans="1:43">
      <c r="A12" s="287" t="s">
        <v>372</v>
      </c>
      <c r="B12" s="288"/>
      <c r="C12" s="289">
        <f>+'DWR 1304771'!F7</f>
        <v>0</v>
      </c>
      <c r="D12" s="289">
        <f>+'DWR 1304771'!F8</f>
        <v>0</v>
      </c>
      <c r="E12" s="288"/>
      <c r="F12" s="511">
        <f t="shared" si="1"/>
        <v>64.5</v>
      </c>
      <c r="G12" s="291">
        <v>1.38E-2</v>
      </c>
      <c r="H12" s="288" t="s">
        <v>185</v>
      </c>
      <c r="I12" s="288" t="s">
        <v>186</v>
      </c>
      <c r="J12" s="288">
        <v>1</v>
      </c>
      <c r="K12" s="512">
        <v>0</v>
      </c>
      <c r="L12" s="513">
        <v>0</v>
      </c>
      <c r="M12" s="292">
        <f>M9</f>
        <v>0.39</v>
      </c>
      <c r="N12" s="293">
        <v>1</v>
      </c>
      <c r="O12" s="293">
        <v>0</v>
      </c>
      <c r="P12" s="294">
        <f t="shared" si="0"/>
        <v>0</v>
      </c>
      <c r="Q12" s="277">
        <v>1</v>
      </c>
      <c r="R12" s="294">
        <f t="shared" si="2"/>
        <v>0</v>
      </c>
      <c r="S12" s="298"/>
    </row>
    <row r="13" spans="1:43">
      <c r="A13" s="287" t="s">
        <v>462</v>
      </c>
      <c r="B13" s="288"/>
      <c r="C13" s="289">
        <f>+'Bear Stearns 5-24'!D9</f>
        <v>36670</v>
      </c>
      <c r="D13" s="289">
        <f>+'Bear Stearns 5-24'!D10</f>
        <v>36678</v>
      </c>
      <c r="E13" s="288"/>
      <c r="F13" s="511">
        <f t="shared" si="1"/>
        <v>64.5</v>
      </c>
      <c r="G13" s="291">
        <v>1.38E-2</v>
      </c>
      <c r="H13" s="288" t="s">
        <v>185</v>
      </c>
      <c r="I13" s="288" t="s">
        <v>186</v>
      </c>
      <c r="J13" s="288">
        <v>1</v>
      </c>
      <c r="K13" s="512">
        <v>0</v>
      </c>
      <c r="L13" s="513">
        <f>+'Bear Stearns 5-24'!B17</f>
        <v>66.899799999999999</v>
      </c>
      <c r="M13" s="292">
        <f>M9</f>
        <v>0.39</v>
      </c>
      <c r="N13" s="293">
        <v>1</v>
      </c>
      <c r="O13" s="293">
        <v>0</v>
      </c>
      <c r="P13" s="294">
        <f t="shared" si="0"/>
        <v>0</v>
      </c>
      <c r="Q13" s="277">
        <v>1</v>
      </c>
      <c r="R13" s="294">
        <f t="shared" si="2"/>
        <v>0</v>
      </c>
      <c r="S13" s="298"/>
    </row>
    <row r="14" spans="1:43">
      <c r="A14" s="287" t="s">
        <v>373</v>
      </c>
      <c r="B14" s="288"/>
      <c r="C14" s="289">
        <f>+'Credit Suisse 4-5'!D9</f>
        <v>36621</v>
      </c>
      <c r="D14" s="289">
        <f>+'Credit Suisse 4-5'!D10</f>
        <v>36654</v>
      </c>
      <c r="E14" s="288"/>
      <c r="F14" s="511">
        <f t="shared" si="1"/>
        <v>64.5</v>
      </c>
      <c r="G14" s="291">
        <v>1.38E-2</v>
      </c>
      <c r="H14" s="288" t="s">
        <v>185</v>
      </c>
      <c r="I14" s="288" t="s">
        <v>186</v>
      </c>
      <c r="J14" s="288">
        <v>1</v>
      </c>
      <c r="K14" s="512">
        <v>0</v>
      </c>
      <c r="L14" s="513">
        <v>0</v>
      </c>
      <c r="M14" s="292">
        <f>M10</f>
        <v>0.39</v>
      </c>
      <c r="N14" s="293">
        <v>1</v>
      </c>
      <c r="O14" s="293">
        <v>0</v>
      </c>
      <c r="P14" s="294">
        <f t="shared" si="0"/>
        <v>0</v>
      </c>
      <c r="Q14" s="277">
        <v>1</v>
      </c>
      <c r="R14" s="294">
        <f t="shared" si="2"/>
        <v>0</v>
      </c>
      <c r="S14" s="298"/>
    </row>
    <row r="15" spans="1:43">
      <c r="A15" s="287" t="s">
        <v>374</v>
      </c>
      <c r="B15" s="288"/>
      <c r="C15" s="289">
        <f>+'Credit Suisse 4-6'!D9</f>
        <v>36622</v>
      </c>
      <c r="D15" s="289">
        <f>+'Credit Suisse 4-6'!D10</f>
        <v>36654</v>
      </c>
      <c r="E15" s="288"/>
      <c r="F15" s="511">
        <f t="shared" si="1"/>
        <v>64.5</v>
      </c>
      <c r="G15" s="291">
        <v>1.38E-2</v>
      </c>
      <c r="H15" s="288" t="s">
        <v>185</v>
      </c>
      <c r="I15" s="288" t="s">
        <v>186</v>
      </c>
      <c r="J15" s="288">
        <v>1</v>
      </c>
      <c r="K15" s="512">
        <v>0</v>
      </c>
      <c r="L15" s="513">
        <v>0</v>
      </c>
      <c r="M15" s="292">
        <f>M10</f>
        <v>0.39</v>
      </c>
      <c r="N15" s="293">
        <v>1</v>
      </c>
      <c r="O15" s="293">
        <v>0</v>
      </c>
      <c r="P15" s="294">
        <f t="shared" si="0"/>
        <v>0</v>
      </c>
      <c r="Q15" s="277">
        <v>1</v>
      </c>
      <c r="R15" s="294">
        <f t="shared" si="2"/>
        <v>0</v>
      </c>
      <c r="S15" s="298"/>
    </row>
    <row r="16" spans="1:43">
      <c r="A16" s="287" t="s">
        <v>388</v>
      </c>
      <c r="B16" s="288"/>
      <c r="C16" s="289">
        <v>36633</v>
      </c>
      <c r="D16" s="289">
        <v>36997</v>
      </c>
      <c r="E16" s="288"/>
      <c r="F16" s="511">
        <f t="shared" si="1"/>
        <v>64.5</v>
      </c>
      <c r="G16" s="291">
        <v>1.38E-2</v>
      </c>
      <c r="H16" s="288" t="s">
        <v>185</v>
      </c>
      <c r="I16" s="288" t="s">
        <v>186</v>
      </c>
      <c r="J16" s="288">
        <v>1</v>
      </c>
      <c r="K16" s="512">
        <v>0</v>
      </c>
      <c r="L16" s="513">
        <v>0</v>
      </c>
      <c r="M16" s="292">
        <f>M8</f>
        <v>0.39</v>
      </c>
      <c r="N16" s="293">
        <v>1</v>
      </c>
      <c r="O16" s="293">
        <v>0</v>
      </c>
      <c r="P16" s="294">
        <f t="shared" ref="P16:P21" si="3">-1.645*ABS(N16)*M16/SQRT($B$5)*F16*$K16</f>
        <v>0</v>
      </c>
      <c r="Q16" s="277">
        <v>1</v>
      </c>
      <c r="R16" s="294">
        <f>K16*F16*N16*-1</f>
        <v>0</v>
      </c>
      <c r="S16" s="298"/>
      <c r="T16" s="298"/>
      <c r="U16" s="298"/>
    </row>
    <row r="17" spans="1:25">
      <c r="A17" s="287" t="s">
        <v>478</v>
      </c>
      <c r="B17" s="288"/>
      <c r="C17" s="289">
        <v>36704</v>
      </c>
      <c r="D17" s="289">
        <v>37071</v>
      </c>
      <c r="E17" s="288"/>
      <c r="F17" s="511">
        <f t="shared" si="1"/>
        <v>64.5</v>
      </c>
      <c r="G17" s="291">
        <v>1.38E-2</v>
      </c>
      <c r="H17" s="288" t="s">
        <v>185</v>
      </c>
      <c r="I17" s="288" t="s">
        <v>186</v>
      </c>
      <c r="J17" s="288">
        <v>1</v>
      </c>
      <c r="K17" s="512">
        <f>+'CFSB 6-27'!B16</f>
        <v>750000</v>
      </c>
      <c r="L17" s="513">
        <f>+'CFSB 6-27'!B17</f>
        <v>68.474299999999999</v>
      </c>
      <c r="M17" s="292">
        <f>M9</f>
        <v>0.39</v>
      </c>
      <c r="N17" s="293">
        <v>1</v>
      </c>
      <c r="O17" s="293">
        <v>0</v>
      </c>
      <c r="P17" s="294">
        <f t="shared" si="3"/>
        <v>-1623889.1311186347</v>
      </c>
      <c r="Q17" s="277">
        <v>1</v>
      </c>
      <c r="R17" s="294">
        <f>K17*F17*N17*-1</f>
        <v>-48375000</v>
      </c>
      <c r="S17" s="298"/>
      <c r="T17" s="298"/>
      <c r="U17" s="298"/>
    </row>
    <row r="18" spans="1:25">
      <c r="A18" s="287" t="s">
        <v>479</v>
      </c>
      <c r="B18" s="288"/>
      <c r="C18" s="289">
        <v>36705</v>
      </c>
      <c r="D18" s="289">
        <f>+'MLCO 6-28'!D10</f>
        <v>37062</v>
      </c>
      <c r="E18" s="288"/>
      <c r="F18" s="511">
        <f t="shared" si="1"/>
        <v>64.5</v>
      </c>
      <c r="G18" s="291">
        <v>1.38E-2</v>
      </c>
      <c r="H18" s="288" t="s">
        <v>185</v>
      </c>
      <c r="I18" s="288" t="s">
        <v>186</v>
      </c>
      <c r="J18" s="288">
        <v>1</v>
      </c>
      <c r="K18" s="512">
        <f>+'MLCO 6-28'!B16</f>
        <v>110100</v>
      </c>
      <c r="L18" s="513">
        <f>+'MLCO 6-28'!B17</f>
        <v>68.53</v>
      </c>
      <c r="M18" s="292">
        <f>M10</f>
        <v>0.39</v>
      </c>
      <c r="N18" s="293">
        <v>1</v>
      </c>
      <c r="O18" s="293">
        <v>0</v>
      </c>
      <c r="P18" s="294">
        <f t="shared" si="3"/>
        <v>-238386.92444821558</v>
      </c>
      <c r="Q18" s="277">
        <v>1</v>
      </c>
      <c r="R18" s="294">
        <f>K18*F18*N18*-1</f>
        <v>-7101450</v>
      </c>
      <c r="S18" s="298"/>
      <c r="T18" s="298"/>
      <c r="U18" s="298"/>
    </row>
    <row r="19" spans="1:25">
      <c r="A19" s="287" t="s">
        <v>480</v>
      </c>
      <c r="B19" s="288"/>
      <c r="C19" s="289">
        <v>36706</v>
      </c>
      <c r="D19" s="289">
        <f>+'MLCO 6-29'!D9</f>
        <v>36706</v>
      </c>
      <c r="E19" s="288"/>
      <c r="F19" s="511">
        <f t="shared" si="1"/>
        <v>64.5</v>
      </c>
      <c r="G19" s="291">
        <v>1.38E-2</v>
      </c>
      <c r="H19" s="288" t="s">
        <v>185</v>
      </c>
      <c r="I19" s="288" t="s">
        <v>186</v>
      </c>
      <c r="J19" s="288">
        <v>1</v>
      </c>
      <c r="K19" s="512">
        <f>+'MLCO 6-29'!B16</f>
        <v>150000</v>
      </c>
      <c r="L19" s="513">
        <f>+'MLCO 6-29'!B17</f>
        <v>68.53</v>
      </c>
      <c r="M19" s="292">
        <f>M10</f>
        <v>0.39</v>
      </c>
      <c r="N19" s="293">
        <v>1</v>
      </c>
      <c r="O19" s="293">
        <v>0</v>
      </c>
      <c r="P19" s="294">
        <f t="shared" si="3"/>
        <v>-324777.82622372697</v>
      </c>
      <c r="Q19" s="277">
        <v>1</v>
      </c>
      <c r="R19" s="294">
        <f>K19*F19*N19*-1</f>
        <v>-9675000</v>
      </c>
      <c r="S19" s="298"/>
      <c r="T19" s="298"/>
      <c r="U19" s="298"/>
    </row>
    <row r="20" spans="1:25">
      <c r="A20" s="287"/>
      <c r="B20" s="288"/>
      <c r="C20" s="289"/>
      <c r="D20" s="289"/>
      <c r="E20" s="288"/>
      <c r="F20" s="511">
        <f t="shared" si="1"/>
        <v>64.5</v>
      </c>
      <c r="G20" s="291">
        <v>1.38E-2</v>
      </c>
      <c r="H20" s="288" t="s">
        <v>185</v>
      </c>
      <c r="I20" s="288" t="s">
        <v>186</v>
      </c>
      <c r="J20" s="288">
        <v>1</v>
      </c>
      <c r="K20" s="512"/>
      <c r="L20" s="513"/>
      <c r="M20" s="292">
        <v>0.39</v>
      </c>
      <c r="N20" s="293">
        <v>1</v>
      </c>
      <c r="O20" s="293">
        <v>0</v>
      </c>
      <c r="P20" s="294">
        <f t="shared" si="3"/>
        <v>0</v>
      </c>
      <c r="R20" s="294">
        <f>K20*F20*N20*-1</f>
        <v>0</v>
      </c>
      <c r="S20" s="298"/>
      <c r="T20" s="298"/>
      <c r="U20" s="298"/>
    </row>
    <row r="21" spans="1:25">
      <c r="A21" s="287"/>
      <c r="B21" s="288"/>
      <c r="C21" s="289">
        <v>36707</v>
      </c>
      <c r="D21" s="289">
        <f>+'MLCO 6-29 (2)'!D10</f>
        <v>37072</v>
      </c>
      <c r="E21" s="288"/>
      <c r="F21" s="511">
        <f t="shared" si="1"/>
        <v>64.5</v>
      </c>
      <c r="G21" s="291">
        <v>1.38E-2</v>
      </c>
      <c r="H21" s="288" t="s">
        <v>185</v>
      </c>
      <c r="I21" s="288" t="s">
        <v>186</v>
      </c>
      <c r="J21" s="288">
        <v>1</v>
      </c>
      <c r="K21" s="512">
        <f>+'MLCO 6-29 (2)'!B16</f>
        <v>636700</v>
      </c>
      <c r="L21" s="513">
        <f>+'MLCO 6-29 (2)'!B17</f>
        <v>68.365800000000007</v>
      </c>
      <c r="M21" s="292">
        <f>M11</f>
        <v>0.39</v>
      </c>
      <c r="N21" s="293">
        <v>1</v>
      </c>
      <c r="O21" s="293">
        <v>0</v>
      </c>
      <c r="P21" s="294">
        <f t="shared" si="3"/>
        <v>-1378573.6130443129</v>
      </c>
      <c r="Q21" s="277">
        <v>1</v>
      </c>
      <c r="R21" s="294">
        <f t="shared" si="2"/>
        <v>-41067150</v>
      </c>
      <c r="S21" s="298"/>
      <c r="T21" s="298"/>
      <c r="U21" s="298"/>
      <c r="V21" s="298"/>
      <c r="W21" s="298"/>
      <c r="X21" s="298"/>
      <c r="Y21" s="298"/>
    </row>
    <row r="22" spans="1:25">
      <c r="A22" s="299" t="s">
        <v>192</v>
      </c>
      <c r="F22" s="300" t="s">
        <v>193</v>
      </c>
      <c r="G22" s="300" t="s">
        <v>194</v>
      </c>
      <c r="L22" s="300" t="s">
        <v>195</v>
      </c>
      <c r="M22" s="300" t="s">
        <v>196</v>
      </c>
    </row>
    <row r="23" spans="1:25">
      <c r="N23" s="303"/>
    </row>
    <row r="24" spans="1:25">
      <c r="J24" s="301"/>
      <c r="K24" s="301"/>
      <c r="L24" s="301"/>
    </row>
    <row r="25" spans="1:25">
      <c r="J25" s="301"/>
      <c r="K25" s="302"/>
      <c r="L25" s="301"/>
    </row>
    <row r="26" spans="1:25">
      <c r="E26" s="271" t="s">
        <v>176</v>
      </c>
      <c r="F26" s="271">
        <f>LOOKUP(B3,Input!A20:A826,Input!B20:B826)</f>
        <v>64.5</v>
      </c>
      <c r="J26" s="301"/>
      <c r="K26" s="302"/>
      <c r="L26" s="301"/>
    </row>
    <row r="27" spans="1:25">
      <c r="J27" s="301"/>
      <c r="K27" s="302"/>
      <c r="L27" s="301"/>
    </row>
    <row r="28" spans="1:25">
      <c r="J28" s="301"/>
      <c r="K28" s="302"/>
      <c r="L28" s="301"/>
    </row>
    <row r="29" spans="1:25">
      <c r="J29" s="301"/>
      <c r="K29" s="302"/>
      <c r="L29" s="301"/>
    </row>
    <row r="30" spans="1:25">
      <c r="J30" s="301"/>
      <c r="K30" s="301"/>
      <c r="L30" s="301"/>
    </row>
    <row r="31" spans="1:25">
      <c r="J31" s="301"/>
      <c r="K31" s="301"/>
      <c r="L31" s="301"/>
      <c r="Q31" s="278">
        <f>P38+P42-P41</f>
        <v>3306970.75578041</v>
      </c>
    </row>
    <row r="32" spans="1:25">
      <c r="A32" s="262" t="s">
        <v>163</v>
      </c>
      <c r="B32" s="263">
        <f>-E35*F38*M38/SQRT(B36)*1.645</f>
        <v>-8368780.316818798</v>
      </c>
      <c r="C32" s="276" t="s">
        <v>164</v>
      </c>
      <c r="D32" s="268"/>
      <c r="E32" s="267"/>
      <c r="F32" s="277"/>
      <c r="Q32" s="262" t="s">
        <v>198</v>
      </c>
      <c r="R32" s="263">
        <f>R38+R42-R41</f>
        <v>-114130801.13070288</v>
      </c>
    </row>
    <row r="33" spans="1:18">
      <c r="A33" s="262" t="s">
        <v>165</v>
      </c>
      <c r="B33" s="263">
        <f>-E36*F38*M38/SQRT(B36)*1.645</f>
        <v>-8630910.1067013126</v>
      </c>
      <c r="D33" s="268"/>
      <c r="E33" s="267"/>
      <c r="F33" s="277"/>
    </row>
    <row r="34" spans="1:18" ht="17.399999999999999">
      <c r="A34" s="279" t="s">
        <v>166</v>
      </c>
      <c r="B34" s="264">
        <f>B3</f>
        <v>36707</v>
      </c>
      <c r="D34" s="277"/>
      <c r="E34" s="267" t="s">
        <v>167</v>
      </c>
      <c r="F34" s="268" t="s">
        <v>168</v>
      </c>
      <c r="G34" s="269"/>
      <c r="H34" s="269" t="s">
        <v>199</v>
      </c>
      <c r="I34" s="269"/>
      <c r="K34" s="304" t="s">
        <v>208</v>
      </c>
    </row>
    <row r="35" spans="1:18">
      <c r="A35" s="279" t="s">
        <v>169</v>
      </c>
      <c r="B35" s="265">
        <v>5.9400000000000001E-2</v>
      </c>
      <c r="D35" s="277"/>
      <c r="E35" s="270">
        <f>SUMPRODUCT($K$38:$K$43,$N$38:$N$43,$J$38:$J$43)</f>
        <v>3865156.2581063649</v>
      </c>
      <c r="F35" s="270">
        <f>SUMPRODUCT($O$38:$O$43,$K$38:$K$43,$J$38:$J$43)</f>
        <v>24130.472624705057</v>
      </c>
      <c r="H35" s="272">
        <f>E35*F38</f>
        <v>249302578.64786053</v>
      </c>
      <c r="K35" s="280"/>
    </row>
    <row r="36" spans="1:18">
      <c r="A36" s="266" t="s">
        <v>170</v>
      </c>
      <c r="B36" s="266">
        <v>365.25</v>
      </c>
      <c r="D36" s="281" t="s">
        <v>171</v>
      </c>
      <c r="E36" s="270">
        <f>SUMPRODUCT($K$38:$K$43,$N$38:$N$43,$Q$38:$Q$43)</f>
        <v>3986222</v>
      </c>
      <c r="F36" s="270">
        <f>SUMPRODUCT($O$38:$O$43,$K$38:$K$43,$Q$38:$Q$43)</f>
        <v>0</v>
      </c>
    </row>
    <row r="37" spans="1:18" ht="41.4">
      <c r="A37" s="273" t="s">
        <v>172</v>
      </c>
      <c r="B37" s="273" t="s">
        <v>173</v>
      </c>
      <c r="C37" s="273" t="s">
        <v>174</v>
      </c>
      <c r="D37" s="273" t="s">
        <v>175</v>
      </c>
      <c r="E37" s="273" t="s">
        <v>82</v>
      </c>
      <c r="F37" s="273" t="s">
        <v>176</v>
      </c>
      <c r="G37" s="273" t="s">
        <v>177</v>
      </c>
      <c r="H37" s="273" t="s">
        <v>178</v>
      </c>
      <c r="I37" s="273" t="s">
        <v>179</v>
      </c>
      <c r="J37" s="273" t="s">
        <v>180</v>
      </c>
      <c r="K37" s="273" t="s">
        <v>227</v>
      </c>
      <c r="L37" s="273" t="s">
        <v>228</v>
      </c>
      <c r="M37" s="274" t="s">
        <v>86</v>
      </c>
      <c r="N37" s="274" t="s">
        <v>181</v>
      </c>
      <c r="O37" s="274" t="s">
        <v>182</v>
      </c>
      <c r="P37" s="275" t="s">
        <v>183</v>
      </c>
      <c r="Q37" s="283"/>
      <c r="R37" s="275" t="s">
        <v>197</v>
      </c>
    </row>
    <row r="38" spans="1:18">
      <c r="A38" s="287" t="s">
        <v>184</v>
      </c>
      <c r="B38" s="288"/>
      <c r="C38" s="289"/>
      <c r="D38" s="289"/>
      <c r="E38" s="289"/>
      <c r="F38" s="290">
        <f>F7</f>
        <v>64.5</v>
      </c>
      <c r="G38" s="291">
        <v>1.38E-2</v>
      </c>
      <c r="H38" s="288" t="s">
        <v>185</v>
      </c>
      <c r="I38" s="288" t="s">
        <v>186</v>
      </c>
      <c r="J38" s="288">
        <v>1</v>
      </c>
      <c r="K38" s="280">
        <v>3986222</v>
      </c>
      <c r="L38" s="288">
        <f>35.7810767536039/2</f>
        <v>17.890538376801949</v>
      </c>
      <c r="M38" s="292">
        <v>0.39</v>
      </c>
      <c r="N38" s="293">
        <v>1</v>
      </c>
      <c r="O38" s="293">
        <v>0</v>
      </c>
      <c r="P38" s="294">
        <f>-1.645*ABS(N38)*M38/SQRT($B$5)*F38*$K38</f>
        <v>-8630910.1067013144</v>
      </c>
      <c r="Q38" s="277">
        <v>1</v>
      </c>
      <c r="R38" s="294">
        <f>K38*F38*N38</f>
        <v>257111319</v>
      </c>
    </row>
    <row r="39" spans="1:18">
      <c r="A39" s="296" t="s">
        <v>39</v>
      </c>
      <c r="B39" s="288" t="s">
        <v>38</v>
      </c>
      <c r="C39" s="289">
        <v>35775</v>
      </c>
      <c r="D39" s="289">
        <v>36507</v>
      </c>
      <c r="E39" s="289" t="s">
        <v>187</v>
      </c>
      <c r="F39" s="290">
        <f t="shared" ref="F39:G42" si="4">F38</f>
        <v>64.5</v>
      </c>
      <c r="G39" s="291">
        <f t="shared" si="4"/>
        <v>1.38E-2</v>
      </c>
      <c r="H39" s="288" t="s">
        <v>188</v>
      </c>
      <c r="I39" s="288" t="s">
        <v>186</v>
      </c>
      <c r="J39" s="288">
        <v>0</v>
      </c>
      <c r="K39" s="297">
        <f>1099773*2</f>
        <v>2199546</v>
      </c>
      <c r="L39" s="288">
        <f>44.075/2</f>
        <v>22.037500000000001</v>
      </c>
      <c r="M39" s="292">
        <f>M38</f>
        <v>0.39</v>
      </c>
      <c r="N39" s="293">
        <f>EXP(-($B$4-G39)*(D39-$B$3)/$B$5)</f>
        <v>1.0252835404629173</v>
      </c>
      <c r="O39" s="293">
        <v>0</v>
      </c>
      <c r="P39" s="294">
        <f>-1.645*ABS(N39)*M39/SQRT($B$5)*F39*$K39</f>
        <v>-4882836.0920446636</v>
      </c>
      <c r="Q39" s="277">
        <v>0</v>
      </c>
      <c r="R39" s="294">
        <f>K39*F39*N39</f>
        <v>145457711.01377258</v>
      </c>
    </row>
    <row r="40" spans="1:18" ht="52.8">
      <c r="A40" s="296" t="s">
        <v>39</v>
      </c>
      <c r="B40" s="288" t="s">
        <v>88</v>
      </c>
      <c r="C40" s="289">
        <v>35167</v>
      </c>
      <c r="D40" s="289">
        <v>36993</v>
      </c>
      <c r="E40" s="328" t="s">
        <v>226</v>
      </c>
      <c r="F40" s="290">
        <f t="shared" si="4"/>
        <v>64.5</v>
      </c>
      <c r="G40" s="291">
        <f t="shared" si="4"/>
        <v>1.38E-2</v>
      </c>
      <c r="H40" s="288" t="s">
        <v>188</v>
      </c>
      <c r="I40" s="288" t="s">
        <v>186</v>
      </c>
      <c r="J40" s="288">
        <v>0</v>
      </c>
      <c r="K40" s="297">
        <f>+(6703300-2888249)*2</f>
        <v>7630102</v>
      </c>
      <c r="L40" s="288">
        <f>78/2</f>
        <v>39</v>
      </c>
      <c r="M40" s="292">
        <f>M39</f>
        <v>0.39</v>
      </c>
      <c r="N40" s="293">
        <f>EXP(-($B$4-G40)*(D40-$B$3)/$B$5)</f>
        <v>0.96492398301331128</v>
      </c>
      <c r="O40" s="293">
        <v>0</v>
      </c>
      <c r="P40" s="294">
        <f>-1.645*ABS(N40)*M40/SQRT($B$5)*F40*$K40</f>
        <v>-15941109.911315791</v>
      </c>
      <c r="Q40" s="277">
        <v>0</v>
      </c>
      <c r="R40" s="293">
        <f>K40*F40*N40</f>
        <v>474879212.6151402</v>
      </c>
    </row>
    <row r="41" spans="1:18">
      <c r="A41" s="296" t="s">
        <v>189</v>
      </c>
      <c r="B41" s="288" t="s">
        <v>0</v>
      </c>
      <c r="C41" s="289">
        <v>36244</v>
      </c>
      <c r="D41" s="289">
        <v>39425</v>
      </c>
      <c r="E41" s="288" t="s">
        <v>187</v>
      </c>
      <c r="F41" s="290">
        <f t="shared" si="4"/>
        <v>64.5</v>
      </c>
      <c r="G41" s="291">
        <f t="shared" si="4"/>
        <v>1.38E-2</v>
      </c>
      <c r="H41" s="288">
        <v>1</v>
      </c>
      <c r="I41" s="288" t="s">
        <v>190</v>
      </c>
      <c r="J41" s="288">
        <v>0</v>
      </c>
      <c r="K41" s="297">
        <f>3200000*2</f>
        <v>6400000</v>
      </c>
      <c r="L41" s="288">
        <f>39.1875/2</f>
        <v>19.59375</v>
      </c>
      <c r="M41" s="292">
        <f>M40</f>
        <v>0.39</v>
      </c>
      <c r="N41" s="293">
        <f>_xll.EURO($F41,$L41,$B$4,$G41,$M41,$D41-$B$3,$H41,1)</f>
        <v>0.88041031923101609</v>
      </c>
      <c r="O41" s="293">
        <f>_xll.EURO($F41,$L41,$B$4,$G41,$M41,$D41-$B$3,$H41,2)</f>
        <v>7.5238397367304683E-4</v>
      </c>
      <c r="P41" s="294">
        <f>-1.645*ABS(N41)*M41/SQRT($B$5)*F41*$K41</f>
        <v>-12200010.652364241</v>
      </c>
      <c r="Q41" s="277">
        <v>0</v>
      </c>
      <c r="R41" s="293">
        <f>K41*F41*N41</f>
        <v>363433379.77856344</v>
      </c>
    </row>
    <row r="42" spans="1:18">
      <c r="A42" s="296" t="s">
        <v>191</v>
      </c>
      <c r="B42" s="288" t="s">
        <v>0</v>
      </c>
      <c r="C42" s="289">
        <v>36536</v>
      </c>
      <c r="D42" s="289">
        <v>36780</v>
      </c>
      <c r="E42" s="288" t="s">
        <v>187</v>
      </c>
      <c r="F42" s="290">
        <f>F38</f>
        <v>64.5</v>
      </c>
      <c r="G42" s="291">
        <f t="shared" si="4"/>
        <v>1.38E-2</v>
      </c>
      <c r="H42" s="288">
        <v>0</v>
      </c>
      <c r="I42" s="288" t="s">
        <v>308</v>
      </c>
      <c r="J42" s="288">
        <v>1</v>
      </c>
      <c r="K42" s="280">
        <f>K38</f>
        <v>3986222</v>
      </c>
      <c r="L42" s="288">
        <v>47.625</v>
      </c>
      <c r="M42" s="292">
        <f>M41</f>
        <v>0.39</v>
      </c>
      <c r="N42" s="293">
        <f>_xll.AMER(F42,L42,B35,G42,M42,D42-B34,H42,1)</f>
        <v>-3.0371048550139695E-2</v>
      </c>
      <c r="O42" s="293">
        <f>_xll.AMER($F42,$L42,$B$4,$G42,$M42,$D42-$B$3,$H42,2)</f>
        <v>6.0534693312878848E-3</v>
      </c>
      <c r="P42" s="294">
        <f>-1.645*ABS(N42)*M42/SQRT($B$5)*F42*$K42</f>
        <v>-262129.78988251695</v>
      </c>
      <c r="Q42" s="277">
        <v>0</v>
      </c>
      <c r="R42" s="293">
        <f>K42*F42*N42</f>
        <v>-7808740.3521394543</v>
      </c>
    </row>
    <row r="43" spans="1:18">
      <c r="A43" s="287"/>
      <c r="B43" s="288"/>
      <c r="C43" s="289"/>
      <c r="D43" s="289"/>
      <c r="E43" s="288"/>
      <c r="F43" s="290"/>
      <c r="G43" s="291"/>
      <c r="H43" s="288"/>
      <c r="I43" s="288"/>
      <c r="J43" s="288"/>
      <c r="K43" s="297"/>
      <c r="L43" s="288"/>
      <c r="M43" s="292"/>
      <c r="N43" s="293"/>
      <c r="O43" s="293"/>
      <c r="P43" s="294"/>
      <c r="R43" s="294"/>
    </row>
    <row r="44" spans="1:18">
      <c r="A44" s="299" t="s">
        <v>192</v>
      </c>
      <c r="F44" s="300" t="s">
        <v>193</v>
      </c>
      <c r="G44" s="300" t="s">
        <v>194</v>
      </c>
      <c r="L44" s="300" t="s">
        <v>195</v>
      </c>
      <c r="M44" s="300" t="s">
        <v>196</v>
      </c>
    </row>
    <row r="45" spans="1:18">
      <c r="N45" s="303"/>
    </row>
    <row r="46" spans="1:18">
      <c r="J46" s="301"/>
      <c r="K46" s="301"/>
      <c r="L46" s="301"/>
    </row>
    <row r="47" spans="1:18">
      <c r="J47" s="301"/>
      <c r="K47" s="302"/>
      <c r="L47" s="301"/>
    </row>
    <row r="48" spans="1:18">
      <c r="J48" s="301"/>
      <c r="K48" s="302"/>
      <c r="L48" s="301"/>
    </row>
    <row r="49" spans="10:12">
      <c r="J49" s="301"/>
      <c r="K49" s="302"/>
      <c r="L49" s="301"/>
    </row>
    <row r="50" spans="10:12">
      <c r="J50" s="301"/>
      <c r="K50" s="302"/>
      <c r="L50" s="301"/>
    </row>
    <row r="51" spans="10:12">
      <c r="J51" s="301"/>
      <c r="K51" s="302"/>
      <c r="L51" s="301"/>
    </row>
    <row r="52" spans="10:12">
      <c r="J52" s="301"/>
      <c r="K52" s="301"/>
      <c r="L52" s="301"/>
    </row>
    <row r="53" spans="10:12">
      <c r="J53" s="301"/>
      <c r="K53" s="301"/>
      <c r="L53" s="301"/>
    </row>
  </sheetData>
  <pageMargins left="0" right="0" top="0" bottom="0" header="0.5" footer="0.5"/>
  <pageSetup scale="60"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197"/>
  <sheetViews>
    <sheetView zoomScaleNormal="100" workbookViewId="0">
      <selection activeCell="A14" sqref="A14"/>
    </sheetView>
  </sheetViews>
  <sheetFormatPr defaultColWidth="9.109375" defaultRowHeight="15"/>
  <cols>
    <col min="1" max="1" width="9.109375" style="125"/>
    <col min="2" max="2" width="28.88671875" style="2" bestFit="1" customWidth="1"/>
    <col min="3" max="3" width="16.33203125" style="125" bestFit="1" customWidth="1"/>
    <col min="4" max="4" width="16" style="125" customWidth="1"/>
    <col min="5" max="5" width="16.5546875" style="126" customWidth="1"/>
    <col min="6" max="6" width="2.88671875" style="126" customWidth="1"/>
    <col min="7" max="7" width="17.109375" style="126" customWidth="1"/>
    <col min="8" max="8" width="18" style="126" customWidth="1"/>
    <col min="9" max="9" width="16.5546875" style="127" customWidth="1"/>
    <col min="10" max="10" width="16.109375" style="127" customWidth="1"/>
    <col min="11" max="11" width="15.44140625" style="127" bestFit="1" customWidth="1"/>
    <col min="12" max="12" width="4" style="125" customWidth="1"/>
    <col min="13" max="13" width="15.44140625" style="125" bestFit="1" customWidth="1"/>
    <col min="14" max="14" width="5" style="125" customWidth="1"/>
    <col min="15" max="15" width="6.44140625" style="127" customWidth="1"/>
    <col min="16" max="16" width="16.33203125" style="125" customWidth="1"/>
    <col min="17" max="17" width="15.44140625" style="125" bestFit="1" customWidth="1"/>
    <col min="18" max="18" width="9.109375" style="125"/>
    <col min="19" max="19" width="14.5546875" style="125" bestFit="1" customWidth="1"/>
    <col min="20" max="16384" width="9.109375" style="125"/>
  </cols>
  <sheetData>
    <row r="1" spans="1:17" ht="12.75" customHeight="1">
      <c r="A1" s="208"/>
      <c r="B1" s="500" t="s">
        <v>378</v>
      </c>
      <c r="C1" s="521" t="s">
        <v>399</v>
      </c>
      <c r="D1" s="208"/>
      <c r="E1" s="539" t="s">
        <v>440</v>
      </c>
      <c r="F1" s="411"/>
      <c r="G1" s="411"/>
      <c r="H1" s="411"/>
      <c r="I1" s="412"/>
      <c r="J1" s="412"/>
      <c r="K1" s="412"/>
      <c r="L1" s="208"/>
      <c r="M1" s="208"/>
    </row>
    <row r="2" spans="1:17" ht="12.75" customHeight="1">
      <c r="A2" s="208"/>
      <c r="B2" s="501" t="s">
        <v>379</v>
      </c>
      <c r="C2" s="519" t="s">
        <v>400</v>
      </c>
      <c r="D2" s="208"/>
      <c r="E2" s="411"/>
      <c r="F2" s="411"/>
      <c r="G2" s="411"/>
      <c r="H2" s="411"/>
      <c r="I2" s="412"/>
      <c r="J2" s="412"/>
      <c r="K2" s="412"/>
      <c r="L2" s="208"/>
      <c r="M2" s="208"/>
    </row>
    <row r="3" spans="1:17" ht="12.75" customHeight="1">
      <c r="A3" s="208"/>
      <c r="B3" s="501" t="s">
        <v>398</v>
      </c>
      <c r="C3" s="519" t="s">
        <v>401</v>
      </c>
      <c r="D3" s="208"/>
      <c r="E3" s="411"/>
      <c r="F3" s="411"/>
      <c r="G3" s="411"/>
      <c r="H3" s="411"/>
      <c r="I3" s="412"/>
      <c r="J3" s="412"/>
      <c r="K3" s="412"/>
      <c r="L3" s="208"/>
      <c r="M3" s="208"/>
    </row>
    <row r="4" spans="1:17" ht="12.75" customHeight="1">
      <c r="A4" s="208"/>
      <c r="B4" s="501" t="s">
        <v>380</v>
      </c>
      <c r="C4" s="519" t="s">
        <v>402</v>
      </c>
      <c r="D4" s="208"/>
      <c r="E4" s="411"/>
      <c r="F4" s="411"/>
      <c r="G4" s="411"/>
      <c r="H4" s="411"/>
      <c r="I4" s="412"/>
      <c r="J4" s="412"/>
      <c r="K4" s="412"/>
      <c r="L4" s="208"/>
      <c r="M4" s="208"/>
    </row>
    <row r="5" spans="1:17" ht="12.75" customHeight="1" thickBot="1">
      <c r="A5" s="208"/>
      <c r="B5" s="502" t="s">
        <v>381</v>
      </c>
      <c r="C5" s="520"/>
      <c r="D5" s="208"/>
      <c r="E5" s="411"/>
      <c r="F5" s="411"/>
      <c r="G5" s="411"/>
      <c r="H5" s="411"/>
      <c r="I5" s="412"/>
      <c r="J5" s="412"/>
      <c r="K5" s="412"/>
      <c r="L5" s="208"/>
      <c r="M5" s="208"/>
    </row>
    <row r="6" spans="1:17" ht="12.75" customHeight="1">
      <c r="A6" s="208"/>
      <c r="B6" s="410"/>
      <c r="C6" s="208"/>
      <c r="D6" s="413" t="s">
        <v>265</v>
      </c>
      <c r="E6" s="411"/>
      <c r="F6" s="411"/>
      <c r="G6" s="411"/>
      <c r="H6" s="411"/>
      <c r="I6" s="412"/>
      <c r="J6" s="412"/>
      <c r="K6" s="412"/>
      <c r="L6" s="208"/>
      <c r="M6" s="208"/>
    </row>
    <row r="7" spans="1:17" ht="12.75" customHeight="1">
      <c r="A7" s="208"/>
      <c r="B7" s="413" t="s">
        <v>377</v>
      </c>
      <c r="C7" s="200" t="s">
        <v>403</v>
      </c>
      <c r="D7" s="208"/>
      <c r="E7" s="411"/>
      <c r="F7" s="411"/>
      <c r="G7" s="411"/>
      <c r="H7" s="411"/>
      <c r="I7" s="412"/>
      <c r="J7" s="412"/>
      <c r="K7" s="412"/>
      <c r="L7" s="208"/>
      <c r="M7" s="208"/>
    </row>
    <row r="8" spans="1:17" ht="12.75" customHeight="1">
      <c r="A8" s="208"/>
      <c r="B8" s="410" t="s">
        <v>314</v>
      </c>
      <c r="C8" s="208"/>
      <c r="E8" s="411"/>
      <c r="F8" s="411"/>
      <c r="G8" s="411"/>
      <c r="H8" s="411"/>
      <c r="I8" s="412"/>
      <c r="J8" s="412"/>
      <c r="K8" s="412"/>
      <c r="L8" s="208"/>
      <c r="M8" s="208"/>
    </row>
    <row r="9" spans="1:17" ht="12.75" customHeight="1">
      <c r="A9" s="208"/>
      <c r="B9" s="339">
        <f>Input!B16</f>
        <v>36707</v>
      </c>
      <c r="C9" s="208"/>
      <c r="D9" s="208"/>
      <c r="E9" s="411"/>
      <c r="F9" s="411"/>
      <c r="G9" s="411"/>
      <c r="H9" s="411"/>
      <c r="I9" s="412"/>
      <c r="J9" s="412"/>
      <c r="K9" s="412"/>
      <c r="L9" s="208"/>
      <c r="M9" s="208"/>
    </row>
    <row r="10" spans="1:17" ht="12.75" hidden="1" customHeight="1">
      <c r="A10" s="208" t="s">
        <v>275</v>
      </c>
      <c r="B10" s="414">
        <f>+LOOKUP(B$9,Input!A20:A825,Input!B20:B825)</f>
        <v>64.5</v>
      </c>
      <c r="C10" s="208"/>
      <c r="D10" s="208"/>
      <c r="E10" s="411"/>
      <c r="F10" s="411"/>
      <c r="G10" s="411"/>
      <c r="H10" s="411"/>
      <c r="I10" s="412"/>
      <c r="J10" s="412"/>
      <c r="K10" s="412"/>
      <c r="L10" s="208"/>
      <c r="M10" s="208"/>
      <c r="O10" s="125"/>
    </row>
    <row r="11" spans="1:17" ht="12.75" customHeight="1">
      <c r="A11" s="208"/>
      <c r="B11" s="414"/>
      <c r="C11" s="411" t="s">
        <v>77</v>
      </c>
      <c r="D11" s="411"/>
      <c r="E11" s="412"/>
      <c r="F11" s="412"/>
      <c r="G11" s="412"/>
      <c r="H11" s="412"/>
      <c r="I11" s="208"/>
      <c r="J11" s="208"/>
      <c r="K11" s="208"/>
      <c r="L11" s="208"/>
      <c r="M11" s="208"/>
      <c r="O11" s="125"/>
    </row>
    <row r="12" spans="1:17" ht="12.75" customHeight="1">
      <c r="A12" s="208"/>
      <c r="B12" s="410"/>
      <c r="C12" s="415" t="s">
        <v>0</v>
      </c>
      <c r="D12" s="416" t="s">
        <v>260</v>
      </c>
      <c r="E12" s="416" t="s">
        <v>261</v>
      </c>
      <c r="F12" s="416"/>
      <c r="G12" s="416" t="s">
        <v>264</v>
      </c>
      <c r="H12" s="416" t="s">
        <v>263</v>
      </c>
      <c r="I12" s="416" t="s">
        <v>85</v>
      </c>
      <c r="J12" s="416" t="s">
        <v>214</v>
      </c>
      <c r="K12" s="416" t="s">
        <v>11</v>
      </c>
      <c r="L12" s="412"/>
      <c r="M12" s="208"/>
      <c r="O12" s="125"/>
    </row>
    <row r="13" spans="1:17" ht="12.75" customHeight="1">
      <c r="A13" s="208"/>
      <c r="B13" s="208" t="s">
        <v>92</v>
      </c>
      <c r="C13" s="417"/>
      <c r="D13" s="418">
        <f>+'JEDI MTM'!J21</f>
        <v>44.375</v>
      </c>
      <c r="E13" s="419">
        <f>IF(E14=0,0,D14)</f>
        <v>74.875</v>
      </c>
      <c r="F13" s="419"/>
      <c r="G13" s="418">
        <f>+E14</f>
        <v>64.5</v>
      </c>
      <c r="H13" s="418">
        <f>+G14</f>
        <v>0</v>
      </c>
      <c r="I13" s="420"/>
      <c r="J13" s="208"/>
      <c r="K13" s="420"/>
      <c r="L13" s="412"/>
      <c r="M13" s="403"/>
      <c r="O13" s="125"/>
    </row>
    <row r="14" spans="1:17" ht="12.75" customHeight="1">
      <c r="A14" s="208"/>
      <c r="B14" s="208" t="s">
        <v>93</v>
      </c>
      <c r="C14" s="421"/>
      <c r="D14" s="418">
        <f>+'JEDI MTM'!M21</f>
        <v>74.875</v>
      </c>
      <c r="E14" s="419">
        <f>IF($B$9&lt;='JEDI MTM'!M20,0,'JEDI MTM'!N21)</f>
        <v>64.5</v>
      </c>
      <c r="F14" s="419"/>
      <c r="G14" s="419">
        <f>IF($B$9&lt;='JEDI MTM'!N20,0,'JEDI MTM'!O21)</f>
        <v>0</v>
      </c>
      <c r="H14" s="419">
        <f>IF($B$9&lt;='JEDI MTM'!O20,0,'JEDI MTM'!P21)</f>
        <v>0</v>
      </c>
      <c r="I14" s="412"/>
      <c r="J14" s="208"/>
      <c r="K14" s="412"/>
      <c r="L14" s="412"/>
      <c r="M14" s="403"/>
      <c r="O14" s="125"/>
    </row>
    <row r="15" spans="1:17" ht="12.75" customHeight="1">
      <c r="A15" s="200" t="s">
        <v>279</v>
      </c>
      <c r="B15" s="208"/>
      <c r="C15" s="421"/>
      <c r="D15" s="418"/>
      <c r="E15" s="419"/>
      <c r="F15" s="419"/>
      <c r="G15" s="419"/>
      <c r="H15" s="419"/>
      <c r="I15" s="412"/>
      <c r="J15" s="208"/>
      <c r="K15" s="412"/>
      <c r="L15" s="412"/>
      <c r="M15" s="403"/>
      <c r="O15" s="125"/>
      <c r="P15" s="125" t="s">
        <v>85</v>
      </c>
      <c r="Q15" s="125" t="s">
        <v>214</v>
      </c>
    </row>
    <row r="16" spans="1:17" ht="12.75" customHeight="1">
      <c r="A16" s="208"/>
      <c r="B16" s="208" t="s">
        <v>278</v>
      </c>
      <c r="C16" s="326">
        <f>ROUND(+C20*0.6,0)</f>
        <v>7207682</v>
      </c>
      <c r="D16" s="422">
        <f>+'JEDI MTM'!M46+'JEDI MTM'!M52</f>
        <v>196409345.39999998</v>
      </c>
      <c r="E16" s="422">
        <f>+'JEDI MTM'!N46+'JEDI MTM'!N52</f>
        <v>-74779704.899999991</v>
      </c>
      <c r="F16" s="422"/>
      <c r="G16" s="422">
        <f>+'JEDI MTM'!O46+'JEDI MTM'!O52</f>
        <v>0</v>
      </c>
      <c r="H16" s="422">
        <f>+'JEDI MTM'!P46+'JEDI MTM'!P52</f>
        <v>0</v>
      </c>
      <c r="I16" s="403">
        <f>+K16-M16</f>
        <v>-39191773.049999982</v>
      </c>
      <c r="J16" s="403">
        <f>+'JEDI MTM'!Q46+'JEDI MTM'!Q52</f>
        <v>121629640.5</v>
      </c>
      <c r="K16" s="403">
        <f>+'JEDI MTM'!Y46+'JEDI MTM'!Y52</f>
        <v>121629640.5</v>
      </c>
      <c r="L16" s="412"/>
      <c r="M16" s="403">
        <v>160821413.54999998</v>
      </c>
      <c r="O16" s="125"/>
      <c r="P16" s="131">
        <f>+I20+I36+I42</f>
        <v>1204549.0600000098</v>
      </c>
      <c r="Q16" s="131">
        <f>+J16+J25+J32+J38+J40</f>
        <v>97815346.593999997</v>
      </c>
    </row>
    <row r="17" spans="1:17" ht="12.75" customHeight="1">
      <c r="A17" s="208"/>
      <c r="B17" s="208" t="s">
        <v>277</v>
      </c>
      <c r="C17" s="423">
        <f t="shared" ref="C17:K17" si="0">ROUND(C20*0.3612,0)</f>
        <v>4339025</v>
      </c>
      <c r="D17" s="423">
        <f t="shared" si="0"/>
        <v>118238426</v>
      </c>
      <c r="E17" s="423">
        <f t="shared" si="0"/>
        <v>-45017382</v>
      </c>
      <c r="F17" s="423"/>
      <c r="G17" s="423">
        <f t="shared" si="0"/>
        <v>0</v>
      </c>
      <c r="H17" s="423">
        <f t="shared" si="0"/>
        <v>0</v>
      </c>
      <c r="I17" s="423">
        <f t="shared" si="0"/>
        <v>-23593447</v>
      </c>
      <c r="J17" s="423">
        <f t="shared" si="0"/>
        <v>73221044</v>
      </c>
      <c r="K17" s="423">
        <f t="shared" si="0"/>
        <v>73221044</v>
      </c>
      <c r="L17" s="412"/>
      <c r="M17" s="403">
        <v>96814491</v>
      </c>
      <c r="O17" s="125"/>
    </row>
    <row r="18" spans="1:17" ht="12.75" customHeight="1">
      <c r="A18" s="208"/>
      <c r="B18" s="208" t="s">
        <v>280</v>
      </c>
      <c r="C18" s="424">
        <f>SUM(C16:C17)</f>
        <v>11546707</v>
      </c>
      <c r="D18" s="424">
        <f t="shared" ref="D18:K18" si="1">SUM(D16:D17)</f>
        <v>314647771.39999998</v>
      </c>
      <c r="E18" s="424">
        <f t="shared" si="1"/>
        <v>-119797086.89999999</v>
      </c>
      <c r="F18" s="424"/>
      <c r="G18" s="424">
        <f t="shared" si="1"/>
        <v>0</v>
      </c>
      <c r="H18" s="424">
        <f t="shared" si="1"/>
        <v>0</v>
      </c>
      <c r="I18" s="424">
        <f t="shared" si="1"/>
        <v>-62785220.049999982</v>
      </c>
      <c r="J18" s="424">
        <f t="shared" si="1"/>
        <v>194850684.5</v>
      </c>
      <c r="K18" s="424">
        <f t="shared" si="1"/>
        <v>194850684.5</v>
      </c>
      <c r="L18" s="412"/>
      <c r="M18" s="424">
        <v>257635904.54999998</v>
      </c>
      <c r="O18" s="125"/>
    </row>
    <row r="19" spans="1:17" ht="12.75" customHeight="1">
      <c r="A19" s="208"/>
      <c r="B19" s="410" t="s">
        <v>312</v>
      </c>
      <c r="C19" s="326">
        <f>+C20-C18</f>
        <v>466097</v>
      </c>
      <c r="D19" s="326">
        <f t="shared" ref="D19:K19" si="2">+D20-D18</f>
        <v>12701137.600000024</v>
      </c>
      <c r="E19" s="326">
        <f t="shared" si="2"/>
        <v>-4835754.6000000089</v>
      </c>
      <c r="F19" s="326"/>
      <c r="G19" s="326">
        <f t="shared" si="2"/>
        <v>0</v>
      </c>
      <c r="H19" s="326">
        <f t="shared" si="2"/>
        <v>0</v>
      </c>
      <c r="I19" s="326">
        <f t="shared" si="2"/>
        <v>-2534401.7000000179</v>
      </c>
      <c r="J19" s="326">
        <f t="shared" si="2"/>
        <v>7865383</v>
      </c>
      <c r="K19" s="326">
        <f t="shared" si="2"/>
        <v>7865383</v>
      </c>
      <c r="L19" s="412"/>
      <c r="M19" s="403">
        <v>10399784.700000018</v>
      </c>
      <c r="O19" s="125"/>
      <c r="Q19" s="125" t="s">
        <v>213</v>
      </c>
    </row>
    <row r="20" spans="1:17" ht="12.75" customHeight="1">
      <c r="A20" s="208"/>
      <c r="B20" s="208" t="s">
        <v>281</v>
      </c>
      <c r="C20" s="424">
        <f>+'JEDI MTM'!A52</f>
        <v>12012804</v>
      </c>
      <c r="D20" s="425">
        <f>+'JEDI MTM'!M45+'JEDI MTM'!M51</f>
        <v>327348909</v>
      </c>
      <c r="E20" s="425">
        <f>+'JEDI MTM'!N45+'JEDI MTM'!N51</f>
        <v>-124632841.5</v>
      </c>
      <c r="F20" s="425"/>
      <c r="G20" s="425">
        <f>+'JEDI MTM'!O45+'JEDI MTM'!O51</f>
        <v>0</v>
      </c>
      <c r="H20" s="425">
        <f>+'JEDI MTM'!P45+'JEDI MTM'!P51</f>
        <v>0</v>
      </c>
      <c r="I20" s="426">
        <f>+K20-M20</f>
        <v>-65319621.75</v>
      </c>
      <c r="J20" s="426">
        <f>+'JEDI MTM'!Q45+'JEDI MTM'!Q51</f>
        <v>202716067.5</v>
      </c>
      <c r="K20" s="426">
        <f>+'JEDI MTM'!Y45+'JEDI MTM'!Y51</f>
        <v>202716067.5</v>
      </c>
      <c r="L20" s="412"/>
      <c r="M20" s="426">
        <v>268035689.25</v>
      </c>
      <c r="O20" s="125"/>
      <c r="P20" s="131"/>
      <c r="Q20" s="131">
        <f>+E16+E25+E32+E38+E40</f>
        <v>18501600.980000004</v>
      </c>
    </row>
    <row r="21" spans="1:17" ht="12.75" customHeight="1">
      <c r="A21" s="208"/>
      <c r="B21" s="208"/>
      <c r="C21" s="428"/>
      <c r="D21" s="422"/>
      <c r="E21" s="422"/>
      <c r="F21" s="422"/>
      <c r="G21" s="422"/>
      <c r="H21" s="422"/>
      <c r="I21" s="433"/>
      <c r="J21" s="433"/>
      <c r="K21" s="433"/>
      <c r="L21" s="412"/>
      <c r="M21" s="433"/>
      <c r="O21" s="125"/>
      <c r="P21" s="131"/>
      <c r="Q21" s="131"/>
    </row>
    <row r="22" spans="1:17" ht="12.75" customHeight="1">
      <c r="A22" s="200" t="s">
        <v>382</v>
      </c>
      <c r="B22" s="208"/>
      <c r="C22" s="428"/>
      <c r="D22" s="503">
        <f>-126840579+85158000</f>
        <v>-41682579</v>
      </c>
      <c r="E22" s="503">
        <v>0</v>
      </c>
      <c r="F22" s="503"/>
      <c r="G22" s="422"/>
      <c r="H22" s="422"/>
      <c r="I22" s="433"/>
      <c r="J22" s="433">
        <f>SUM(D22:H22)</f>
        <v>-41682579</v>
      </c>
      <c r="K22" s="433">
        <f>+J22</f>
        <v>-41682579</v>
      </c>
      <c r="L22" s="412"/>
      <c r="M22" s="433">
        <v>-41682579</v>
      </c>
      <c r="O22" s="125"/>
      <c r="P22" s="131"/>
      <c r="Q22" s="131"/>
    </row>
    <row r="23" spans="1:17" ht="12.75" customHeight="1">
      <c r="A23" s="208"/>
      <c r="B23" s="208"/>
      <c r="C23" s="427"/>
      <c r="D23" s="422"/>
      <c r="E23" s="422"/>
      <c r="F23" s="422"/>
      <c r="G23" s="422"/>
      <c r="H23" s="422"/>
      <c r="I23" s="403"/>
      <c r="J23" s="403"/>
      <c r="K23" s="403"/>
      <c r="L23" s="412"/>
      <c r="M23" s="403"/>
      <c r="O23" s="125"/>
    </row>
    <row r="24" spans="1:17" ht="12.75" customHeight="1">
      <c r="A24" s="200" t="s">
        <v>282</v>
      </c>
      <c r="B24" s="208"/>
      <c r="C24" s="428"/>
      <c r="D24" s="422"/>
      <c r="E24" s="422"/>
      <c r="F24" s="422"/>
      <c r="G24" s="422"/>
      <c r="H24" s="422"/>
      <c r="I24" s="403"/>
      <c r="J24" s="403"/>
      <c r="K24" s="403"/>
      <c r="L24" s="412"/>
      <c r="M24" s="403"/>
      <c r="O24" s="125"/>
    </row>
    <row r="25" spans="1:17" ht="12.75" customHeight="1">
      <c r="A25" s="208"/>
      <c r="B25" s="208" t="s">
        <v>278</v>
      </c>
      <c r="C25" s="326">
        <f>ROUND(+C29*0.6,0)</f>
        <v>0</v>
      </c>
      <c r="D25" s="422">
        <f>+'JEDI MTM'!M99</f>
        <v>-17226360.936000001</v>
      </c>
      <c r="E25" s="422">
        <f>+'JEDI MTM'!N99</f>
        <v>0</v>
      </c>
      <c r="F25" s="422"/>
      <c r="G25" s="422">
        <f>+'JEDI MTM'!O99</f>
        <v>0</v>
      </c>
      <c r="H25" s="422">
        <f>+'JEDI MTM'!P99</f>
        <v>0</v>
      </c>
      <c r="I25" s="403">
        <f>+K25-M25</f>
        <v>0</v>
      </c>
      <c r="J25" s="403">
        <f>+'JEDI MTM'!Q99</f>
        <v>-17226360.936000001</v>
      </c>
      <c r="K25" s="429">
        <f>+J25</f>
        <v>-17226360.936000001</v>
      </c>
      <c r="L25" s="412"/>
      <c r="M25" s="403">
        <v>-17226360.936000001</v>
      </c>
      <c r="O25" s="125"/>
    </row>
    <row r="26" spans="1:17" ht="12.75" customHeight="1">
      <c r="A26" s="208"/>
      <c r="B26" s="208" t="s">
        <v>277</v>
      </c>
      <c r="C26" s="423">
        <f t="shared" ref="C26:K26" si="3">ROUND(C29*0.3612,0)</f>
        <v>0</v>
      </c>
      <c r="D26" s="423">
        <f t="shared" si="3"/>
        <v>-10370269</v>
      </c>
      <c r="E26" s="423">
        <f t="shared" si="3"/>
        <v>0</v>
      </c>
      <c r="F26" s="423"/>
      <c r="G26" s="423">
        <f t="shared" si="3"/>
        <v>0</v>
      </c>
      <c r="H26" s="423">
        <f t="shared" si="3"/>
        <v>0</v>
      </c>
      <c r="I26" s="423">
        <f t="shared" si="3"/>
        <v>0</v>
      </c>
      <c r="J26" s="423">
        <f t="shared" si="3"/>
        <v>-10370269</v>
      </c>
      <c r="K26" s="423">
        <f t="shared" si="3"/>
        <v>-10370269</v>
      </c>
      <c r="L26" s="412"/>
      <c r="M26" s="403">
        <v>-10370269</v>
      </c>
      <c r="O26" s="125"/>
    </row>
    <row r="27" spans="1:17" ht="12.75" customHeight="1">
      <c r="A27" s="208"/>
      <c r="B27" s="208" t="s">
        <v>280</v>
      </c>
      <c r="C27" s="424">
        <f t="shared" ref="C27:K27" si="4">SUM(C25:C26)</f>
        <v>0</v>
      </c>
      <c r="D27" s="424">
        <f t="shared" si="4"/>
        <v>-27596629.936000001</v>
      </c>
      <c r="E27" s="424">
        <f t="shared" si="4"/>
        <v>0</v>
      </c>
      <c r="F27" s="424"/>
      <c r="G27" s="424">
        <f t="shared" si="4"/>
        <v>0</v>
      </c>
      <c r="H27" s="424">
        <f t="shared" si="4"/>
        <v>0</v>
      </c>
      <c r="I27" s="424">
        <f t="shared" si="4"/>
        <v>0</v>
      </c>
      <c r="J27" s="424">
        <f t="shared" si="4"/>
        <v>-27596629.936000001</v>
      </c>
      <c r="K27" s="424">
        <f t="shared" si="4"/>
        <v>-27596629.936000001</v>
      </c>
      <c r="L27" s="412"/>
      <c r="M27" s="424">
        <v>-27596629.936000001</v>
      </c>
      <c r="O27" s="125"/>
    </row>
    <row r="28" spans="1:17" ht="12.75" customHeight="1">
      <c r="A28" s="208"/>
      <c r="B28" s="410" t="s">
        <v>312</v>
      </c>
      <c r="C28" s="326">
        <f>+C29-C27</f>
        <v>0</v>
      </c>
      <c r="D28" s="326">
        <f t="shared" ref="D28:K28" si="5">+D29-D27</f>
        <v>-1113971.6240000017</v>
      </c>
      <c r="E28" s="326">
        <f t="shared" si="5"/>
        <v>0</v>
      </c>
      <c r="F28" s="326"/>
      <c r="G28" s="326">
        <f t="shared" si="5"/>
        <v>0</v>
      </c>
      <c r="H28" s="326">
        <f t="shared" si="5"/>
        <v>0</v>
      </c>
      <c r="I28" s="326">
        <f t="shared" si="5"/>
        <v>0</v>
      </c>
      <c r="J28" s="326">
        <f t="shared" si="5"/>
        <v>-1113971.6240000017</v>
      </c>
      <c r="K28" s="326">
        <f t="shared" si="5"/>
        <v>-1113971.6240000017</v>
      </c>
      <c r="L28" s="412"/>
      <c r="M28" s="403">
        <v>-1113971.6240000017</v>
      </c>
      <c r="O28" s="125"/>
    </row>
    <row r="29" spans="1:17" ht="12.75" customHeight="1">
      <c r="A29" s="208"/>
      <c r="B29" s="208" t="s">
        <v>281</v>
      </c>
      <c r="C29" s="441">
        <v>0</v>
      </c>
      <c r="D29" s="425">
        <f>+'JEDI MTM'!M98</f>
        <v>-28710601.560000002</v>
      </c>
      <c r="E29" s="425">
        <f>+'JEDI MTM'!N98</f>
        <v>0</v>
      </c>
      <c r="F29" s="425"/>
      <c r="G29" s="425">
        <f>+'JEDI MTM'!O98</f>
        <v>0</v>
      </c>
      <c r="H29" s="425">
        <f>+'JEDI MTM'!P98</f>
        <v>0</v>
      </c>
      <c r="I29" s="426">
        <f>+K29-M29</f>
        <v>0</v>
      </c>
      <c r="J29" s="426">
        <f>+Put</f>
        <v>-28710601.560000002</v>
      </c>
      <c r="K29" s="426">
        <f>+Put</f>
        <v>-28710601.560000002</v>
      </c>
      <c r="L29" s="412"/>
      <c r="M29" s="426">
        <v>-28710601.560000002</v>
      </c>
      <c r="O29" s="125"/>
    </row>
    <row r="30" spans="1:17" ht="12.75" customHeight="1">
      <c r="A30" s="208"/>
      <c r="B30" s="208"/>
      <c r="C30" s="428"/>
      <c r="D30" s="422"/>
      <c r="E30" s="422"/>
      <c r="F30" s="422"/>
      <c r="G30" s="422"/>
      <c r="H30" s="422"/>
      <c r="I30" s="403"/>
      <c r="J30" s="403"/>
      <c r="K30" s="403"/>
      <c r="L30" s="412"/>
      <c r="M30" s="403"/>
      <c r="O30" s="125"/>
    </row>
    <row r="31" spans="1:17" ht="12.75" customHeight="1">
      <c r="A31" s="200" t="s">
        <v>313</v>
      </c>
      <c r="B31" s="208"/>
      <c r="C31" s="428"/>
      <c r="D31" s="422"/>
      <c r="E31" s="422"/>
      <c r="F31" s="422"/>
      <c r="G31" s="422"/>
      <c r="H31" s="422"/>
      <c r="I31" s="403"/>
      <c r="J31" s="403"/>
      <c r="K31" s="403"/>
      <c r="L31" s="412"/>
      <c r="M31" s="403"/>
      <c r="O31" s="125"/>
    </row>
    <row r="32" spans="1:17" ht="12.75" customHeight="1">
      <c r="A32" s="208"/>
      <c r="B32" s="208" t="s">
        <v>278</v>
      </c>
      <c r="C32" s="326">
        <f>ROUND(+C36*0.6,0)</f>
        <v>-7207682</v>
      </c>
      <c r="D32" s="422">
        <f>+'JEDI MTM'!M58</f>
        <v>-100006593.3</v>
      </c>
      <c r="E32" s="422">
        <f>+'JEDI MTM'!N58</f>
        <v>74779704.899999991</v>
      </c>
      <c r="F32" s="423" t="s">
        <v>91</v>
      </c>
      <c r="G32" s="422">
        <f>+'JEDI MTM'!O58</f>
        <v>0</v>
      </c>
      <c r="H32" s="422">
        <f>+'JEDI MTM'!P58</f>
        <v>0</v>
      </c>
      <c r="I32" s="403">
        <f>+K32-M32</f>
        <v>39191773.04999999</v>
      </c>
      <c r="J32" s="403">
        <f>+'JEDI MTM'!Y58</f>
        <v>-25226888.400000006</v>
      </c>
      <c r="K32" s="429">
        <f>+J32</f>
        <v>-25226888.400000006</v>
      </c>
      <c r="L32" s="412"/>
      <c r="M32" s="403">
        <v>-64418661.449999996</v>
      </c>
      <c r="O32" s="125"/>
    </row>
    <row r="33" spans="1:15" ht="12.75" customHeight="1">
      <c r="A33" s="208"/>
      <c r="B33" s="208" t="s">
        <v>277</v>
      </c>
      <c r="C33" s="423">
        <f t="shared" ref="C33:K33" si="6">ROUND(C36*0.3612,0)</f>
        <v>-4339025</v>
      </c>
      <c r="D33" s="423">
        <f t="shared" si="6"/>
        <v>-60203969</v>
      </c>
      <c r="E33" s="423">
        <f t="shared" si="6"/>
        <v>45017382</v>
      </c>
      <c r="F33" s="423"/>
      <c r="G33" s="423">
        <f t="shared" si="6"/>
        <v>0</v>
      </c>
      <c r="H33" s="423">
        <f t="shared" si="6"/>
        <v>0</v>
      </c>
      <c r="I33" s="423">
        <f t="shared" si="6"/>
        <v>23593447</v>
      </c>
      <c r="J33" s="423">
        <f t="shared" si="6"/>
        <v>-15186587</v>
      </c>
      <c r="K33" s="423">
        <f t="shared" si="6"/>
        <v>-15186587</v>
      </c>
      <c r="L33" s="412"/>
      <c r="M33" s="403">
        <v>-38780034</v>
      </c>
      <c r="O33" s="125"/>
    </row>
    <row r="34" spans="1:15" ht="12.75" customHeight="1">
      <c r="A34" s="208"/>
      <c r="B34" s="208" t="s">
        <v>280</v>
      </c>
      <c r="C34" s="424">
        <f t="shared" ref="C34:K34" si="7">SUM(C32:C33)</f>
        <v>-11546707</v>
      </c>
      <c r="D34" s="424">
        <f t="shared" si="7"/>
        <v>-160210562.30000001</v>
      </c>
      <c r="E34" s="424">
        <f t="shared" si="7"/>
        <v>119797086.89999999</v>
      </c>
      <c r="F34" s="424"/>
      <c r="G34" s="424">
        <f t="shared" si="7"/>
        <v>0</v>
      </c>
      <c r="H34" s="424">
        <f t="shared" si="7"/>
        <v>0</v>
      </c>
      <c r="I34" s="424">
        <f t="shared" si="7"/>
        <v>62785220.04999999</v>
      </c>
      <c r="J34" s="424">
        <f t="shared" si="7"/>
        <v>-40413475.400000006</v>
      </c>
      <c r="K34" s="424">
        <f t="shared" si="7"/>
        <v>-40413475.400000006</v>
      </c>
      <c r="L34" s="412"/>
      <c r="M34" s="424">
        <v>-103198695.44999999</v>
      </c>
      <c r="O34" s="125"/>
    </row>
    <row r="35" spans="1:15" ht="12.75" customHeight="1">
      <c r="A35" s="208"/>
      <c r="B35" s="410" t="s">
        <v>312</v>
      </c>
      <c r="C35" s="326">
        <f t="shared" ref="C35:K35" si="8">+C36-C34</f>
        <v>-466097</v>
      </c>
      <c r="D35" s="326">
        <f t="shared" si="8"/>
        <v>-6467093.1999999881</v>
      </c>
      <c r="E35" s="326">
        <f t="shared" si="8"/>
        <v>4835754.6000000089</v>
      </c>
      <c r="F35" s="326"/>
      <c r="G35" s="326">
        <f t="shared" si="8"/>
        <v>0</v>
      </c>
      <c r="H35" s="326">
        <f t="shared" si="8"/>
        <v>0</v>
      </c>
      <c r="I35" s="326">
        <f t="shared" si="8"/>
        <v>2534401.7000000104</v>
      </c>
      <c r="J35" s="326">
        <f t="shared" si="8"/>
        <v>-1631338.599999994</v>
      </c>
      <c r="K35" s="326">
        <f t="shared" si="8"/>
        <v>-1631338.599999994</v>
      </c>
      <c r="L35" s="412"/>
      <c r="M35" s="403">
        <v>-4165740.3000000119</v>
      </c>
      <c r="O35" s="125"/>
    </row>
    <row r="36" spans="1:15" ht="12.75" customHeight="1">
      <c r="A36" s="208"/>
      <c r="B36" s="208" t="s">
        <v>281</v>
      </c>
      <c r="C36" s="424">
        <f>-C20</f>
        <v>-12012804</v>
      </c>
      <c r="D36" s="425">
        <f>+'JEDI MTM'!M57</f>
        <v>-166677655.5</v>
      </c>
      <c r="E36" s="425">
        <f>+'JEDI MTM'!N57</f>
        <v>124632841.5</v>
      </c>
      <c r="F36" s="425"/>
      <c r="G36" s="425">
        <f>+'JEDI MTM'!O57</f>
        <v>0</v>
      </c>
      <c r="H36" s="425">
        <f>+'JEDI MTM'!P57</f>
        <v>0</v>
      </c>
      <c r="I36" s="426">
        <f>+K36-M36</f>
        <v>65319621.75</v>
      </c>
      <c r="J36" s="426">
        <f>+'JEDI MTM'!Y57</f>
        <v>-42044814</v>
      </c>
      <c r="K36" s="426">
        <f>+'JEDI MTM'!Y57</f>
        <v>-42044814</v>
      </c>
      <c r="L36" s="412"/>
      <c r="M36" s="426">
        <v>-107364435.75</v>
      </c>
      <c r="O36" s="125"/>
    </row>
    <row r="37" spans="1:15" ht="12.75" customHeight="1">
      <c r="A37" s="208"/>
      <c r="B37" s="208"/>
      <c r="C37" s="428"/>
      <c r="D37" s="422"/>
      <c r="E37" s="422"/>
      <c r="F37" s="422"/>
      <c r="G37" s="422"/>
      <c r="H37" s="422"/>
      <c r="I37" s="403"/>
      <c r="J37" s="403"/>
      <c r="K37" s="403"/>
      <c r="L37" s="412"/>
      <c r="M37" s="403"/>
      <c r="O37" s="125"/>
    </row>
    <row r="38" spans="1:15" ht="12.75" customHeight="1">
      <c r="A38" s="200" t="s">
        <v>289</v>
      </c>
      <c r="B38" s="208"/>
      <c r="C38" s="326">
        <v>0</v>
      </c>
      <c r="D38" s="422">
        <f>+'DWR 1305741'!E31</f>
        <v>137354.45000000001</v>
      </c>
      <c r="E38" s="422">
        <f>+'DWR 1305741'!F31</f>
        <v>0</v>
      </c>
      <c r="F38" s="422"/>
      <c r="G38" s="422">
        <f>+'DWR 1305741'!G31</f>
        <v>0</v>
      </c>
      <c r="H38" s="422">
        <f>+'DWR 1305741'!H31</f>
        <v>0</v>
      </c>
      <c r="I38" s="403">
        <f>+K38-M38</f>
        <v>0</v>
      </c>
      <c r="J38" s="403">
        <f>+'DWR 1305741'!I31</f>
        <v>137354.45000000001</v>
      </c>
      <c r="K38" s="403">
        <f>+'DWR 1305741'!K31</f>
        <v>137354.45000000001</v>
      </c>
      <c r="L38" s="412"/>
      <c r="M38" s="403">
        <v>137354.45000000001</v>
      </c>
      <c r="O38" s="125"/>
    </row>
    <row r="39" spans="1:15" ht="12.75" customHeight="1">
      <c r="A39" s="200"/>
      <c r="B39" s="208"/>
      <c r="C39" s="326"/>
      <c r="D39" s="422"/>
      <c r="E39" s="422"/>
      <c r="F39" s="422"/>
      <c r="G39" s="422"/>
      <c r="H39" s="422"/>
      <c r="I39" s="403"/>
      <c r="J39" s="403"/>
      <c r="K39" s="403"/>
      <c r="L39" s="412"/>
      <c r="M39" s="403"/>
      <c r="O39" s="125"/>
    </row>
    <row r="40" spans="1:15" ht="12.75" customHeight="1">
      <c r="A40" s="200" t="s">
        <v>371</v>
      </c>
      <c r="B40" s="208"/>
      <c r="C40" s="326">
        <f>+'Bear Stearns 5-24'!B16</f>
        <v>323000</v>
      </c>
      <c r="D40" s="422"/>
      <c r="E40" s="422">
        <f>+'Credit Suisse 4-5'!E39+'Credit Suisse 4-6'!E39+'Credit Suisse 4-17'!E39+'Bear Stearns 5-24'!E39</f>
        <v>18501600.980000004</v>
      </c>
      <c r="F40" s="422"/>
      <c r="G40" s="422">
        <f>+'Credit Suisse 4-5'!I39+'Credit Suisse 4-6'!I39+'Credit Suisse 4-17'!I39+'Bear Stearns 5-24'!I39</f>
        <v>0</v>
      </c>
      <c r="H40" s="422">
        <f>+'Credit Suisse 4-5'!M39+'Credit Suisse 4-6'!M39+'Credit Suisse 4-17'!M39+'Bear Stearns 5-24'!M39</f>
        <v>0</v>
      </c>
      <c r="I40" s="403">
        <f>+K40-M40</f>
        <v>1204549.0600000024</v>
      </c>
      <c r="J40" s="403">
        <f>+'Credit Suisse 4-5'!O39+'Credit Suisse 4-6'!O39+'Credit Suisse 4-17'!O39+'Bear Stearns 5-24'!O39</f>
        <v>18501600.980000004</v>
      </c>
      <c r="K40" s="403">
        <f>+'Credit Suisse 4-5'!AA39+'Credit Suisse 4-6'!AA39+'Credit Suisse 4-17'!AA39+'Bear Stearns 5-24'!AA39</f>
        <v>18501600.980000004</v>
      </c>
      <c r="L40" s="412"/>
      <c r="M40" s="403">
        <v>17297051.920000002</v>
      </c>
      <c r="O40" s="125"/>
    </row>
    <row r="41" spans="1:15" ht="12.75" customHeight="1">
      <c r="A41" s="208"/>
      <c r="B41" s="208"/>
      <c r="C41" s="421"/>
      <c r="D41" s="421"/>
      <c r="E41" s="412"/>
      <c r="F41" s="412"/>
      <c r="G41" s="412"/>
      <c r="H41" s="208"/>
      <c r="I41" s="412"/>
      <c r="J41" s="208"/>
      <c r="K41" s="412"/>
      <c r="L41" s="412"/>
      <c r="M41" s="403"/>
      <c r="O41" s="125"/>
    </row>
    <row r="42" spans="1:15" ht="12.75" customHeight="1" thickBot="1">
      <c r="A42" s="208"/>
      <c r="B42" s="208" t="s">
        <v>280</v>
      </c>
      <c r="C42" s="430">
        <f>+C18+C34+C38+C40</f>
        <v>323000</v>
      </c>
      <c r="D42" s="430">
        <f>+D18+D27+D34+D38+D40</f>
        <v>126977933.61399998</v>
      </c>
      <c r="E42" s="430">
        <f t="shared" ref="E42:K42" si="9">+E18+E27+E34+E38+E40</f>
        <v>18501600.980000004</v>
      </c>
      <c r="F42" s="430"/>
      <c r="G42" s="430">
        <f t="shared" si="9"/>
        <v>0</v>
      </c>
      <c r="H42" s="430">
        <f t="shared" si="9"/>
        <v>0</v>
      </c>
      <c r="I42" s="430">
        <f t="shared" si="9"/>
        <v>1204549.0600000098</v>
      </c>
      <c r="J42" s="430">
        <f t="shared" si="9"/>
        <v>145479534.59400001</v>
      </c>
      <c r="K42" s="430">
        <f t="shared" si="9"/>
        <v>145479534.59400001</v>
      </c>
      <c r="L42" s="412"/>
      <c r="M42" s="430">
        <v>144274985.53400001</v>
      </c>
      <c r="O42" s="125"/>
    </row>
    <row r="43" spans="1:15" ht="12.75" customHeight="1" thickTop="1">
      <c r="A43" s="208"/>
      <c r="B43" s="411"/>
      <c r="C43" s="411"/>
      <c r="D43" s="326"/>
      <c r="E43" s="326"/>
      <c r="F43" s="326"/>
      <c r="G43" s="326"/>
      <c r="H43" s="403"/>
      <c r="I43" s="431"/>
      <c r="J43" s="208"/>
      <c r="K43" s="412"/>
      <c r="L43" s="208"/>
      <c r="M43" s="403"/>
      <c r="O43" s="125"/>
    </row>
    <row r="44" spans="1:15" ht="12.75" customHeight="1">
      <c r="A44" s="208"/>
      <c r="B44" s="208"/>
      <c r="C44" s="428"/>
      <c r="D44" s="428"/>
      <c r="E44" s="428"/>
      <c r="F44" s="428"/>
      <c r="G44" s="428"/>
      <c r="H44" s="428"/>
      <c r="I44" s="428"/>
      <c r="J44" s="428"/>
      <c r="K44" s="428"/>
      <c r="L44" s="412"/>
      <c r="M44" s="428"/>
      <c r="N44" s="130"/>
      <c r="O44" s="129"/>
    </row>
    <row r="45" spans="1:15" ht="12.75" customHeight="1">
      <c r="A45" s="208"/>
      <c r="B45" s="208"/>
      <c r="C45" s="428"/>
      <c r="D45" s="428"/>
      <c r="E45" s="428"/>
      <c r="F45" s="428"/>
      <c r="G45" s="428"/>
      <c r="H45" s="428"/>
      <c r="I45" s="428"/>
      <c r="J45" s="428"/>
      <c r="K45" s="428"/>
      <c r="L45" s="412"/>
      <c r="M45" s="428"/>
      <c r="N45" s="130"/>
      <c r="O45" s="129"/>
    </row>
    <row r="46" spans="1:15" ht="12.75" customHeight="1">
      <c r="A46" s="208"/>
      <c r="B46" s="410"/>
      <c r="C46" s="208"/>
      <c r="D46" s="208"/>
      <c r="E46" s="411"/>
      <c r="F46" s="411"/>
      <c r="G46" s="411"/>
      <c r="H46" s="411"/>
      <c r="I46" s="326"/>
      <c r="J46" s="326"/>
      <c r="K46" s="428"/>
      <c r="L46" s="433"/>
      <c r="M46" s="432"/>
      <c r="N46" s="130"/>
      <c r="O46" s="129"/>
    </row>
    <row r="47" spans="1:15" customFormat="1" ht="12.75" customHeight="1">
      <c r="A47" s="208"/>
      <c r="B47" s="208"/>
      <c r="C47" s="133"/>
      <c r="D47" s="208"/>
      <c r="E47" s="208"/>
      <c r="F47" s="208"/>
      <c r="G47" s="208"/>
      <c r="H47" s="427"/>
      <c r="I47" s="208"/>
      <c r="J47" s="431"/>
      <c r="K47" s="431"/>
      <c r="L47" s="391"/>
      <c r="M47" s="208"/>
    </row>
    <row r="48" spans="1:15" customFormat="1" ht="12.75" customHeight="1">
      <c r="A48" s="208"/>
      <c r="B48" s="208"/>
      <c r="C48" s="133"/>
      <c r="D48" s="208"/>
      <c r="E48" s="208"/>
      <c r="F48" s="208"/>
      <c r="G48" s="208"/>
      <c r="H48" s="126"/>
      <c r="I48" s="434" t="s">
        <v>309</v>
      </c>
      <c r="J48" s="509"/>
      <c r="K48" s="435"/>
      <c r="L48" s="208"/>
      <c r="M48" s="208"/>
    </row>
    <row r="49" spans="1:14" customFormat="1" ht="15.6">
      <c r="A49" s="208"/>
      <c r="B49" s="208"/>
      <c r="C49" s="133"/>
      <c r="D49" s="208"/>
      <c r="E49" s="208"/>
      <c r="F49" s="208"/>
      <c r="G49" s="208"/>
      <c r="H49" s="126"/>
      <c r="I49" s="436" t="s">
        <v>386</v>
      </c>
      <c r="J49" s="132"/>
      <c r="K49" s="392"/>
      <c r="L49" s="208"/>
      <c r="M49" s="208"/>
    </row>
    <row r="50" spans="1:14" customFormat="1">
      <c r="A50" s="208"/>
      <c r="B50" s="208"/>
      <c r="C50" s="208"/>
      <c r="D50" s="208"/>
      <c r="E50" s="208"/>
      <c r="F50" s="208"/>
      <c r="G50" s="208"/>
      <c r="H50" s="126"/>
      <c r="I50" s="437"/>
      <c r="J50" s="128"/>
      <c r="K50" s="438"/>
      <c r="L50" s="208"/>
      <c r="M50" s="208"/>
    </row>
    <row r="51" spans="1:14" customFormat="1">
      <c r="A51" s="208"/>
      <c r="B51" s="208"/>
      <c r="C51" s="208"/>
      <c r="D51" s="208"/>
      <c r="E51" s="208"/>
      <c r="F51" s="208"/>
      <c r="G51" s="208"/>
      <c r="H51" s="126"/>
      <c r="I51" s="508"/>
      <c r="J51" s="509"/>
      <c r="K51" s="435"/>
      <c r="L51" s="208"/>
      <c r="M51" s="208"/>
    </row>
    <row r="52" spans="1:14" customFormat="1">
      <c r="A52" s="208"/>
      <c r="B52" s="208"/>
      <c r="C52" s="208"/>
      <c r="D52" s="208"/>
      <c r="E52" s="208"/>
      <c r="F52" s="208"/>
      <c r="G52" s="208"/>
      <c r="H52" s="126"/>
      <c r="I52" s="506" t="s">
        <v>383</v>
      </c>
      <c r="J52" s="507" t="s">
        <v>384</v>
      </c>
      <c r="K52" s="505">
        <v>10</v>
      </c>
      <c r="L52" s="208"/>
      <c r="M52" s="439"/>
      <c r="N52" s="312"/>
    </row>
    <row r="53" spans="1:14" customFormat="1">
      <c r="A53" s="208"/>
      <c r="B53" s="208"/>
      <c r="C53" s="208"/>
      <c r="D53" s="208"/>
      <c r="E53" s="208"/>
      <c r="F53" s="208"/>
      <c r="G53" s="208"/>
      <c r="H53" s="126"/>
      <c r="I53" s="510"/>
      <c r="J53" s="507" t="s">
        <v>172</v>
      </c>
      <c r="K53" s="538">
        <f>VaR!B1/-1000000</f>
        <v>3.5656274948348901</v>
      </c>
      <c r="L53" s="208"/>
      <c r="M53" s="208"/>
    </row>
    <row r="54" spans="1:14" customFormat="1">
      <c r="A54" s="208"/>
      <c r="B54" s="208"/>
      <c r="C54" s="208"/>
      <c r="D54" s="208"/>
      <c r="E54" s="208"/>
      <c r="F54" s="208"/>
      <c r="G54" s="208"/>
      <c r="H54" s="126"/>
      <c r="I54" s="506" t="s">
        <v>387</v>
      </c>
      <c r="J54" s="132"/>
      <c r="K54" s="505"/>
      <c r="L54" s="208"/>
      <c r="M54" s="208"/>
    </row>
    <row r="55" spans="1:14" customFormat="1">
      <c r="A55" s="208"/>
      <c r="B55" s="208"/>
      <c r="C55" s="208"/>
      <c r="D55" s="208"/>
      <c r="E55" s="208"/>
      <c r="F55" s="208"/>
      <c r="G55" s="208"/>
      <c r="H55" s="126"/>
      <c r="I55" s="504"/>
      <c r="J55" s="507" t="s">
        <v>384</v>
      </c>
      <c r="K55" s="505">
        <v>300</v>
      </c>
      <c r="L55" s="208"/>
      <c r="M55" s="208"/>
    </row>
    <row r="56" spans="1:14" customFormat="1">
      <c r="A56" s="208"/>
      <c r="B56" s="208"/>
      <c r="C56" s="208"/>
      <c r="D56" s="208"/>
      <c r="E56" s="208"/>
      <c r="F56" s="208"/>
      <c r="G56" s="208"/>
      <c r="H56" s="126"/>
      <c r="I56" s="504"/>
      <c r="J56" s="507" t="s">
        <v>385</v>
      </c>
      <c r="K56" s="538">
        <f>VaR!H4/1000000</f>
        <v>106.2186</v>
      </c>
      <c r="L56" s="208"/>
      <c r="M56" s="208"/>
    </row>
    <row r="57" spans="1:14" customFormat="1">
      <c r="A57" s="208"/>
      <c r="B57" s="208"/>
      <c r="C57" s="208"/>
      <c r="D57" s="208"/>
      <c r="E57" s="208"/>
      <c r="F57" s="208"/>
      <c r="G57" s="208"/>
      <c r="H57" s="126"/>
      <c r="I57" s="440"/>
      <c r="J57" s="128"/>
      <c r="K57" s="438"/>
      <c r="L57" s="208"/>
      <c r="M57" s="208"/>
    </row>
    <row r="58" spans="1:14" customFormat="1" ht="13.2">
      <c r="A58" s="208"/>
      <c r="B58" s="208"/>
      <c r="C58" s="208"/>
      <c r="D58" s="208"/>
      <c r="E58" s="208"/>
      <c r="F58" s="208"/>
      <c r="G58" s="208"/>
      <c r="H58" s="208"/>
      <c r="I58" s="208"/>
      <c r="J58" s="208"/>
      <c r="K58" s="208"/>
      <c r="L58" s="208"/>
      <c r="M58" s="208"/>
    </row>
    <row r="59" spans="1:14" customFormat="1">
      <c r="A59" s="208"/>
      <c r="B59" s="2"/>
      <c r="C59" s="208"/>
      <c r="D59" s="208"/>
      <c r="E59" s="411"/>
      <c r="F59" s="411"/>
      <c r="G59" s="411"/>
      <c r="H59" s="411"/>
      <c r="I59" s="412"/>
      <c r="J59" s="412"/>
      <c r="K59" s="412"/>
      <c r="L59" s="208"/>
      <c r="M59" s="208"/>
    </row>
    <row r="60" spans="1:14" customFormat="1">
      <c r="A60" s="208"/>
      <c r="B60" s="2"/>
      <c r="C60" s="208"/>
      <c r="D60" s="200"/>
      <c r="E60" s="411"/>
      <c r="F60" s="411"/>
      <c r="G60" s="411"/>
      <c r="H60" s="411"/>
      <c r="I60" s="412"/>
      <c r="J60" s="412"/>
      <c r="K60" s="412"/>
      <c r="L60" s="208"/>
      <c r="M60" s="208"/>
    </row>
    <row r="61" spans="1:14" customFormat="1" ht="13.2">
      <c r="A61" s="208"/>
      <c r="B61" s="413" t="s">
        <v>376</v>
      </c>
      <c r="C61" s="200" t="str">
        <f>+C7</f>
        <v>REVISED</v>
      </c>
      <c r="D61" s="208"/>
      <c r="E61" s="411"/>
      <c r="F61" s="411"/>
      <c r="G61" s="411"/>
      <c r="H61" s="411"/>
      <c r="I61" s="412"/>
      <c r="J61" s="412"/>
      <c r="K61" s="412"/>
      <c r="L61" s="208"/>
      <c r="M61" s="208"/>
    </row>
    <row r="62" spans="1:14" customFormat="1" ht="13.2">
      <c r="A62" s="208"/>
      <c r="B62" s="410" t="s">
        <v>314</v>
      </c>
      <c r="C62" s="208"/>
      <c r="D62" s="208"/>
      <c r="E62" s="411"/>
      <c r="F62" s="411"/>
      <c r="G62" s="411"/>
      <c r="H62" s="411"/>
      <c r="I62" s="412"/>
      <c r="J62" s="412"/>
      <c r="K62" s="412"/>
      <c r="L62" s="208"/>
      <c r="M62" s="208"/>
    </row>
    <row r="63" spans="1:14" customFormat="1" ht="13.2">
      <c r="A63" s="208"/>
      <c r="B63" s="339">
        <f>+B9</f>
        <v>36707</v>
      </c>
      <c r="C63" s="411" t="s">
        <v>77</v>
      </c>
      <c r="D63" s="411"/>
      <c r="E63" s="412"/>
      <c r="F63" s="412"/>
      <c r="G63" s="412"/>
      <c r="H63" s="412"/>
      <c r="I63" s="208"/>
      <c r="J63" s="208"/>
      <c r="K63" s="208"/>
      <c r="L63" s="208"/>
      <c r="M63" s="439"/>
    </row>
    <row r="64" spans="1:14" customFormat="1" ht="13.2">
      <c r="A64" s="208"/>
      <c r="B64" s="410"/>
      <c r="C64" s="415" t="s">
        <v>0</v>
      </c>
      <c r="D64" s="416" t="s">
        <v>260</v>
      </c>
      <c r="E64" s="416" t="s">
        <v>261</v>
      </c>
      <c r="F64" s="416"/>
      <c r="G64" s="416" t="s">
        <v>264</v>
      </c>
      <c r="H64" s="416" t="s">
        <v>263</v>
      </c>
      <c r="I64" s="416" t="s">
        <v>85</v>
      </c>
      <c r="J64" s="416" t="s">
        <v>214</v>
      </c>
      <c r="K64" s="416" t="s">
        <v>11</v>
      </c>
      <c r="L64" s="208"/>
      <c r="M64" s="208"/>
    </row>
    <row r="65" spans="1:16" customFormat="1" ht="13.2">
      <c r="A65" s="208" t="s">
        <v>375</v>
      </c>
      <c r="B65" s="410"/>
      <c r="C65" s="417"/>
      <c r="D65" s="499">
        <f>+D14</f>
        <v>74.875</v>
      </c>
      <c r="E65" s="499">
        <f>+E14</f>
        <v>64.5</v>
      </c>
      <c r="F65" s="499"/>
      <c r="G65" s="499">
        <f>+G14</f>
        <v>0</v>
      </c>
      <c r="H65" s="499">
        <f>+H14</f>
        <v>0</v>
      </c>
      <c r="I65" s="420"/>
      <c r="J65" s="420"/>
      <c r="K65" s="420"/>
      <c r="L65" s="208"/>
      <c r="M65" s="208"/>
    </row>
    <row r="66" spans="1:16" customFormat="1" ht="13.2">
      <c r="A66" s="208"/>
      <c r="B66" s="208"/>
      <c r="C66" s="208"/>
      <c r="D66" s="208"/>
      <c r="E66" s="208"/>
      <c r="F66" s="208"/>
      <c r="G66" s="208"/>
      <c r="H66" s="208"/>
      <c r="I66" s="208"/>
      <c r="J66" s="208"/>
      <c r="K66" s="208"/>
      <c r="L66" s="208"/>
      <c r="M66" s="208"/>
    </row>
    <row r="67" spans="1:16" customFormat="1" ht="13.2">
      <c r="A67" s="200" t="s">
        <v>30</v>
      </c>
      <c r="B67" s="208"/>
      <c r="C67" s="431">
        <f>+C18+C27+C34</f>
        <v>0</v>
      </c>
      <c r="D67" s="431">
        <f t="shared" ref="D67:K67" si="10">+D18+D27+D34+D22</f>
        <v>85158000.163999975</v>
      </c>
      <c r="E67" s="431">
        <f t="shared" si="10"/>
        <v>0</v>
      </c>
      <c r="F67" s="431"/>
      <c r="G67" s="431">
        <f t="shared" si="10"/>
        <v>0</v>
      </c>
      <c r="H67" s="431">
        <f t="shared" si="10"/>
        <v>0</v>
      </c>
      <c r="I67" s="431">
        <f t="shared" si="10"/>
        <v>7.4505805969238281E-9</v>
      </c>
      <c r="J67" s="431">
        <f t="shared" si="10"/>
        <v>85158000.164000005</v>
      </c>
      <c r="K67" s="431">
        <f t="shared" si="10"/>
        <v>85158000.164000005</v>
      </c>
      <c r="L67" s="208"/>
      <c r="M67" s="208"/>
    </row>
    <row r="68" spans="1:16" customFormat="1" ht="13.2">
      <c r="M68" s="208"/>
    </row>
    <row r="69" spans="1:16" customFormat="1">
      <c r="A69" s="200" t="s">
        <v>289</v>
      </c>
      <c r="B69" s="208"/>
      <c r="C69" s="326">
        <f>+C38</f>
        <v>0</v>
      </c>
      <c r="D69" s="326">
        <f t="shared" ref="D69:K69" si="11">+D38</f>
        <v>137354.45000000001</v>
      </c>
      <c r="E69" s="326">
        <f t="shared" si="11"/>
        <v>0</v>
      </c>
      <c r="F69" s="326"/>
      <c r="G69" s="326">
        <f t="shared" si="11"/>
        <v>0</v>
      </c>
      <c r="H69" s="326">
        <f t="shared" si="11"/>
        <v>0</v>
      </c>
      <c r="I69" s="326">
        <f t="shared" si="11"/>
        <v>0</v>
      </c>
      <c r="J69" s="326">
        <f t="shared" si="11"/>
        <v>137354.45000000001</v>
      </c>
      <c r="K69" s="326">
        <f t="shared" si="11"/>
        <v>137354.45000000001</v>
      </c>
      <c r="L69" s="412"/>
      <c r="M69" s="208"/>
      <c r="N69" s="125"/>
      <c r="O69" s="125"/>
      <c r="P69" s="125"/>
    </row>
    <row r="70" spans="1:16" customFormat="1">
      <c r="A70" s="200"/>
      <c r="B70" s="208"/>
      <c r="C70" s="326"/>
      <c r="D70" s="326"/>
      <c r="E70" s="326"/>
      <c r="F70" s="326"/>
      <c r="G70" s="326"/>
      <c r="H70" s="326"/>
      <c r="I70" s="326"/>
      <c r="J70" s="326"/>
      <c r="K70" s="326"/>
      <c r="L70" s="412"/>
      <c r="M70" s="208"/>
      <c r="N70" s="125"/>
      <c r="O70" s="125"/>
      <c r="P70" s="125"/>
    </row>
    <row r="71" spans="1:16" customFormat="1" ht="11.25" customHeight="1">
      <c r="A71" s="200" t="s">
        <v>371</v>
      </c>
      <c r="B71" s="208"/>
      <c r="C71" s="326">
        <f>+C40</f>
        <v>323000</v>
      </c>
      <c r="D71" s="326">
        <f t="shared" ref="D71:K71" si="12">+D40</f>
        <v>0</v>
      </c>
      <c r="E71" s="326">
        <f t="shared" si="12"/>
        <v>18501600.980000004</v>
      </c>
      <c r="F71" s="326"/>
      <c r="G71" s="326">
        <f t="shared" si="12"/>
        <v>0</v>
      </c>
      <c r="H71" s="326">
        <f t="shared" si="12"/>
        <v>0</v>
      </c>
      <c r="I71" s="326">
        <f t="shared" si="12"/>
        <v>1204549.0600000024</v>
      </c>
      <c r="J71" s="326">
        <f t="shared" si="12"/>
        <v>18501600.980000004</v>
      </c>
      <c r="K71" s="326">
        <f t="shared" si="12"/>
        <v>18501600.980000004</v>
      </c>
      <c r="L71" s="412"/>
      <c r="M71" s="208"/>
      <c r="N71" s="125"/>
      <c r="O71" s="125"/>
      <c r="P71" s="125"/>
    </row>
    <row r="72" spans="1:16" customFormat="1" ht="15" customHeight="1">
      <c r="A72" s="208"/>
      <c r="B72" s="208"/>
      <c r="C72" s="421"/>
      <c r="D72" s="421"/>
      <c r="E72" s="421"/>
      <c r="F72" s="421"/>
      <c r="G72" s="421"/>
      <c r="H72" s="421"/>
      <c r="I72" s="421"/>
      <c r="J72" s="421"/>
      <c r="K72" s="421"/>
      <c r="L72" s="412"/>
      <c r="M72" s="208"/>
      <c r="N72" s="125"/>
      <c r="O72" s="125"/>
      <c r="P72" s="125"/>
    </row>
    <row r="73" spans="1:16" customFormat="1" ht="15.6" thickBot="1">
      <c r="A73" s="208"/>
      <c r="B73" s="208" t="s">
        <v>280</v>
      </c>
      <c r="C73" s="430">
        <f>SUM(C66:C72)</f>
        <v>323000</v>
      </c>
      <c r="D73" s="430">
        <f t="shared" ref="D73:K73" si="13">SUM(D66:D72)</f>
        <v>85295354.613999978</v>
      </c>
      <c r="E73" s="430">
        <f t="shared" si="13"/>
        <v>18501600.980000004</v>
      </c>
      <c r="F73" s="430"/>
      <c r="G73" s="430">
        <f t="shared" si="13"/>
        <v>0</v>
      </c>
      <c r="H73" s="430">
        <f t="shared" si="13"/>
        <v>0</v>
      </c>
      <c r="I73" s="430">
        <f t="shared" si="13"/>
        <v>1204549.0600000098</v>
      </c>
      <c r="J73" s="430">
        <f t="shared" si="13"/>
        <v>103796955.59400001</v>
      </c>
      <c r="K73" s="430">
        <f t="shared" si="13"/>
        <v>103796955.59400001</v>
      </c>
      <c r="L73" s="412"/>
      <c r="M73" s="208"/>
      <c r="N73" s="125"/>
      <c r="O73" s="125"/>
      <c r="P73" s="125"/>
    </row>
    <row r="74" spans="1:16" customFormat="1" ht="15.6" thickTop="1">
      <c r="A74" s="208"/>
      <c r="B74" s="411"/>
      <c r="C74" s="411"/>
      <c r="D74" s="411"/>
      <c r="E74" s="411"/>
      <c r="F74" s="411"/>
      <c r="G74" s="411"/>
      <c r="H74" s="411"/>
      <c r="I74" s="411"/>
      <c r="J74" s="411"/>
      <c r="K74" s="411"/>
      <c r="L74" s="208"/>
      <c r="M74" s="208"/>
      <c r="N74" s="125"/>
      <c r="O74" s="125"/>
      <c r="P74" s="125"/>
    </row>
    <row r="75" spans="1:16" customFormat="1" ht="13.2">
      <c r="A75" s="208"/>
      <c r="M75" s="208"/>
    </row>
    <row r="76" spans="1:16" customFormat="1" ht="13.2">
      <c r="M76" s="208"/>
    </row>
    <row r="77" spans="1:16" customFormat="1" ht="13.2">
      <c r="M77" s="208"/>
    </row>
    <row r="78" spans="1:16" customFormat="1" ht="13.2">
      <c r="M78" s="208"/>
    </row>
    <row r="79" spans="1:16" customFormat="1">
      <c r="I79" s="434" t="s">
        <v>309</v>
      </c>
      <c r="J79" s="509"/>
      <c r="K79" s="435"/>
      <c r="L79" s="125"/>
      <c r="M79" s="208"/>
    </row>
    <row r="80" spans="1:16" customFormat="1">
      <c r="I80" s="436" t="s">
        <v>386</v>
      </c>
      <c r="J80" s="132"/>
      <c r="K80" s="392"/>
      <c r="L80" s="125"/>
    </row>
    <row r="81" spans="9:12" customFormat="1">
      <c r="I81" s="437"/>
      <c r="J81" s="128"/>
      <c r="K81" s="438"/>
      <c r="L81" s="53"/>
    </row>
    <row r="82" spans="9:12" customFormat="1">
      <c r="I82" s="508"/>
      <c r="J82" s="509"/>
      <c r="K82" s="435"/>
    </row>
    <row r="83" spans="9:12" customFormat="1" ht="13.2">
      <c r="I83" s="506" t="s">
        <v>383</v>
      </c>
      <c r="J83" s="507" t="s">
        <v>384</v>
      </c>
      <c r="K83" s="505">
        <f>+K52</f>
        <v>10</v>
      </c>
    </row>
    <row r="84" spans="9:12" customFormat="1">
      <c r="I84" s="510"/>
      <c r="J84" s="507" t="s">
        <v>172</v>
      </c>
      <c r="K84" s="505">
        <f>+K53</f>
        <v>3.5656274948348901</v>
      </c>
    </row>
    <row r="85" spans="9:12" customFormat="1">
      <c r="I85" s="506" t="s">
        <v>387</v>
      </c>
      <c r="J85" s="132"/>
      <c r="K85" s="505"/>
    </row>
    <row r="86" spans="9:12" customFormat="1" ht="13.2">
      <c r="I86" s="504"/>
      <c r="J86" s="507" t="s">
        <v>384</v>
      </c>
      <c r="K86" s="505">
        <f>+K55</f>
        <v>300</v>
      </c>
    </row>
    <row r="87" spans="9:12" customFormat="1" ht="13.2">
      <c r="I87" s="504"/>
      <c r="J87" s="507" t="s">
        <v>385</v>
      </c>
      <c r="K87" s="505">
        <f>+K56</f>
        <v>106.2186</v>
      </c>
    </row>
    <row r="88" spans="9:12" customFormat="1">
      <c r="I88" s="440"/>
      <c r="J88" s="128"/>
      <c r="K88" s="438"/>
    </row>
    <row r="89" spans="9:12" customFormat="1" ht="13.2"/>
    <row r="90" spans="9:12" customFormat="1" ht="13.2"/>
    <row r="91" spans="9:12" customFormat="1" ht="13.2"/>
    <row r="92" spans="9:12" customFormat="1" ht="13.2"/>
    <row r="93" spans="9:12" customFormat="1" ht="13.2"/>
    <row r="94" spans="9:12" customFormat="1" ht="13.2"/>
    <row r="95" spans="9:12" customFormat="1" ht="13.2"/>
    <row r="96" spans="9:12" customFormat="1" ht="13.2"/>
    <row r="97" customFormat="1" ht="13.2"/>
    <row r="98" customFormat="1" ht="13.2"/>
    <row r="99" customFormat="1" ht="13.2"/>
    <row r="100" customFormat="1" ht="13.2"/>
    <row r="101" customFormat="1" ht="13.2"/>
    <row r="102" customFormat="1" ht="13.2"/>
    <row r="103" customFormat="1" ht="13.2"/>
    <row r="104" customFormat="1" ht="13.2"/>
    <row r="105" customFormat="1" ht="13.2"/>
    <row r="106" customFormat="1" ht="13.2"/>
    <row r="107" customFormat="1" ht="13.2"/>
    <row r="108" customFormat="1" ht="13.2"/>
    <row r="109" customFormat="1" ht="13.2"/>
    <row r="110" customFormat="1" ht="13.2"/>
    <row r="111" customFormat="1" ht="13.2"/>
    <row r="112" customFormat="1" ht="13.2"/>
    <row r="113" customFormat="1" ht="13.2"/>
    <row r="114" customFormat="1" ht="13.2"/>
    <row r="115" customFormat="1" ht="13.2"/>
    <row r="116" customFormat="1" ht="13.2"/>
    <row r="117" customFormat="1" ht="13.2"/>
    <row r="118" customFormat="1" ht="13.2"/>
    <row r="119" customFormat="1" ht="13.2"/>
    <row r="120" customFormat="1" ht="13.2"/>
    <row r="121" customFormat="1" ht="13.2"/>
    <row r="122" customFormat="1" ht="13.2"/>
    <row r="123" customFormat="1" ht="13.2"/>
    <row r="124" customFormat="1" ht="13.2"/>
    <row r="125" customFormat="1" ht="13.2"/>
    <row r="126" customFormat="1" ht="13.2"/>
    <row r="127" customFormat="1" ht="13.2"/>
    <row r="128" customFormat="1" ht="13.2"/>
    <row r="129" customFormat="1" ht="13.2"/>
    <row r="130" customFormat="1" ht="13.2"/>
    <row r="131" customFormat="1" ht="13.2"/>
    <row r="132" customFormat="1" ht="13.2"/>
    <row r="133" customFormat="1" ht="13.2"/>
    <row r="134" customFormat="1" ht="13.2"/>
    <row r="135" customFormat="1" ht="13.2"/>
    <row r="136" customFormat="1" ht="13.2"/>
    <row r="137" customFormat="1" ht="13.2"/>
    <row r="138" customFormat="1" ht="13.2"/>
    <row r="139" customFormat="1" ht="13.2"/>
    <row r="140" customFormat="1" ht="13.2"/>
    <row r="141" customFormat="1" ht="13.2"/>
    <row r="142" customFormat="1" ht="13.2"/>
    <row r="143" customFormat="1" ht="13.2"/>
    <row r="144" customFormat="1" ht="13.2"/>
    <row r="145" customFormat="1" ht="13.2"/>
    <row r="146" customFormat="1" ht="13.2"/>
    <row r="147" customFormat="1" ht="13.2"/>
    <row r="148" customFormat="1" ht="13.2"/>
    <row r="149" customFormat="1" ht="13.2"/>
    <row r="150" customFormat="1" ht="13.2"/>
    <row r="151" customFormat="1" ht="13.2"/>
    <row r="152" customFormat="1" ht="13.2"/>
    <row r="153" customFormat="1" ht="13.2"/>
    <row r="154" customFormat="1" ht="13.2"/>
    <row r="155" customFormat="1" ht="13.2"/>
    <row r="156" customFormat="1" ht="13.2"/>
    <row r="157" customFormat="1" ht="13.2"/>
    <row r="158" customFormat="1" ht="13.2"/>
    <row r="159" customFormat="1" ht="13.2"/>
    <row r="160" customFormat="1" ht="13.2"/>
    <row r="161" customFormat="1" ht="13.2"/>
    <row r="162" customFormat="1" ht="13.2"/>
    <row r="163" customFormat="1" ht="13.2"/>
    <row r="164" customFormat="1" ht="13.2"/>
    <row r="165" customFormat="1" ht="13.2"/>
    <row r="166" customFormat="1" ht="13.2"/>
    <row r="167" customFormat="1" ht="13.2"/>
    <row r="168" customFormat="1" ht="13.2"/>
    <row r="169" customFormat="1" ht="13.2"/>
    <row r="170" customFormat="1" ht="13.2"/>
    <row r="171" customFormat="1" ht="13.2"/>
    <row r="172" customFormat="1" ht="13.2"/>
    <row r="173" customFormat="1" ht="13.2"/>
    <row r="174" customFormat="1" ht="13.2"/>
    <row r="175" customFormat="1" ht="13.2"/>
    <row r="176" customFormat="1" ht="13.2"/>
    <row r="177" customFormat="1" ht="13.2"/>
    <row r="178" customFormat="1" ht="13.2"/>
    <row r="179" customFormat="1" ht="13.2"/>
    <row r="180" customFormat="1" ht="13.2"/>
    <row r="181" customFormat="1" ht="13.2"/>
    <row r="182" customFormat="1" ht="13.2"/>
    <row r="183" customFormat="1" ht="13.2"/>
    <row r="184" customFormat="1" ht="13.2"/>
    <row r="185" customFormat="1" ht="13.2"/>
    <row r="186" customFormat="1" ht="13.2"/>
    <row r="187" customFormat="1" ht="13.2"/>
    <row r="188" customFormat="1" ht="13.2"/>
    <row r="189" customFormat="1" ht="13.2"/>
    <row r="190" customFormat="1" ht="13.2"/>
    <row r="191" customFormat="1" ht="13.2"/>
    <row r="192" customFormat="1" ht="13.2"/>
    <row r="193" customFormat="1" ht="13.2"/>
    <row r="194" customFormat="1" ht="13.2"/>
    <row r="195" customFormat="1" ht="13.2"/>
    <row r="196" customFormat="1" ht="13.2"/>
    <row r="197" customFormat="1" ht="13.2"/>
  </sheetData>
  <printOptions horizontalCentered="1"/>
  <pageMargins left="0.2" right="0.75" top="0.22" bottom="0.56999999999999995" header="0.18" footer="0.5"/>
  <pageSetup scale="75" fitToHeight="2" orientation="landscape" horizontalDpi="0" r:id="rId1"/>
  <headerFooter alignWithMargins="0"/>
  <rowBreaks count="1" manualBreakCount="1">
    <brk id="60" max="10"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E884"/>
  <sheetViews>
    <sheetView topLeftCell="A184" workbookViewId="0">
      <selection activeCell="B185" sqref="B185"/>
    </sheetView>
  </sheetViews>
  <sheetFormatPr defaultRowHeight="13.2"/>
  <cols>
    <col min="1" max="1" width="12.33203125" customWidth="1"/>
    <col min="2" max="2" width="12.109375" customWidth="1"/>
    <col min="3" max="3" width="13.109375" customWidth="1"/>
    <col min="4" max="4" width="14.33203125" customWidth="1"/>
    <col min="5" max="6" width="12.6640625" customWidth="1"/>
    <col min="7" max="7" width="14" customWidth="1"/>
    <col min="8" max="8" width="13.5546875" bestFit="1" customWidth="1"/>
    <col min="9" max="9" width="13.5546875" customWidth="1"/>
    <col min="10" max="11" width="12.6640625" customWidth="1"/>
    <col min="12" max="12" width="12.33203125" customWidth="1"/>
    <col min="13" max="13" width="1.5546875" customWidth="1"/>
    <col min="14" max="21" width="12.6640625" customWidth="1"/>
    <col min="22" max="22" width="12.33203125" customWidth="1"/>
    <col min="23" max="23" width="1.5546875" customWidth="1"/>
    <col min="31" max="31" width="12.33203125" bestFit="1" customWidth="1"/>
  </cols>
  <sheetData>
    <row r="1" spans="1:26">
      <c r="C1" t="s">
        <v>464</v>
      </c>
    </row>
    <row r="2" spans="1:26">
      <c r="A2" s="200" t="s">
        <v>266</v>
      </c>
      <c r="J2" s="200" t="s">
        <v>293</v>
      </c>
      <c r="Z2" s="200"/>
    </row>
    <row r="3" spans="1:26">
      <c r="A3" s="200" t="s">
        <v>290</v>
      </c>
      <c r="D3" s="200" t="s">
        <v>456</v>
      </c>
      <c r="J3" s="200" t="s">
        <v>294</v>
      </c>
      <c r="Z3" s="200"/>
    </row>
    <row r="4" spans="1:26">
      <c r="A4" t="s">
        <v>85</v>
      </c>
      <c r="D4" s="200" t="s">
        <v>457</v>
      </c>
      <c r="J4" t="s">
        <v>89</v>
      </c>
      <c r="K4" t="s">
        <v>307</v>
      </c>
      <c r="Z4" s="200"/>
    </row>
    <row r="5" spans="1:26">
      <c r="A5" t="s">
        <v>268</v>
      </c>
      <c r="D5" s="200" t="s">
        <v>292</v>
      </c>
      <c r="J5" t="s">
        <v>87</v>
      </c>
      <c r="K5" s="408">
        <v>47.625</v>
      </c>
      <c r="Z5" s="200"/>
    </row>
    <row r="6" spans="1:26">
      <c r="A6" t="s">
        <v>267</v>
      </c>
      <c r="D6" t="s">
        <v>380</v>
      </c>
      <c r="E6" t="s">
        <v>469</v>
      </c>
      <c r="J6" t="s">
        <v>295</v>
      </c>
      <c r="K6" s="407">
        <v>6.5699999999999995E-2</v>
      </c>
      <c r="Z6" s="200"/>
    </row>
    <row r="7" spans="1:26">
      <c r="A7" t="s">
        <v>269</v>
      </c>
      <c r="D7" t="s">
        <v>398</v>
      </c>
      <c r="J7" t="s">
        <v>296</v>
      </c>
      <c r="K7" t="s">
        <v>306</v>
      </c>
      <c r="Z7" s="200"/>
    </row>
    <row r="8" spans="1:26">
      <c r="A8" t="s">
        <v>270</v>
      </c>
      <c r="D8" t="s">
        <v>381</v>
      </c>
      <c r="J8" t="s">
        <v>297</v>
      </c>
      <c r="K8" t="s">
        <v>305</v>
      </c>
      <c r="Z8" s="200"/>
    </row>
    <row r="9" spans="1:26">
      <c r="A9" t="s">
        <v>455</v>
      </c>
      <c r="D9" s="200" t="s">
        <v>461</v>
      </c>
      <c r="J9" t="s">
        <v>298</v>
      </c>
      <c r="K9" t="s">
        <v>191</v>
      </c>
      <c r="Z9" s="200"/>
    </row>
    <row r="10" spans="1:26">
      <c r="A10" t="s">
        <v>271</v>
      </c>
      <c r="D10" t="s">
        <v>458</v>
      </c>
      <c r="J10" t="s">
        <v>299</v>
      </c>
      <c r="K10" t="s">
        <v>304</v>
      </c>
      <c r="Z10" s="200"/>
    </row>
    <row r="11" spans="1:26">
      <c r="A11" t="s">
        <v>291</v>
      </c>
      <c r="J11" t="s">
        <v>300</v>
      </c>
      <c r="K11" s="57">
        <v>36780</v>
      </c>
      <c r="Z11" s="200"/>
    </row>
    <row r="12" spans="1:26">
      <c r="D12" t="s">
        <v>459</v>
      </c>
      <c r="J12" t="s">
        <v>301</v>
      </c>
      <c r="K12" t="s">
        <v>303</v>
      </c>
      <c r="Z12" s="200"/>
    </row>
    <row r="13" spans="1:26">
      <c r="D13" t="s">
        <v>460</v>
      </c>
      <c r="J13" t="s">
        <v>302</v>
      </c>
      <c r="K13" s="314">
        <v>0.39</v>
      </c>
    </row>
    <row r="14" spans="1:26">
      <c r="D14" s="391" t="s">
        <v>400</v>
      </c>
    </row>
    <row r="15" spans="1:26">
      <c r="D15" s="391" t="s">
        <v>465</v>
      </c>
    </row>
    <row r="16" spans="1:26">
      <c r="A16" t="s">
        <v>262</v>
      </c>
      <c r="B16" s="141">
        <v>36707</v>
      </c>
      <c r="D16" s="391"/>
    </row>
    <row r="18" spans="1:31">
      <c r="B18" s="3" t="s">
        <v>275</v>
      </c>
      <c r="C18" s="3" t="s">
        <v>191</v>
      </c>
    </row>
    <row r="19" spans="1:31">
      <c r="A19" s="5" t="s">
        <v>22</v>
      </c>
      <c r="B19" s="5" t="s">
        <v>89</v>
      </c>
      <c r="C19" s="5" t="s">
        <v>89</v>
      </c>
    </row>
    <row r="20" spans="1:31">
      <c r="A20" s="57">
        <v>36524</v>
      </c>
      <c r="B20" s="387"/>
      <c r="C20" s="395"/>
      <c r="AE20" s="389">
        <v>96248897</v>
      </c>
    </row>
    <row r="21" spans="1:31" hidden="1">
      <c r="A21" s="57">
        <v>36525</v>
      </c>
      <c r="B21" s="387">
        <v>44.375</v>
      </c>
      <c r="C21" s="395"/>
      <c r="D21" s="389"/>
      <c r="E21" s="389"/>
      <c r="F21" s="389"/>
      <c r="G21" s="389"/>
      <c r="H21" s="389"/>
      <c r="I21" s="389"/>
      <c r="J21" s="389"/>
      <c r="K21" s="389"/>
      <c r="L21" s="389"/>
      <c r="M21" s="403"/>
      <c r="N21" s="403"/>
      <c r="O21" s="403"/>
      <c r="P21" s="403"/>
      <c r="Q21" s="403"/>
      <c r="R21" s="403"/>
      <c r="S21" s="403"/>
      <c r="T21" s="403"/>
      <c r="U21" s="403"/>
      <c r="V21" s="403"/>
      <c r="W21" s="403"/>
      <c r="AE21" s="389">
        <v>96248897</v>
      </c>
    </row>
    <row r="22" spans="1:31" hidden="1">
      <c r="A22" s="57">
        <v>36528</v>
      </c>
      <c r="B22" s="387">
        <v>43.4375</v>
      </c>
      <c r="C22" s="395"/>
      <c r="D22" s="389"/>
      <c r="E22" s="389"/>
      <c r="F22" s="389"/>
      <c r="G22" s="389"/>
      <c r="H22" s="389"/>
      <c r="I22" s="389"/>
      <c r="J22" s="389"/>
      <c r="K22" s="389"/>
      <c r="L22" s="389"/>
      <c r="M22" s="403"/>
      <c r="N22" s="403"/>
      <c r="O22" s="403"/>
      <c r="P22" s="403"/>
      <c r="Q22" s="403"/>
      <c r="R22" s="403"/>
      <c r="S22" s="403"/>
      <c r="T22" s="403"/>
      <c r="U22" s="403"/>
      <c r="V22" s="403"/>
      <c r="W22" s="403"/>
      <c r="AE22" s="389">
        <v>98042808.851676807</v>
      </c>
    </row>
    <row r="23" spans="1:31" hidden="1">
      <c r="A23" s="57">
        <v>36529</v>
      </c>
      <c r="B23" s="387">
        <v>42.5</v>
      </c>
      <c r="C23" s="395"/>
      <c r="D23" s="389"/>
      <c r="E23" s="389"/>
      <c r="F23" s="389"/>
      <c r="G23" s="389"/>
      <c r="H23" s="389"/>
      <c r="I23" s="389"/>
      <c r="J23" s="389"/>
      <c r="K23" s="389"/>
      <c r="L23" s="389"/>
      <c r="M23" s="403"/>
      <c r="N23" s="403"/>
      <c r="O23" s="403"/>
      <c r="P23" s="403"/>
      <c r="Q23" s="403"/>
      <c r="R23" s="403"/>
      <c r="S23" s="403"/>
      <c r="T23" s="403"/>
      <c r="U23" s="403"/>
      <c r="V23" s="403"/>
      <c r="W23" s="403"/>
      <c r="AE23" s="389">
        <v>97778336.471676812</v>
      </c>
    </row>
    <row r="24" spans="1:31" hidden="1">
      <c r="A24" s="57">
        <v>36530</v>
      </c>
      <c r="B24" s="387">
        <v>44</v>
      </c>
      <c r="C24" s="395"/>
      <c r="D24" s="139"/>
      <c r="E24" s="139"/>
      <c r="F24" s="389"/>
      <c r="G24" s="389"/>
      <c r="H24" s="389"/>
      <c r="I24" s="389"/>
      <c r="J24" s="389"/>
      <c r="K24" s="389"/>
      <c r="L24" s="389"/>
      <c r="M24" s="403"/>
      <c r="N24" s="403"/>
      <c r="O24" s="403"/>
      <c r="P24" s="403"/>
      <c r="Q24" s="403"/>
      <c r="R24" s="403"/>
      <c r="S24" s="403"/>
      <c r="T24" s="403"/>
      <c r="U24" s="403"/>
      <c r="V24" s="403"/>
      <c r="W24" s="403"/>
      <c r="AE24" s="139">
        <v>98196364</v>
      </c>
    </row>
    <row r="25" spans="1:31" hidden="1">
      <c r="A25" s="57">
        <v>36531</v>
      </c>
      <c r="B25" s="387">
        <v>47.9375</v>
      </c>
      <c r="C25" s="395"/>
      <c r="D25" s="139"/>
      <c r="E25" s="139"/>
      <c r="F25" s="389"/>
      <c r="G25" s="389"/>
      <c r="H25" s="389"/>
      <c r="I25" s="389"/>
      <c r="J25" s="389"/>
      <c r="K25" s="389"/>
      <c r="L25" s="389"/>
      <c r="M25" s="403"/>
      <c r="N25" s="403"/>
      <c r="O25" s="403"/>
      <c r="P25" s="403"/>
      <c r="Q25" s="403"/>
      <c r="R25" s="403"/>
      <c r="S25" s="403"/>
      <c r="T25" s="403"/>
      <c r="U25" s="403"/>
      <c r="V25" s="403"/>
      <c r="W25" s="403"/>
      <c r="AE25" s="139">
        <v>99296891.731676817</v>
      </c>
    </row>
    <row r="26" spans="1:31" hidden="1">
      <c r="A26" s="57">
        <v>36532</v>
      </c>
      <c r="B26" s="387">
        <v>49.0625</v>
      </c>
      <c r="C26" s="395"/>
      <c r="D26" s="139"/>
      <c r="E26" s="139"/>
      <c r="F26" s="389"/>
      <c r="G26" s="389"/>
      <c r="H26" s="389"/>
      <c r="I26" s="389"/>
      <c r="J26" s="389"/>
      <c r="K26" s="389"/>
      <c r="L26" s="389"/>
      <c r="M26" s="403"/>
      <c r="N26" s="403"/>
      <c r="O26" s="403"/>
      <c r="P26" s="403"/>
      <c r="Q26" s="403"/>
      <c r="R26" s="403"/>
      <c r="S26" s="403"/>
      <c r="T26" s="403"/>
      <c r="U26" s="403"/>
      <c r="V26" s="403"/>
      <c r="W26" s="403"/>
      <c r="AE26" s="139">
        <v>99609919</v>
      </c>
    </row>
    <row r="27" spans="1:31" hidden="1">
      <c r="A27" s="57">
        <v>36535</v>
      </c>
      <c r="B27" s="387">
        <v>47.3125</v>
      </c>
      <c r="C27" s="395"/>
      <c r="D27" s="139"/>
      <c r="E27" s="139"/>
      <c r="F27" s="389"/>
      <c r="G27" s="389"/>
      <c r="H27" s="389"/>
      <c r="I27" s="389"/>
      <c r="J27" s="389"/>
      <c r="K27" s="389"/>
      <c r="L27" s="389"/>
      <c r="M27" s="403"/>
      <c r="N27" s="403"/>
      <c r="O27" s="403"/>
      <c r="P27" s="403"/>
      <c r="Q27" s="403"/>
      <c r="R27" s="403"/>
      <c r="S27" s="403"/>
      <c r="T27" s="403"/>
      <c r="U27" s="403"/>
      <c r="V27" s="403"/>
      <c r="W27" s="403"/>
      <c r="AE27" s="139">
        <v>99114002.231676817</v>
      </c>
    </row>
    <row r="28" spans="1:31" hidden="1">
      <c r="A28" s="57">
        <v>36536</v>
      </c>
      <c r="B28" s="387">
        <v>47.625</v>
      </c>
      <c r="C28" s="395">
        <v>5.26</v>
      </c>
      <c r="D28" s="139"/>
      <c r="E28" s="139"/>
      <c r="F28" s="389"/>
      <c r="G28" s="389"/>
      <c r="H28" s="389"/>
      <c r="I28" s="389"/>
      <c r="J28" s="389"/>
      <c r="K28" s="389"/>
      <c r="L28" s="389"/>
      <c r="M28" s="403"/>
      <c r="N28" s="403"/>
      <c r="O28" s="403"/>
      <c r="P28" s="403"/>
      <c r="Q28" s="403"/>
      <c r="R28" s="403"/>
      <c r="S28" s="403"/>
      <c r="T28" s="403"/>
      <c r="U28" s="403"/>
      <c r="V28" s="403"/>
      <c r="W28" s="403"/>
      <c r="AE28" s="139">
        <v>99199529.861676812</v>
      </c>
    </row>
    <row r="29" spans="1:31" hidden="1">
      <c r="A29" s="57">
        <v>36537</v>
      </c>
      <c r="B29" s="387">
        <v>51.5</v>
      </c>
      <c r="C29" s="395">
        <v>5.819089</v>
      </c>
      <c r="D29" s="139"/>
      <c r="E29" s="139"/>
      <c r="F29" s="139"/>
      <c r="G29" s="389"/>
      <c r="H29" s="389"/>
      <c r="I29" s="389"/>
      <c r="J29" s="389"/>
      <c r="K29" s="139"/>
      <c r="L29" s="139"/>
      <c r="M29" s="403"/>
      <c r="N29" s="403"/>
      <c r="O29" s="403"/>
      <c r="P29" s="403"/>
      <c r="Q29" s="403"/>
      <c r="R29" s="403"/>
      <c r="S29" s="403"/>
      <c r="T29" s="403"/>
      <c r="U29" s="403"/>
      <c r="V29" s="403"/>
      <c r="W29" s="403"/>
      <c r="AE29" s="139">
        <v>124936958</v>
      </c>
    </row>
    <row r="30" spans="1:31" hidden="1">
      <c r="A30" s="57">
        <v>36538</v>
      </c>
      <c r="B30" s="387">
        <v>53.375</v>
      </c>
      <c r="C30" s="395">
        <v>5.2304050000000002</v>
      </c>
      <c r="D30" s="139"/>
      <c r="E30" s="139"/>
      <c r="F30" s="139"/>
      <c r="G30" s="389"/>
      <c r="H30" s="389"/>
      <c r="I30" s="389"/>
      <c r="J30" s="389"/>
      <c r="K30" s="389"/>
      <c r="L30" s="389"/>
      <c r="M30" s="403"/>
      <c r="N30" s="403"/>
      <c r="O30" s="403"/>
      <c r="P30" s="403"/>
      <c r="Q30" s="403"/>
      <c r="R30" s="403"/>
      <c r="S30" s="403"/>
      <c r="T30" s="403"/>
      <c r="U30" s="403"/>
      <c r="V30" s="403"/>
      <c r="W30" s="403"/>
      <c r="Y30" s="194"/>
      <c r="AE30" s="139">
        <v>137815966</v>
      </c>
    </row>
    <row r="31" spans="1:31" hidden="1">
      <c r="A31" s="57">
        <v>36539</v>
      </c>
      <c r="B31" s="387">
        <v>56.375</v>
      </c>
      <c r="C31" s="395">
        <v>2.5443090000000002</v>
      </c>
      <c r="D31" s="139"/>
      <c r="E31" s="139"/>
      <c r="F31" s="139"/>
      <c r="G31" s="389"/>
      <c r="H31" s="389"/>
      <c r="I31" s="389"/>
      <c r="J31" s="389"/>
      <c r="K31" s="139"/>
      <c r="L31" s="389"/>
      <c r="M31" s="403"/>
      <c r="N31" s="403"/>
      <c r="O31" s="403"/>
      <c r="P31" s="403"/>
      <c r="Q31" s="403"/>
      <c r="R31" s="403"/>
      <c r="S31" s="403"/>
      <c r="T31" s="403"/>
      <c r="U31" s="403"/>
      <c r="V31" s="403"/>
      <c r="W31" s="403"/>
      <c r="AE31" s="139">
        <v>157866941</v>
      </c>
    </row>
    <row r="32" spans="1:31" hidden="1">
      <c r="A32" s="57">
        <v>36543</v>
      </c>
      <c r="B32" s="387">
        <v>55.5</v>
      </c>
      <c r="C32" s="395">
        <v>2.7111999999999998</v>
      </c>
      <c r="D32" s="139"/>
      <c r="E32" s="139"/>
      <c r="F32" s="139"/>
      <c r="G32" s="389"/>
      <c r="H32" s="389"/>
      <c r="I32" s="389"/>
      <c r="J32" s="389"/>
      <c r="K32" s="139"/>
      <c r="L32" s="139"/>
      <c r="M32" s="403"/>
      <c r="N32" s="403"/>
      <c r="O32" s="403"/>
      <c r="P32" s="403"/>
      <c r="Q32" s="403"/>
      <c r="R32" s="403"/>
      <c r="S32" s="403"/>
      <c r="T32" s="403"/>
      <c r="U32" s="403"/>
      <c r="V32" s="403"/>
      <c r="W32" s="403"/>
    </row>
    <row r="33" spans="1:23" hidden="1">
      <c r="A33" s="57">
        <v>36544</v>
      </c>
      <c r="B33" s="387">
        <v>53.5</v>
      </c>
      <c r="C33" s="395">
        <v>3.1990560000000001</v>
      </c>
      <c r="D33" s="139"/>
      <c r="E33" s="139"/>
      <c r="F33" s="139"/>
      <c r="G33" s="389"/>
      <c r="H33" s="389"/>
      <c r="I33" s="389"/>
      <c r="J33" s="389"/>
      <c r="K33" s="139"/>
      <c r="L33" s="139"/>
      <c r="M33" s="403"/>
      <c r="N33" s="403"/>
      <c r="O33" s="403"/>
      <c r="P33" s="403"/>
      <c r="Q33" s="403"/>
      <c r="R33" s="403"/>
      <c r="S33" s="403"/>
      <c r="T33" s="403"/>
      <c r="U33" s="403"/>
      <c r="V33" s="403"/>
      <c r="W33" s="403"/>
    </row>
    <row r="34" spans="1:23" hidden="1">
      <c r="A34" s="57">
        <v>36545</v>
      </c>
      <c r="B34" s="387">
        <v>67.5</v>
      </c>
      <c r="C34" s="395">
        <v>0.91845500000000002</v>
      </c>
      <c r="D34" s="139"/>
      <c r="E34" s="139"/>
      <c r="F34" s="139"/>
      <c r="G34" s="389"/>
      <c r="H34" s="389"/>
      <c r="I34" s="389"/>
      <c r="J34" s="389"/>
      <c r="K34" s="139"/>
      <c r="L34" s="139"/>
      <c r="M34" s="403"/>
      <c r="N34" s="403"/>
      <c r="O34" s="403"/>
      <c r="P34" s="403"/>
      <c r="Q34" s="403"/>
      <c r="R34" s="403"/>
      <c r="S34" s="403"/>
      <c r="T34" s="403"/>
      <c r="U34" s="403"/>
      <c r="V34" s="403"/>
      <c r="W34" s="403"/>
    </row>
    <row r="35" spans="1:23" hidden="1">
      <c r="A35" s="57">
        <v>36546</v>
      </c>
      <c r="B35" s="387">
        <v>71.625</v>
      </c>
      <c r="C35" s="395">
        <v>0.62413600000000002</v>
      </c>
      <c r="D35" s="139"/>
      <c r="E35" s="139"/>
      <c r="F35" s="139"/>
      <c r="G35" s="389"/>
      <c r="H35" s="389"/>
      <c r="I35" s="389"/>
      <c r="J35" s="389"/>
      <c r="K35" s="139"/>
      <c r="L35" s="139"/>
      <c r="M35" s="403"/>
      <c r="N35" s="403"/>
      <c r="O35" s="403"/>
      <c r="P35" s="403"/>
      <c r="Q35" s="403"/>
      <c r="R35" s="403"/>
      <c r="S35" s="403"/>
      <c r="T35" s="403"/>
      <c r="U35" s="403"/>
      <c r="V35" s="403"/>
      <c r="W35" s="403"/>
    </row>
    <row r="36" spans="1:23" hidden="1">
      <c r="A36" s="57">
        <v>36549</v>
      </c>
      <c r="B36" s="387">
        <v>65</v>
      </c>
      <c r="C36" s="395">
        <v>1.129162</v>
      </c>
      <c r="D36" s="139"/>
      <c r="E36" s="139"/>
      <c r="F36" s="139"/>
      <c r="G36" s="389"/>
      <c r="H36" s="389"/>
      <c r="I36" s="389"/>
      <c r="J36" s="389"/>
      <c r="K36" s="139"/>
      <c r="L36" s="139"/>
      <c r="M36" s="403"/>
      <c r="N36" s="403"/>
      <c r="O36" s="403"/>
      <c r="P36" s="403"/>
      <c r="Q36" s="403"/>
      <c r="R36" s="403"/>
      <c r="S36" s="403"/>
      <c r="T36" s="403"/>
      <c r="U36" s="403"/>
      <c r="V36" s="403"/>
      <c r="W36" s="403"/>
    </row>
    <row r="37" spans="1:23" hidden="1">
      <c r="A37" s="57">
        <v>36550</v>
      </c>
      <c r="B37" s="387">
        <v>61.25</v>
      </c>
      <c r="C37" s="395">
        <v>1.5851980000000001</v>
      </c>
      <c r="D37" s="139"/>
      <c r="E37" s="139"/>
      <c r="F37" s="139"/>
      <c r="G37" s="389"/>
      <c r="H37" s="389"/>
      <c r="I37" s="389"/>
      <c r="J37" s="389"/>
      <c r="K37" s="139"/>
      <c r="L37" s="139"/>
      <c r="M37" s="403"/>
      <c r="N37" s="403"/>
      <c r="O37" s="403"/>
      <c r="P37" s="403"/>
      <c r="Q37" s="403"/>
      <c r="R37" s="403"/>
      <c r="S37" s="403"/>
      <c r="T37" s="403"/>
      <c r="U37" s="403"/>
      <c r="V37" s="403"/>
      <c r="W37" s="403"/>
    </row>
    <row r="38" spans="1:23" hidden="1">
      <c r="A38" s="57">
        <v>36551</v>
      </c>
      <c r="B38" s="387">
        <v>61.125</v>
      </c>
      <c r="C38" s="395">
        <v>1.598711</v>
      </c>
      <c r="D38" s="139"/>
      <c r="E38" s="139"/>
      <c r="F38" s="139"/>
      <c r="G38" s="389"/>
      <c r="H38" s="389"/>
      <c r="I38" s="389"/>
      <c r="J38" s="389"/>
      <c r="K38" s="139"/>
      <c r="L38" s="139"/>
      <c r="M38" s="403"/>
      <c r="N38" s="403"/>
      <c r="O38" s="403"/>
      <c r="P38" s="403"/>
      <c r="Q38" s="403"/>
      <c r="R38" s="403"/>
      <c r="S38" s="403"/>
      <c r="T38" s="403"/>
      <c r="U38" s="403"/>
      <c r="V38" s="403"/>
      <c r="W38" s="403"/>
    </row>
    <row r="39" spans="1:23" hidden="1">
      <c r="A39" s="57">
        <v>36552</v>
      </c>
      <c r="B39" s="387">
        <v>61</v>
      </c>
      <c r="C39" s="395">
        <v>1.609097</v>
      </c>
      <c r="D39" s="139"/>
      <c r="E39" s="139"/>
      <c r="F39" s="139"/>
      <c r="G39" s="389"/>
      <c r="H39" s="389"/>
      <c r="I39" s="389"/>
      <c r="J39" s="389"/>
      <c r="K39" s="139"/>
      <c r="L39" s="139"/>
      <c r="M39" s="403"/>
      <c r="N39" s="403"/>
      <c r="O39" s="403"/>
      <c r="P39" s="403"/>
      <c r="Q39" s="403"/>
      <c r="R39" s="403"/>
      <c r="S39" s="403"/>
      <c r="T39" s="403"/>
      <c r="U39" s="403"/>
      <c r="V39" s="403"/>
      <c r="W39" s="403"/>
    </row>
    <row r="40" spans="1:23" hidden="1">
      <c r="A40" s="57">
        <v>36553</v>
      </c>
      <c r="B40" s="387">
        <v>60.1875</v>
      </c>
      <c r="C40" s="395">
        <v>1.715927</v>
      </c>
      <c r="D40" s="139"/>
      <c r="E40" s="139"/>
      <c r="F40" s="139"/>
      <c r="G40" s="389"/>
      <c r="H40" s="389"/>
      <c r="I40" s="389"/>
      <c r="J40" s="389"/>
      <c r="K40" s="139"/>
      <c r="L40" s="139"/>
      <c r="M40" s="403"/>
      <c r="N40" s="403"/>
      <c r="O40" s="403"/>
      <c r="P40" s="403"/>
      <c r="Q40" s="403"/>
      <c r="R40" s="403"/>
      <c r="S40" s="403"/>
      <c r="T40" s="403"/>
      <c r="U40" s="403"/>
      <c r="V40" s="403"/>
      <c r="W40" s="403"/>
    </row>
    <row r="41" spans="1:23" hidden="1">
      <c r="A41" s="57">
        <v>36556</v>
      </c>
      <c r="B41" s="387">
        <v>67.875</v>
      </c>
      <c r="C41" s="395">
        <v>0.82461799999999996</v>
      </c>
      <c r="D41" s="139"/>
      <c r="E41" s="139"/>
      <c r="F41" s="139"/>
      <c r="G41" s="389"/>
      <c r="H41" s="389"/>
      <c r="I41" s="389"/>
      <c r="J41" s="389"/>
      <c r="K41" s="139"/>
      <c r="L41" s="139"/>
      <c r="M41" s="403"/>
      <c r="N41" s="403"/>
      <c r="O41" s="403"/>
      <c r="P41" s="403"/>
      <c r="Q41" s="403"/>
      <c r="R41" s="403"/>
      <c r="S41" s="403"/>
      <c r="T41" s="403"/>
      <c r="U41" s="403"/>
      <c r="V41" s="403"/>
      <c r="W41" s="403"/>
    </row>
    <row r="42" spans="1:23" hidden="1">
      <c r="A42" s="57">
        <v>36557</v>
      </c>
      <c r="B42" s="387">
        <v>64.5</v>
      </c>
      <c r="C42" s="395">
        <v>1.1300749999999999</v>
      </c>
      <c r="D42" s="139"/>
      <c r="E42" s="139"/>
      <c r="F42" s="139"/>
      <c r="G42" s="389"/>
      <c r="H42" s="389"/>
      <c r="I42" s="389"/>
      <c r="J42" s="389"/>
      <c r="K42" s="139"/>
      <c r="L42" s="139"/>
      <c r="M42" s="403"/>
      <c r="N42" s="403"/>
      <c r="O42" s="403"/>
      <c r="P42" s="403"/>
      <c r="Q42" s="403"/>
      <c r="R42" s="403"/>
      <c r="S42" s="403"/>
      <c r="T42" s="403"/>
      <c r="U42" s="403"/>
      <c r="V42" s="403"/>
      <c r="W42" s="403"/>
    </row>
    <row r="43" spans="1:23" hidden="1">
      <c r="A43" s="57">
        <v>36558</v>
      </c>
      <c r="B43" s="387">
        <v>62.875</v>
      </c>
      <c r="C43" s="395">
        <v>1.3094250000000001</v>
      </c>
      <c r="D43" s="139"/>
      <c r="E43" s="139"/>
      <c r="F43" s="139"/>
      <c r="G43" s="389"/>
      <c r="H43" s="389"/>
      <c r="I43" s="389"/>
      <c r="J43" s="389"/>
      <c r="K43" s="139"/>
      <c r="L43" s="139"/>
      <c r="M43" s="403"/>
      <c r="N43" s="403"/>
      <c r="O43" s="403"/>
      <c r="P43" s="403"/>
      <c r="Q43" s="403"/>
      <c r="R43" s="403"/>
      <c r="S43" s="403"/>
      <c r="T43" s="403"/>
      <c r="U43" s="403"/>
      <c r="V43" s="403"/>
      <c r="W43" s="403"/>
    </row>
    <row r="44" spans="1:23" hidden="1">
      <c r="A44" s="57">
        <v>36559</v>
      </c>
      <c r="B44" s="387">
        <v>63.6875</v>
      </c>
      <c r="C44" s="395">
        <v>1.2089270000000001</v>
      </c>
      <c r="D44" s="139"/>
      <c r="E44" s="139"/>
      <c r="F44" s="139"/>
      <c r="G44" s="389"/>
      <c r="H44" s="389"/>
      <c r="I44" s="389"/>
      <c r="J44" s="389"/>
      <c r="K44" s="139"/>
      <c r="L44" s="139"/>
      <c r="M44" s="403"/>
      <c r="N44" s="403"/>
      <c r="O44" s="403"/>
      <c r="P44" s="403"/>
      <c r="Q44" s="403"/>
      <c r="R44" s="403"/>
      <c r="S44" s="403"/>
      <c r="T44" s="403"/>
      <c r="U44" s="403"/>
      <c r="V44" s="403"/>
      <c r="W44" s="403"/>
    </row>
    <row r="45" spans="1:23" hidden="1">
      <c r="A45" s="57">
        <v>36560</v>
      </c>
      <c r="B45" s="387">
        <v>61.75</v>
      </c>
      <c r="C45" s="395">
        <v>1.441843</v>
      </c>
      <c r="D45" s="139"/>
      <c r="E45" s="139"/>
      <c r="F45" s="139"/>
      <c r="G45" s="389"/>
      <c r="H45" s="389"/>
      <c r="I45" s="389"/>
      <c r="J45" s="389"/>
      <c r="K45" s="139"/>
      <c r="L45" s="139"/>
      <c r="M45" s="403"/>
      <c r="N45" s="403"/>
      <c r="O45" s="403"/>
      <c r="P45" s="403"/>
      <c r="Q45" s="403"/>
      <c r="R45" s="403"/>
      <c r="S45" s="403"/>
      <c r="T45" s="403"/>
      <c r="U45" s="403"/>
      <c r="V45" s="403"/>
      <c r="W45" s="403"/>
    </row>
    <row r="46" spans="1:23" hidden="1">
      <c r="A46" s="57">
        <v>36561</v>
      </c>
      <c r="B46" s="387"/>
      <c r="C46" s="395"/>
      <c r="D46" s="139"/>
      <c r="E46" s="139"/>
      <c r="F46" s="139"/>
      <c r="G46" s="389"/>
      <c r="H46" s="389"/>
      <c r="I46" s="389"/>
      <c r="J46" s="389"/>
      <c r="K46" s="139"/>
      <c r="L46" s="139"/>
      <c r="M46" s="403"/>
      <c r="N46" s="403"/>
      <c r="O46" s="403"/>
      <c r="P46" s="403"/>
      <c r="Q46" s="403"/>
      <c r="R46" s="403"/>
      <c r="S46" s="403"/>
      <c r="T46" s="403"/>
      <c r="U46" s="403"/>
      <c r="V46" s="403"/>
      <c r="W46" s="403"/>
    </row>
    <row r="47" spans="1:23" hidden="1">
      <c r="A47" s="57">
        <v>36562</v>
      </c>
      <c r="B47" s="387"/>
      <c r="C47" s="395"/>
      <c r="D47" s="139"/>
      <c r="E47" s="139"/>
      <c r="F47" s="139"/>
      <c r="G47" s="389"/>
      <c r="H47" s="389"/>
      <c r="I47" s="389"/>
      <c r="J47" s="389"/>
      <c r="K47" s="139"/>
      <c r="L47" s="139"/>
      <c r="M47" s="403"/>
      <c r="N47" s="403"/>
      <c r="O47" s="403"/>
      <c r="P47" s="403"/>
      <c r="Q47" s="403"/>
      <c r="R47" s="403"/>
      <c r="S47" s="403"/>
      <c r="T47" s="403"/>
      <c r="U47" s="403"/>
      <c r="V47" s="403"/>
      <c r="W47" s="403"/>
    </row>
    <row r="48" spans="1:23" hidden="1">
      <c r="A48" s="57">
        <v>36563</v>
      </c>
      <c r="B48" s="387">
        <v>62.5</v>
      </c>
      <c r="C48" s="395">
        <v>1.314535</v>
      </c>
      <c r="D48" s="139"/>
      <c r="E48" s="139"/>
      <c r="F48" s="139"/>
      <c r="G48" s="389"/>
      <c r="H48" s="389"/>
      <c r="I48" s="389"/>
      <c r="J48" s="389"/>
      <c r="K48" s="139"/>
      <c r="L48" s="139"/>
      <c r="M48" s="403"/>
      <c r="N48" s="403"/>
      <c r="O48" s="403"/>
      <c r="P48" s="403"/>
      <c r="Q48" s="403"/>
      <c r="R48" s="403"/>
      <c r="S48" s="403"/>
      <c r="T48" s="403"/>
      <c r="U48" s="403"/>
      <c r="V48" s="403"/>
      <c r="W48" s="403"/>
    </row>
    <row r="49" spans="1:23" hidden="1">
      <c r="A49" s="57">
        <v>36564</v>
      </c>
      <c r="B49" s="387">
        <v>66.125</v>
      </c>
      <c r="C49" s="395">
        <v>0.92471000000000003</v>
      </c>
      <c r="D49" s="139"/>
      <c r="E49" s="139"/>
      <c r="F49" s="139"/>
      <c r="G49" s="389"/>
      <c r="H49" s="389"/>
      <c r="I49" s="389"/>
      <c r="J49" s="389"/>
      <c r="K49" s="139"/>
      <c r="L49" s="139"/>
      <c r="M49" s="403"/>
      <c r="N49" s="403"/>
      <c r="O49" s="403"/>
      <c r="P49" s="403"/>
      <c r="Q49" s="403"/>
      <c r="R49" s="403"/>
      <c r="S49" s="403"/>
      <c r="T49" s="403"/>
      <c r="U49" s="403"/>
      <c r="V49" s="403"/>
      <c r="W49" s="403"/>
    </row>
    <row r="50" spans="1:23" hidden="1">
      <c r="A50" s="57">
        <v>36565</v>
      </c>
      <c r="B50" s="387">
        <v>66.4375</v>
      </c>
      <c r="C50" s="395">
        <v>0.89017599999999997</v>
      </c>
      <c r="D50" s="139"/>
      <c r="E50" s="139"/>
      <c r="F50" s="139"/>
      <c r="G50" s="389"/>
      <c r="H50" s="389"/>
      <c r="I50" s="389"/>
      <c r="J50" s="389"/>
      <c r="K50" s="139"/>
      <c r="L50" s="139"/>
      <c r="M50" s="403"/>
      <c r="N50" s="403"/>
      <c r="O50" s="403"/>
      <c r="P50" s="403"/>
      <c r="Q50" s="403"/>
      <c r="R50" s="403"/>
      <c r="S50" s="403"/>
      <c r="T50" s="403"/>
      <c r="U50" s="403"/>
      <c r="V50" s="403"/>
      <c r="W50" s="403"/>
    </row>
    <row r="51" spans="1:23" hidden="1">
      <c r="A51" s="57">
        <v>36566</v>
      </c>
      <c r="B51" s="387">
        <v>67.625</v>
      </c>
      <c r="C51" s="395">
        <v>0.78718699999999997</v>
      </c>
      <c r="D51" s="139"/>
      <c r="E51" s="139"/>
      <c r="F51" s="139"/>
      <c r="G51" s="389"/>
      <c r="H51" s="389"/>
      <c r="I51" s="389"/>
      <c r="J51" s="389"/>
      <c r="K51" s="139"/>
      <c r="L51" s="139"/>
      <c r="M51" s="403"/>
      <c r="N51" s="403"/>
      <c r="O51" s="403"/>
      <c r="P51" s="403"/>
      <c r="Q51" s="403"/>
      <c r="R51" s="403"/>
      <c r="S51" s="403"/>
      <c r="T51" s="403"/>
      <c r="U51" s="403"/>
      <c r="V51" s="403"/>
      <c r="W51" s="403"/>
    </row>
    <row r="52" spans="1:23" hidden="1">
      <c r="A52" s="57">
        <v>36567</v>
      </c>
      <c r="B52" s="387">
        <v>65.875</v>
      </c>
      <c r="C52" s="395">
        <v>0.93036300000000005</v>
      </c>
      <c r="D52" s="139"/>
      <c r="E52" s="139"/>
      <c r="F52" s="139"/>
      <c r="G52" s="389"/>
      <c r="H52" s="389"/>
      <c r="I52" s="389"/>
      <c r="J52" s="389"/>
      <c r="K52" s="139"/>
      <c r="L52" s="139"/>
      <c r="M52" s="403"/>
      <c r="N52" s="403"/>
      <c r="O52" s="403"/>
      <c r="P52" s="403"/>
      <c r="Q52" s="403"/>
      <c r="R52" s="403"/>
      <c r="S52" s="403"/>
      <c r="T52" s="403"/>
      <c r="U52" s="403"/>
      <c r="V52" s="403"/>
      <c r="W52" s="403"/>
    </row>
    <row r="53" spans="1:23" hidden="1">
      <c r="A53" s="57">
        <v>36568</v>
      </c>
      <c r="B53" s="387"/>
      <c r="C53" s="395"/>
      <c r="D53" s="139"/>
      <c r="E53" s="139"/>
      <c r="F53" s="139"/>
      <c r="G53" s="389"/>
      <c r="H53" s="389"/>
      <c r="I53" s="389"/>
      <c r="J53" s="389"/>
      <c r="K53" s="139"/>
      <c r="L53" s="139"/>
      <c r="M53" s="403"/>
      <c r="N53" s="403"/>
      <c r="O53" s="403"/>
      <c r="P53" s="403"/>
      <c r="Q53" s="403"/>
      <c r="R53" s="403"/>
      <c r="S53" s="403"/>
      <c r="T53" s="403"/>
      <c r="U53" s="403"/>
      <c r="V53" s="403"/>
      <c r="W53" s="403"/>
    </row>
    <row r="54" spans="1:23" hidden="1">
      <c r="A54" s="57">
        <v>36569</v>
      </c>
      <c r="B54" s="387"/>
      <c r="C54" s="395"/>
      <c r="D54" s="139"/>
      <c r="E54" s="139"/>
      <c r="F54" s="139"/>
      <c r="G54" s="389"/>
      <c r="H54" s="389"/>
      <c r="I54" s="389"/>
      <c r="J54" s="389"/>
      <c r="K54" s="139"/>
      <c r="L54" s="139"/>
      <c r="M54" s="403"/>
      <c r="N54" s="403"/>
      <c r="O54" s="403"/>
      <c r="P54" s="403"/>
      <c r="Q54" s="403"/>
      <c r="R54" s="403"/>
      <c r="S54" s="403"/>
      <c r="T54" s="403"/>
      <c r="U54" s="403"/>
      <c r="V54" s="403"/>
      <c r="W54" s="403"/>
    </row>
    <row r="55" spans="1:23" hidden="1">
      <c r="A55" s="57">
        <v>36570</v>
      </c>
      <c r="B55" s="387">
        <v>67.8125</v>
      </c>
      <c r="C55" s="395">
        <v>0.75070400000000004</v>
      </c>
      <c r="D55" s="139"/>
      <c r="E55" s="139"/>
      <c r="F55" s="139"/>
      <c r="G55" s="389"/>
      <c r="H55" s="389"/>
      <c r="I55" s="389"/>
      <c r="J55" s="389"/>
      <c r="K55" s="139"/>
      <c r="L55" s="139"/>
      <c r="M55" s="403"/>
      <c r="N55" s="403"/>
      <c r="O55" s="403"/>
      <c r="P55" s="403"/>
      <c r="Q55" s="403"/>
      <c r="R55" s="403"/>
      <c r="S55" s="403"/>
      <c r="T55" s="403"/>
      <c r="U55" s="403"/>
      <c r="V55" s="403"/>
      <c r="W55" s="403"/>
    </row>
    <row r="56" spans="1:23" hidden="1">
      <c r="A56" s="57">
        <v>36571</v>
      </c>
      <c r="B56" s="387">
        <v>68.9375</v>
      </c>
      <c r="C56" s="395">
        <v>0.66312000000000004</v>
      </c>
      <c r="D56" s="139"/>
      <c r="E56" s="139"/>
      <c r="F56" s="139"/>
      <c r="G56" s="389"/>
      <c r="H56" s="389"/>
      <c r="I56" s="389"/>
      <c r="J56" s="389"/>
      <c r="K56" s="139"/>
      <c r="L56" s="139"/>
      <c r="M56" s="403"/>
      <c r="N56" s="403"/>
      <c r="O56" s="403"/>
      <c r="P56" s="403"/>
      <c r="Q56" s="403"/>
      <c r="R56" s="403"/>
      <c r="S56" s="403"/>
      <c r="T56" s="403"/>
      <c r="U56" s="403"/>
      <c r="V56" s="403"/>
      <c r="W56" s="403"/>
    </row>
    <row r="57" spans="1:23" hidden="1">
      <c r="A57" s="57">
        <v>36572</v>
      </c>
      <c r="B57" s="387">
        <v>69.875</v>
      </c>
      <c r="C57" s="395">
        <v>0.59912500000000002</v>
      </c>
      <c r="D57" s="139"/>
      <c r="E57" s="139"/>
      <c r="F57" s="139"/>
      <c r="G57" s="389"/>
      <c r="H57" s="389"/>
      <c r="I57" s="389"/>
      <c r="J57" s="389"/>
      <c r="K57" s="139"/>
      <c r="L57" s="139"/>
      <c r="M57" s="403"/>
      <c r="N57" s="403"/>
      <c r="O57" s="403"/>
      <c r="P57" s="403"/>
      <c r="Q57" s="403"/>
      <c r="R57" s="403"/>
      <c r="S57" s="403"/>
      <c r="T57" s="403"/>
      <c r="U57" s="403"/>
      <c r="V57" s="403"/>
      <c r="W57" s="403"/>
    </row>
    <row r="58" spans="1:23" hidden="1">
      <c r="A58" s="57">
        <v>36573</v>
      </c>
      <c r="B58" s="387">
        <v>70.3125</v>
      </c>
      <c r="C58" s="395">
        <v>0.56940000000000002</v>
      </c>
      <c r="D58" s="139"/>
      <c r="E58" s="139"/>
      <c r="F58" s="139"/>
      <c r="G58" s="389"/>
      <c r="H58" s="389"/>
      <c r="I58" s="389"/>
      <c r="J58" s="389"/>
      <c r="K58" s="139"/>
      <c r="L58" s="139"/>
      <c r="M58" s="403"/>
      <c r="N58" s="403"/>
      <c r="O58" s="403"/>
      <c r="P58" s="403"/>
      <c r="Q58" s="403"/>
      <c r="R58" s="403"/>
      <c r="S58" s="403"/>
      <c r="T58" s="403"/>
      <c r="U58" s="403"/>
      <c r="V58" s="403"/>
      <c r="W58" s="403"/>
    </row>
    <row r="59" spans="1:23" hidden="1">
      <c r="A59" s="57">
        <v>36574</v>
      </c>
      <c r="B59" s="387">
        <v>69.1875</v>
      </c>
      <c r="C59" s="395">
        <v>0.62916099999999997</v>
      </c>
      <c r="D59" s="139"/>
      <c r="E59" s="139"/>
      <c r="F59" s="139"/>
      <c r="G59" s="389"/>
      <c r="H59" s="389"/>
      <c r="I59" s="389"/>
      <c r="J59" s="389"/>
      <c r="K59" s="139"/>
      <c r="L59" s="139"/>
      <c r="M59" s="403"/>
      <c r="N59" s="403"/>
      <c r="O59" s="403"/>
      <c r="P59" s="403"/>
      <c r="Q59" s="403"/>
      <c r="R59" s="403"/>
      <c r="S59" s="403"/>
      <c r="T59" s="403"/>
      <c r="U59" s="403"/>
      <c r="V59" s="403"/>
      <c r="W59" s="403"/>
    </row>
    <row r="60" spans="1:23" hidden="1">
      <c r="A60" s="57">
        <v>36575</v>
      </c>
      <c r="B60" s="387"/>
      <c r="C60" s="395"/>
      <c r="D60" s="139"/>
      <c r="E60" s="139"/>
      <c r="F60" s="139"/>
      <c r="G60" s="389"/>
      <c r="H60" s="389"/>
      <c r="I60" s="389"/>
      <c r="J60" s="389"/>
      <c r="K60" s="139"/>
      <c r="L60" s="139"/>
      <c r="M60" s="403"/>
      <c r="N60" s="403"/>
      <c r="O60" s="403"/>
      <c r="P60" s="403"/>
      <c r="Q60" s="403"/>
      <c r="R60" s="403"/>
      <c r="S60" s="403"/>
      <c r="T60" s="403"/>
      <c r="U60" s="403"/>
      <c r="V60" s="403"/>
      <c r="W60" s="403"/>
    </row>
    <row r="61" spans="1:23" hidden="1">
      <c r="A61" s="57">
        <v>36576</v>
      </c>
      <c r="B61" s="387"/>
      <c r="C61" s="395"/>
      <c r="D61" s="139"/>
      <c r="E61" s="139"/>
      <c r="F61" s="139"/>
      <c r="G61" s="389"/>
      <c r="H61" s="389"/>
      <c r="I61" s="389"/>
      <c r="J61" s="389"/>
      <c r="K61" s="139"/>
      <c r="L61" s="139"/>
      <c r="M61" s="403"/>
      <c r="N61" s="403"/>
      <c r="O61" s="403"/>
      <c r="P61" s="403"/>
      <c r="Q61" s="403"/>
      <c r="R61" s="403"/>
      <c r="S61" s="403"/>
      <c r="T61" s="403"/>
      <c r="U61" s="403"/>
      <c r="V61" s="403"/>
      <c r="W61" s="403"/>
    </row>
    <row r="62" spans="1:23" hidden="1">
      <c r="A62" s="57">
        <v>36577</v>
      </c>
      <c r="B62" s="387"/>
      <c r="C62" s="395"/>
      <c r="D62" s="139"/>
      <c r="E62" s="139"/>
      <c r="F62" s="139"/>
      <c r="G62" s="389"/>
      <c r="H62" s="389"/>
      <c r="I62" s="389"/>
      <c r="J62" s="389"/>
      <c r="K62" s="139"/>
      <c r="L62" s="139"/>
      <c r="M62" s="403"/>
      <c r="N62" s="403"/>
      <c r="O62" s="403"/>
      <c r="P62" s="403"/>
      <c r="Q62" s="403"/>
      <c r="R62" s="403"/>
      <c r="S62" s="403"/>
      <c r="T62" s="403"/>
      <c r="U62" s="403"/>
      <c r="V62" s="403"/>
      <c r="W62" s="403"/>
    </row>
    <row r="63" spans="1:23" hidden="1">
      <c r="A63" s="57">
        <v>36578</v>
      </c>
      <c r="B63" s="387">
        <v>66</v>
      </c>
      <c r="C63" s="395">
        <v>0.84679300000000002</v>
      </c>
      <c r="D63" s="139"/>
      <c r="E63" s="139"/>
      <c r="F63" s="139"/>
      <c r="G63" s="389"/>
      <c r="H63" s="389"/>
      <c r="I63" s="389"/>
      <c r="J63" s="389"/>
      <c r="K63" s="139"/>
      <c r="L63" s="139"/>
      <c r="M63" s="403"/>
      <c r="N63" s="403"/>
      <c r="O63" s="403"/>
      <c r="P63" s="403"/>
      <c r="Q63" s="403"/>
      <c r="R63" s="403"/>
      <c r="S63" s="403"/>
      <c r="T63" s="403"/>
      <c r="U63" s="403"/>
      <c r="V63" s="403"/>
      <c r="W63" s="403"/>
    </row>
    <row r="64" spans="1:23" hidden="1">
      <c r="A64" s="57">
        <v>36579</v>
      </c>
      <c r="B64" s="387">
        <v>65.4375</v>
      </c>
      <c r="C64" s="395">
        <v>0.892428</v>
      </c>
      <c r="D64" s="139"/>
      <c r="E64" s="139"/>
      <c r="F64" s="139"/>
      <c r="G64" s="389"/>
      <c r="H64" s="389"/>
      <c r="I64" s="389"/>
      <c r="J64" s="389"/>
      <c r="K64" s="139"/>
      <c r="L64" s="139"/>
      <c r="M64" s="403"/>
      <c r="N64" s="403"/>
      <c r="O64" s="403"/>
      <c r="P64" s="403"/>
      <c r="Q64" s="403"/>
      <c r="R64" s="403"/>
      <c r="S64" s="403"/>
      <c r="T64" s="403"/>
      <c r="U64" s="403"/>
      <c r="V64" s="403"/>
      <c r="W64" s="403"/>
    </row>
    <row r="65" spans="1:23" hidden="1">
      <c r="A65" s="57">
        <v>36580</v>
      </c>
      <c r="B65" s="387">
        <v>65.5625</v>
      </c>
      <c r="C65" s="395">
        <v>0.87329900000000005</v>
      </c>
      <c r="D65" s="139"/>
      <c r="E65" s="139"/>
      <c r="F65" s="139"/>
      <c r="G65" s="389"/>
      <c r="H65" s="389"/>
      <c r="I65" s="389"/>
      <c r="J65" s="389"/>
      <c r="K65" s="139"/>
      <c r="L65" s="139"/>
      <c r="M65" s="403"/>
      <c r="N65" s="403"/>
      <c r="O65" s="403"/>
      <c r="P65" s="403"/>
      <c r="Q65" s="403"/>
      <c r="R65" s="403"/>
      <c r="S65" s="403"/>
      <c r="T65" s="403"/>
      <c r="U65" s="403"/>
      <c r="V65" s="403"/>
      <c r="W65" s="403"/>
    </row>
    <row r="66" spans="1:23" hidden="1">
      <c r="A66" s="57">
        <v>36581</v>
      </c>
      <c r="B66" s="387">
        <v>65.625</v>
      </c>
      <c r="C66" s="395">
        <v>0.86116800000000004</v>
      </c>
      <c r="D66" s="139"/>
      <c r="E66" s="139"/>
      <c r="F66" s="139"/>
      <c r="G66" s="389"/>
      <c r="H66" s="389"/>
      <c r="I66" s="389"/>
      <c r="J66" s="389"/>
      <c r="K66" s="139"/>
      <c r="L66" s="139"/>
      <c r="M66" s="403"/>
      <c r="N66" s="403"/>
      <c r="O66" s="403"/>
      <c r="P66" s="403"/>
      <c r="Q66" s="403"/>
      <c r="R66" s="403"/>
      <c r="S66" s="403"/>
      <c r="T66" s="403"/>
      <c r="U66" s="403"/>
      <c r="V66" s="403"/>
      <c r="W66" s="403"/>
    </row>
    <row r="67" spans="1:23" hidden="1">
      <c r="A67" s="57">
        <v>36582</v>
      </c>
      <c r="B67" s="387"/>
      <c r="C67" s="395"/>
      <c r="D67" s="139"/>
      <c r="E67" s="139"/>
      <c r="F67" s="139"/>
      <c r="G67" s="389"/>
      <c r="H67" s="389"/>
      <c r="I67" s="389"/>
      <c r="J67" s="389"/>
      <c r="K67" s="139"/>
      <c r="L67" s="139"/>
      <c r="M67" s="403"/>
      <c r="N67" s="403"/>
      <c r="O67" s="403"/>
      <c r="P67" s="403"/>
      <c r="Q67" s="403"/>
      <c r="R67" s="403"/>
      <c r="S67" s="403"/>
      <c r="T67" s="403"/>
      <c r="U67" s="403"/>
      <c r="V67" s="403"/>
      <c r="W67" s="403"/>
    </row>
    <row r="68" spans="1:23" hidden="1">
      <c r="A68" s="57">
        <v>36583</v>
      </c>
      <c r="B68" s="387"/>
      <c r="C68" s="395"/>
      <c r="D68" s="139"/>
      <c r="E68" s="139"/>
      <c r="F68" s="139"/>
      <c r="G68" s="389"/>
      <c r="H68" s="389"/>
      <c r="I68" s="389"/>
      <c r="J68" s="389"/>
      <c r="K68" s="139"/>
      <c r="L68" s="139"/>
      <c r="M68" s="403"/>
      <c r="N68" s="403"/>
      <c r="O68" s="403"/>
      <c r="P68" s="403"/>
      <c r="Q68" s="403"/>
      <c r="R68" s="403"/>
      <c r="S68" s="403"/>
      <c r="T68" s="403"/>
      <c r="U68" s="403"/>
      <c r="V68" s="403"/>
      <c r="W68" s="403"/>
    </row>
    <row r="69" spans="1:23" hidden="1">
      <c r="A69" s="57">
        <v>36584</v>
      </c>
      <c r="B69" s="387">
        <v>64.8125</v>
      </c>
      <c r="C69" s="395">
        <v>0.90433799999999998</v>
      </c>
      <c r="D69" s="139"/>
      <c r="E69" s="139"/>
      <c r="F69" s="139"/>
      <c r="G69" s="389"/>
      <c r="H69" s="389"/>
      <c r="I69" s="389"/>
      <c r="J69" s="389"/>
      <c r="K69" s="139"/>
      <c r="L69" s="139"/>
      <c r="M69" s="403"/>
      <c r="N69" s="403"/>
      <c r="O69" s="403"/>
      <c r="P69" s="403"/>
      <c r="Q69" s="403"/>
      <c r="R69" s="403"/>
      <c r="S69" s="403"/>
      <c r="T69" s="403"/>
      <c r="U69" s="403"/>
      <c r="V69" s="403"/>
      <c r="W69" s="403"/>
    </row>
    <row r="70" spans="1:23" hidden="1">
      <c r="A70" s="57">
        <v>36585</v>
      </c>
      <c r="B70" s="387">
        <v>68.75</v>
      </c>
      <c r="C70" s="395">
        <v>0.59106400000000003</v>
      </c>
      <c r="D70" s="139"/>
      <c r="E70" s="139"/>
      <c r="F70" s="139"/>
      <c r="G70" s="389"/>
      <c r="H70" s="389"/>
      <c r="I70" s="389"/>
      <c r="J70" s="389"/>
      <c r="K70" s="139"/>
      <c r="L70" s="139"/>
      <c r="M70" s="403"/>
      <c r="N70" s="403"/>
      <c r="O70" s="403"/>
      <c r="P70" s="403"/>
      <c r="Q70" s="403"/>
      <c r="R70" s="403"/>
      <c r="S70" s="403"/>
      <c r="T70" s="403"/>
      <c r="U70" s="403"/>
      <c r="V70" s="403"/>
      <c r="W70" s="403"/>
    </row>
    <row r="71" spans="1:23" hidden="1">
      <c r="A71" s="57">
        <v>36586</v>
      </c>
      <c r="B71" s="387">
        <v>69</v>
      </c>
      <c r="C71" s="395">
        <v>0.57167000000000001</v>
      </c>
      <c r="D71" s="139"/>
      <c r="E71" s="139"/>
      <c r="F71" s="139"/>
      <c r="G71" s="389"/>
      <c r="H71" s="389"/>
      <c r="I71" s="389"/>
      <c r="J71" s="389"/>
      <c r="K71" s="139"/>
      <c r="L71" s="139"/>
      <c r="M71" s="403"/>
      <c r="N71" s="403"/>
      <c r="O71" s="403"/>
      <c r="P71" s="403"/>
      <c r="Q71" s="403"/>
      <c r="R71" s="403"/>
      <c r="S71" s="403"/>
      <c r="T71" s="403"/>
      <c r="U71" s="403"/>
      <c r="V71" s="403"/>
      <c r="W71" s="403"/>
    </row>
    <row r="72" spans="1:23" hidden="1">
      <c r="A72" s="57">
        <v>36587</v>
      </c>
      <c r="B72" s="387">
        <v>68.375</v>
      </c>
      <c r="C72" s="395">
        <v>0.602935</v>
      </c>
      <c r="D72" s="139"/>
      <c r="E72" s="139"/>
      <c r="F72" s="139"/>
      <c r="G72" s="389"/>
      <c r="H72" s="389"/>
      <c r="I72" s="389"/>
      <c r="J72" s="389"/>
      <c r="K72" s="139"/>
      <c r="L72" s="139"/>
      <c r="M72" s="403"/>
      <c r="N72" s="403"/>
      <c r="O72" s="403"/>
      <c r="P72" s="403"/>
      <c r="Q72" s="403"/>
      <c r="R72" s="403"/>
      <c r="S72" s="403"/>
      <c r="T72" s="403"/>
      <c r="U72" s="403"/>
      <c r="V72" s="403"/>
      <c r="W72" s="403"/>
    </row>
    <row r="73" spans="1:23" hidden="1">
      <c r="A73" s="57">
        <v>36588</v>
      </c>
      <c r="B73" s="387">
        <v>68.5</v>
      </c>
      <c r="C73" s="395">
        <v>0.59046799999999999</v>
      </c>
      <c r="D73" s="139"/>
      <c r="E73" s="139"/>
      <c r="F73" s="139"/>
      <c r="G73" s="389"/>
      <c r="H73" s="389"/>
      <c r="I73" s="389"/>
      <c r="J73" s="389"/>
      <c r="K73" s="139"/>
      <c r="L73" s="139"/>
      <c r="M73" s="403"/>
      <c r="N73" s="403"/>
      <c r="O73" s="403"/>
      <c r="P73" s="403"/>
      <c r="Q73" s="403"/>
      <c r="R73" s="403"/>
      <c r="S73" s="403"/>
      <c r="T73" s="403"/>
      <c r="U73" s="403"/>
      <c r="V73" s="403"/>
      <c r="W73" s="403"/>
    </row>
    <row r="74" spans="1:23">
      <c r="A74" s="57">
        <v>36589</v>
      </c>
      <c r="B74" s="387"/>
      <c r="C74" s="395"/>
      <c r="D74" s="139"/>
      <c r="E74" s="139"/>
      <c r="F74" s="139"/>
      <c r="G74" s="389"/>
      <c r="H74" s="389"/>
      <c r="I74" s="389"/>
      <c r="J74" s="389"/>
      <c r="K74" s="139"/>
      <c r="L74" s="139"/>
      <c r="M74" s="403"/>
      <c r="N74" s="403"/>
      <c r="O74" s="403"/>
      <c r="P74" s="403"/>
      <c r="Q74" s="403"/>
      <c r="R74" s="403"/>
      <c r="S74" s="403"/>
      <c r="T74" s="403"/>
      <c r="U74" s="403"/>
      <c r="V74" s="403"/>
      <c r="W74" s="403"/>
    </row>
    <row r="75" spans="1:23">
      <c r="A75" s="57">
        <v>36590</v>
      </c>
      <c r="B75" s="387"/>
      <c r="C75" s="395"/>
      <c r="D75" s="139"/>
      <c r="E75" s="139"/>
      <c r="F75" s="139"/>
      <c r="G75" s="389"/>
      <c r="H75" s="389"/>
      <c r="I75" s="389"/>
      <c r="J75" s="389"/>
      <c r="K75" s="139"/>
      <c r="L75" s="139"/>
      <c r="M75" s="403"/>
      <c r="N75" s="403"/>
      <c r="O75" s="403"/>
      <c r="P75" s="403"/>
      <c r="Q75" s="403"/>
      <c r="R75" s="403"/>
      <c r="S75" s="403"/>
      <c r="T75" s="403"/>
      <c r="U75" s="403"/>
      <c r="V75" s="403"/>
      <c r="W75" s="403"/>
    </row>
    <row r="76" spans="1:23">
      <c r="A76" s="57">
        <v>36591</v>
      </c>
      <c r="B76" s="387">
        <v>68.75</v>
      </c>
      <c r="C76" s="395">
        <v>0.56047199999999997</v>
      </c>
      <c r="D76" s="139"/>
      <c r="E76" s="139"/>
      <c r="F76" s="139"/>
      <c r="G76" s="389"/>
      <c r="H76" s="389"/>
      <c r="I76" s="389"/>
      <c r="J76" s="389"/>
      <c r="K76" s="139"/>
      <c r="L76" s="139"/>
      <c r="M76" s="403"/>
      <c r="N76" s="403"/>
      <c r="O76" s="403"/>
      <c r="P76" s="403"/>
      <c r="Q76" s="403"/>
      <c r="R76" s="403"/>
      <c r="S76" s="403"/>
      <c r="T76" s="403"/>
      <c r="U76" s="403"/>
      <c r="V76" s="403"/>
      <c r="W76" s="403"/>
    </row>
    <row r="77" spans="1:23">
      <c r="A77" s="57">
        <v>36592</v>
      </c>
      <c r="B77" s="387">
        <v>71.3125</v>
      </c>
      <c r="C77" s="395">
        <v>0.41925400000000002</v>
      </c>
      <c r="D77" s="139"/>
      <c r="E77" s="139"/>
      <c r="F77" s="139"/>
      <c r="G77" s="389"/>
      <c r="H77" s="389"/>
      <c r="I77" s="389"/>
      <c r="J77" s="389"/>
      <c r="K77" s="139"/>
      <c r="L77" s="139"/>
      <c r="M77" s="403"/>
      <c r="N77" s="403"/>
      <c r="O77" s="403"/>
      <c r="P77" s="403"/>
      <c r="Q77" s="403"/>
      <c r="R77" s="403"/>
      <c r="S77" s="403"/>
      <c r="T77" s="403"/>
      <c r="U77" s="403"/>
      <c r="V77" s="403"/>
      <c r="W77" s="403"/>
    </row>
    <row r="78" spans="1:23">
      <c r="A78" s="57">
        <v>36593</v>
      </c>
      <c r="B78" s="387">
        <v>67.1875</v>
      </c>
      <c r="C78" s="395">
        <v>0.65239000000000003</v>
      </c>
      <c r="D78" s="139"/>
      <c r="E78" s="139"/>
      <c r="F78" s="139"/>
      <c r="G78" s="389"/>
      <c r="H78" s="389"/>
      <c r="I78" s="389"/>
      <c r="J78" s="389"/>
      <c r="K78" s="139"/>
      <c r="L78" s="139"/>
      <c r="M78" s="403"/>
      <c r="N78" s="403"/>
      <c r="O78" s="403"/>
      <c r="P78" s="403"/>
      <c r="Q78" s="403"/>
      <c r="R78" s="403"/>
      <c r="S78" s="403"/>
      <c r="T78" s="403"/>
      <c r="U78" s="403"/>
      <c r="V78" s="403"/>
      <c r="W78" s="403"/>
    </row>
    <row r="79" spans="1:23">
      <c r="A79" s="57">
        <v>36594</v>
      </c>
      <c r="B79" s="387">
        <v>65.9375</v>
      </c>
      <c r="C79" s="395">
        <v>0.73913399999999996</v>
      </c>
      <c r="D79" s="139"/>
      <c r="E79" s="139"/>
      <c r="F79" s="139"/>
      <c r="G79" s="389"/>
      <c r="H79" s="389"/>
      <c r="I79" s="389"/>
      <c r="J79" s="389"/>
      <c r="K79" s="139"/>
      <c r="L79" s="139"/>
      <c r="M79" s="403"/>
      <c r="N79" s="403"/>
      <c r="O79" s="403"/>
      <c r="P79" s="403"/>
      <c r="Q79" s="403"/>
      <c r="R79" s="403"/>
      <c r="S79" s="403"/>
      <c r="T79" s="403"/>
      <c r="U79" s="403"/>
      <c r="V79" s="403"/>
      <c r="W79" s="403"/>
    </row>
    <row r="80" spans="1:23">
      <c r="A80" s="57">
        <v>36595</v>
      </c>
      <c r="B80" s="387">
        <v>68.125</v>
      </c>
      <c r="C80" s="395">
        <v>0.57605799999999996</v>
      </c>
      <c r="D80" s="139"/>
      <c r="E80" s="139"/>
      <c r="F80" s="139"/>
      <c r="G80" s="389"/>
      <c r="H80" s="389"/>
      <c r="I80" s="389"/>
      <c r="J80" s="389"/>
      <c r="K80" s="139"/>
      <c r="L80" s="139"/>
      <c r="M80" s="403"/>
      <c r="N80" s="403"/>
      <c r="O80" s="403"/>
      <c r="P80" s="403"/>
      <c r="Q80" s="403"/>
      <c r="R80" s="403"/>
      <c r="S80" s="403"/>
      <c r="T80" s="403"/>
      <c r="U80" s="403"/>
      <c r="V80" s="403"/>
      <c r="W80" s="403"/>
    </row>
    <row r="81" spans="1:23">
      <c r="A81" s="57">
        <v>36596</v>
      </c>
      <c r="B81" s="387"/>
      <c r="C81" s="395"/>
      <c r="D81" s="139"/>
      <c r="E81" s="139"/>
      <c r="F81" s="139"/>
      <c r="G81" s="389"/>
      <c r="H81" s="389"/>
      <c r="I81" s="389"/>
      <c r="J81" s="389"/>
      <c r="K81" s="139"/>
      <c r="L81" s="139"/>
      <c r="M81" s="403"/>
      <c r="N81" s="403"/>
      <c r="O81" s="403"/>
      <c r="P81" s="403"/>
      <c r="Q81" s="403"/>
      <c r="R81" s="403"/>
      <c r="S81" s="403"/>
      <c r="T81" s="403"/>
      <c r="U81" s="403"/>
      <c r="V81" s="403"/>
      <c r="W81" s="403"/>
    </row>
    <row r="82" spans="1:23">
      <c r="A82" s="57">
        <v>36597</v>
      </c>
      <c r="B82" s="387"/>
      <c r="C82" s="395"/>
      <c r="D82" s="139"/>
      <c r="E82" s="139"/>
      <c r="F82" s="139"/>
      <c r="G82" s="389"/>
      <c r="H82" s="389"/>
      <c r="I82" s="389"/>
      <c r="J82" s="389"/>
      <c r="K82" s="139"/>
      <c r="L82" s="139"/>
      <c r="M82" s="403"/>
      <c r="N82" s="403"/>
      <c r="O82" s="403"/>
      <c r="P82" s="403"/>
      <c r="Q82" s="403"/>
      <c r="R82" s="403"/>
      <c r="S82" s="403"/>
      <c r="T82" s="403"/>
      <c r="U82" s="403"/>
      <c r="V82" s="403"/>
      <c r="W82" s="403"/>
    </row>
    <row r="83" spans="1:23">
      <c r="A83" s="57">
        <v>36598</v>
      </c>
      <c r="B83" s="387">
        <v>66</v>
      </c>
      <c r="C83" s="395">
        <v>0.710032</v>
      </c>
      <c r="D83" s="139"/>
      <c r="E83" s="139"/>
      <c r="F83" s="139"/>
      <c r="G83" s="389"/>
      <c r="H83" s="389"/>
      <c r="I83" s="389"/>
      <c r="J83" s="389"/>
      <c r="K83" s="139"/>
      <c r="L83" s="139"/>
      <c r="M83" s="403"/>
      <c r="N83" s="403"/>
      <c r="O83" s="403"/>
      <c r="P83" s="403"/>
      <c r="Q83" s="403"/>
      <c r="R83" s="403"/>
      <c r="S83" s="403"/>
      <c r="T83" s="403"/>
      <c r="U83" s="403"/>
      <c r="V83" s="403"/>
      <c r="W83" s="403"/>
    </row>
    <row r="84" spans="1:23">
      <c r="A84" s="57">
        <v>36599</v>
      </c>
      <c r="B84" s="387">
        <v>65.1875</v>
      </c>
      <c r="C84" s="395">
        <v>0.76684799999999997</v>
      </c>
      <c r="D84" s="139"/>
      <c r="E84" s="139"/>
      <c r="F84" s="139"/>
      <c r="G84" s="389"/>
      <c r="H84" s="389"/>
      <c r="I84" s="389"/>
      <c r="J84" s="389"/>
      <c r="K84" s="139"/>
      <c r="L84" s="139"/>
      <c r="M84" s="403"/>
      <c r="N84" s="403"/>
      <c r="O84" s="403"/>
      <c r="P84" s="403"/>
      <c r="Q84" s="403"/>
      <c r="R84" s="403"/>
      <c r="S84" s="403"/>
      <c r="T84" s="403"/>
      <c r="U84" s="403"/>
      <c r="V84" s="403"/>
      <c r="W84" s="403"/>
    </row>
    <row r="85" spans="1:23">
      <c r="A85" s="57">
        <v>36600</v>
      </c>
      <c r="B85" s="387">
        <v>68.4375</v>
      </c>
      <c r="C85" s="395">
        <v>0.53157699999999997</v>
      </c>
      <c r="D85" s="139"/>
      <c r="E85" s="139"/>
      <c r="F85" s="139"/>
      <c r="G85" s="389"/>
      <c r="H85" s="389"/>
      <c r="I85" s="389"/>
      <c r="J85" s="389"/>
      <c r="K85" s="139"/>
      <c r="L85" s="139"/>
      <c r="M85" s="403"/>
      <c r="N85" s="403"/>
      <c r="O85" s="403"/>
      <c r="P85" s="403"/>
      <c r="Q85" s="403"/>
      <c r="R85" s="403"/>
      <c r="S85" s="403"/>
      <c r="T85" s="403"/>
      <c r="U85" s="403"/>
      <c r="V85" s="403"/>
      <c r="W85" s="403"/>
    </row>
    <row r="86" spans="1:23">
      <c r="A86" s="57">
        <v>36601</v>
      </c>
      <c r="B86" s="387">
        <v>69.4375</v>
      </c>
      <c r="C86" s="395">
        <v>0.46845599999999998</v>
      </c>
      <c r="D86" s="139"/>
      <c r="E86" s="139"/>
      <c r="F86" s="139"/>
      <c r="G86" s="389"/>
      <c r="H86" s="389"/>
      <c r="I86" s="389"/>
      <c r="J86" s="389"/>
      <c r="K86" s="139"/>
      <c r="L86" s="139"/>
      <c r="M86" s="403"/>
      <c r="N86" s="403"/>
      <c r="O86" s="403"/>
      <c r="P86" s="403"/>
      <c r="Q86" s="403"/>
      <c r="R86" s="403"/>
      <c r="S86" s="403"/>
      <c r="T86" s="403"/>
      <c r="U86" s="403"/>
      <c r="V86" s="403"/>
      <c r="W86" s="403"/>
    </row>
    <row r="87" spans="1:23">
      <c r="A87" s="57">
        <v>36602</v>
      </c>
      <c r="B87" s="387">
        <v>69.25</v>
      </c>
      <c r="C87" s="395">
        <v>0.47411199999999998</v>
      </c>
      <c r="D87" s="139"/>
      <c r="E87" s="139"/>
      <c r="F87" s="139"/>
      <c r="G87" s="389"/>
      <c r="H87" s="389"/>
      <c r="I87" s="389"/>
      <c r="J87" s="389"/>
      <c r="K87" s="139"/>
      <c r="L87" s="139"/>
      <c r="M87" s="403"/>
      <c r="N87" s="403"/>
      <c r="O87" s="403"/>
      <c r="P87" s="403"/>
      <c r="Q87" s="403"/>
      <c r="R87" s="403"/>
      <c r="S87" s="403"/>
      <c r="T87" s="403"/>
      <c r="U87" s="403"/>
      <c r="V87" s="403"/>
      <c r="W87" s="403"/>
    </row>
    <row r="88" spans="1:23">
      <c r="A88" s="57">
        <v>36603</v>
      </c>
      <c r="B88" s="387"/>
      <c r="C88" s="395"/>
      <c r="D88" s="139"/>
      <c r="E88" s="139"/>
      <c r="F88" s="139"/>
      <c r="G88" s="389"/>
      <c r="H88" s="389"/>
      <c r="I88" s="389"/>
      <c r="J88" s="389"/>
      <c r="K88" s="139"/>
      <c r="L88" s="139"/>
      <c r="M88" s="403"/>
      <c r="N88" s="403"/>
      <c r="O88" s="403"/>
      <c r="P88" s="403"/>
      <c r="Q88" s="403"/>
      <c r="R88" s="403"/>
      <c r="S88" s="403"/>
      <c r="T88" s="403"/>
      <c r="U88" s="403"/>
      <c r="V88" s="403"/>
      <c r="W88" s="403"/>
    </row>
    <row r="89" spans="1:23">
      <c r="A89" s="57">
        <v>36604</v>
      </c>
      <c r="B89" s="387"/>
      <c r="C89" s="395"/>
      <c r="D89" s="139"/>
      <c r="E89" s="139"/>
      <c r="F89" s="139"/>
      <c r="G89" s="389"/>
      <c r="H89" s="389"/>
      <c r="I89" s="389"/>
      <c r="J89" s="389"/>
      <c r="K89" s="139"/>
      <c r="L89" s="139"/>
      <c r="M89" s="403"/>
      <c r="N89" s="403"/>
      <c r="O89" s="403"/>
      <c r="P89" s="403"/>
      <c r="Q89" s="403"/>
      <c r="R89" s="403"/>
      <c r="S89" s="403"/>
      <c r="T89" s="403"/>
      <c r="U89" s="403"/>
      <c r="V89" s="403"/>
      <c r="W89" s="403"/>
    </row>
    <row r="90" spans="1:23">
      <c r="A90" s="57">
        <v>36605</v>
      </c>
      <c r="B90" s="387">
        <v>68.5625</v>
      </c>
      <c r="C90" s="395">
        <v>0.497724</v>
      </c>
      <c r="D90" s="139"/>
      <c r="E90" s="139"/>
      <c r="F90" s="139"/>
      <c r="G90" s="389"/>
      <c r="H90" s="389"/>
      <c r="I90" s="389"/>
      <c r="J90" s="389"/>
      <c r="K90" s="139"/>
      <c r="L90" s="139"/>
      <c r="M90" s="403"/>
      <c r="N90" s="403"/>
      <c r="O90" s="403"/>
      <c r="P90" s="403"/>
      <c r="Q90" s="403"/>
      <c r="R90" s="403"/>
      <c r="S90" s="403"/>
      <c r="T90" s="403"/>
      <c r="U90" s="403"/>
      <c r="V90" s="403"/>
      <c r="W90" s="403"/>
    </row>
    <row r="91" spans="1:23">
      <c r="A91" s="57">
        <v>36606</v>
      </c>
      <c r="B91" s="387">
        <v>71.75</v>
      </c>
      <c r="C91" s="395">
        <v>0.33716800000000002</v>
      </c>
      <c r="D91" s="139"/>
      <c r="E91" s="139"/>
      <c r="F91" s="139"/>
      <c r="G91" s="389"/>
      <c r="H91" s="389"/>
      <c r="I91" s="389"/>
      <c r="J91" s="389"/>
      <c r="K91" s="139"/>
      <c r="L91" s="139"/>
      <c r="M91" s="403"/>
      <c r="N91" s="403"/>
      <c r="O91" s="403"/>
      <c r="P91" s="403"/>
      <c r="Q91" s="403"/>
      <c r="R91" s="403"/>
      <c r="S91" s="403"/>
      <c r="T91" s="403"/>
      <c r="U91" s="403"/>
      <c r="V91" s="403"/>
      <c r="W91" s="403"/>
    </row>
    <row r="92" spans="1:23">
      <c r="A92" s="57">
        <v>36607</v>
      </c>
      <c r="B92" s="387">
        <v>75.0625</v>
      </c>
      <c r="C92" s="395">
        <v>0.22611100000000001</v>
      </c>
      <c r="D92" s="139"/>
      <c r="E92" s="139"/>
      <c r="F92" s="139"/>
      <c r="G92" s="389"/>
      <c r="H92" s="389"/>
      <c r="I92" s="389"/>
      <c r="J92" s="389"/>
      <c r="K92" s="139"/>
      <c r="L92" s="139"/>
      <c r="M92" s="403"/>
      <c r="N92" s="403"/>
      <c r="O92" s="403"/>
      <c r="P92" s="403"/>
      <c r="Q92" s="403"/>
      <c r="R92" s="403"/>
      <c r="S92" s="403"/>
      <c r="T92" s="403"/>
      <c r="U92" s="403"/>
      <c r="V92" s="403"/>
      <c r="W92" s="403"/>
    </row>
    <row r="93" spans="1:23">
      <c r="A93" s="57">
        <v>36608</v>
      </c>
      <c r="B93" s="387">
        <v>73.75</v>
      </c>
      <c r="C93" s="395">
        <v>0.257824</v>
      </c>
      <c r="D93" s="139"/>
      <c r="E93" s="139"/>
      <c r="F93" s="139"/>
      <c r="G93" s="389"/>
      <c r="H93" s="389"/>
      <c r="I93" s="389"/>
      <c r="J93" s="389"/>
      <c r="K93" s="139"/>
      <c r="L93" s="139"/>
      <c r="M93" s="403"/>
      <c r="N93" s="403"/>
      <c r="O93" s="403"/>
      <c r="P93" s="403"/>
      <c r="Q93" s="403"/>
      <c r="R93" s="403"/>
      <c r="S93" s="403"/>
      <c r="T93" s="403"/>
      <c r="U93" s="403"/>
      <c r="V93" s="403"/>
      <c r="W93" s="403"/>
    </row>
    <row r="94" spans="1:23">
      <c r="A94" s="57">
        <v>36609</v>
      </c>
      <c r="B94" s="387">
        <v>72</v>
      </c>
      <c r="C94" s="395">
        <v>0.31636399999999998</v>
      </c>
      <c r="D94" s="139"/>
      <c r="E94" s="139"/>
      <c r="F94" s="139"/>
      <c r="G94" s="389"/>
      <c r="H94" s="389"/>
      <c r="I94" s="389"/>
      <c r="J94" s="389"/>
      <c r="K94" s="139"/>
      <c r="L94" s="139"/>
      <c r="M94" s="403"/>
      <c r="N94" s="403"/>
      <c r="O94" s="403"/>
      <c r="P94" s="403"/>
      <c r="Q94" s="403"/>
      <c r="R94" s="403"/>
      <c r="S94" s="403"/>
      <c r="T94" s="403"/>
      <c r="U94" s="403"/>
      <c r="V94" s="403"/>
      <c r="W94" s="403"/>
    </row>
    <row r="95" spans="1:23">
      <c r="A95" s="57">
        <v>36610</v>
      </c>
      <c r="B95" s="387"/>
      <c r="C95" s="395"/>
      <c r="D95" s="139"/>
      <c r="E95" s="139"/>
      <c r="F95" s="139"/>
      <c r="G95" s="389"/>
      <c r="H95" s="389"/>
      <c r="I95" s="389"/>
      <c r="J95" s="389"/>
      <c r="K95" s="139"/>
      <c r="L95" s="139"/>
      <c r="M95" s="403"/>
      <c r="N95" s="403"/>
      <c r="O95" s="403"/>
      <c r="P95" s="403"/>
      <c r="Q95" s="403"/>
      <c r="R95" s="403"/>
      <c r="S95" s="403"/>
      <c r="T95" s="403"/>
      <c r="U95" s="403"/>
      <c r="V95" s="403"/>
      <c r="W95" s="403"/>
    </row>
    <row r="96" spans="1:23">
      <c r="A96" s="57">
        <v>36611</v>
      </c>
      <c r="B96" s="387"/>
      <c r="C96" s="395"/>
      <c r="D96" s="139"/>
      <c r="E96" s="139"/>
      <c r="F96" s="139"/>
      <c r="G96" s="389"/>
      <c r="H96" s="389"/>
      <c r="I96" s="389"/>
      <c r="J96" s="389"/>
      <c r="K96" s="139"/>
      <c r="L96" s="139"/>
      <c r="M96" s="403"/>
      <c r="N96" s="403"/>
      <c r="O96" s="403"/>
      <c r="P96" s="403"/>
      <c r="Q96" s="403"/>
      <c r="R96" s="403"/>
      <c r="S96" s="403"/>
      <c r="T96" s="403"/>
      <c r="U96" s="403"/>
      <c r="V96" s="403"/>
      <c r="W96" s="403"/>
    </row>
    <row r="97" spans="1:23">
      <c r="A97" s="57">
        <v>36612</v>
      </c>
      <c r="B97" s="387">
        <v>75.3125</v>
      </c>
      <c r="C97" s="395">
        <v>0.203843</v>
      </c>
      <c r="D97" s="139"/>
      <c r="E97" s="139"/>
      <c r="F97" s="139"/>
      <c r="G97" s="389"/>
      <c r="H97" s="389"/>
      <c r="I97" s="389"/>
      <c r="J97" s="389"/>
      <c r="K97" s="139"/>
      <c r="L97" s="139"/>
      <c r="M97" s="403"/>
      <c r="N97" s="403"/>
      <c r="O97" s="403"/>
      <c r="P97" s="403"/>
      <c r="Q97" s="403"/>
      <c r="R97" s="403"/>
      <c r="S97" s="403"/>
      <c r="T97" s="403"/>
      <c r="U97" s="403"/>
      <c r="V97" s="403"/>
      <c r="W97" s="403"/>
    </row>
    <row r="98" spans="1:23">
      <c r="A98" s="57">
        <v>36613</v>
      </c>
      <c r="B98" s="387">
        <v>72.8125</v>
      </c>
      <c r="C98" s="395">
        <v>0.27291799999999999</v>
      </c>
      <c r="D98" s="139"/>
      <c r="E98" s="139"/>
      <c r="F98" s="139"/>
      <c r="G98" s="389"/>
      <c r="H98" s="389"/>
      <c r="I98" s="389"/>
      <c r="J98" s="389"/>
      <c r="K98" s="139"/>
      <c r="L98" s="139"/>
      <c r="M98" s="403"/>
      <c r="N98" s="403"/>
      <c r="O98" s="403"/>
      <c r="P98" s="403"/>
      <c r="Q98" s="403"/>
      <c r="R98" s="403"/>
      <c r="S98" s="403"/>
      <c r="T98" s="403"/>
      <c r="U98" s="403"/>
      <c r="V98" s="403"/>
      <c r="W98" s="403"/>
    </row>
    <row r="99" spans="1:23">
      <c r="A99" s="57">
        <v>36614</v>
      </c>
      <c r="B99" s="387">
        <v>76.5</v>
      </c>
      <c r="C99" s="395">
        <v>0.17003599999999999</v>
      </c>
      <c r="D99" s="139"/>
      <c r="E99" s="139"/>
      <c r="F99" s="139"/>
      <c r="G99" s="389"/>
      <c r="H99" s="389"/>
      <c r="I99" s="389"/>
      <c r="J99" s="389"/>
      <c r="K99" s="139"/>
      <c r="L99" s="139"/>
      <c r="M99" s="403"/>
      <c r="N99" s="403"/>
      <c r="O99" s="403"/>
      <c r="P99" s="403"/>
      <c r="Q99" s="403"/>
      <c r="R99" s="403"/>
      <c r="S99" s="403"/>
      <c r="T99" s="403"/>
      <c r="U99" s="403"/>
      <c r="V99" s="403"/>
      <c r="W99" s="403"/>
    </row>
    <row r="100" spans="1:23">
      <c r="A100" s="57">
        <v>36615</v>
      </c>
      <c r="B100" s="387">
        <v>72.0625</v>
      </c>
      <c r="C100" s="395">
        <v>0.29098000000000002</v>
      </c>
      <c r="D100" s="139"/>
      <c r="E100" s="139"/>
      <c r="F100" s="139"/>
      <c r="G100" s="389"/>
      <c r="H100" s="389"/>
      <c r="I100" s="389"/>
      <c r="J100" s="389"/>
      <c r="K100" s="139"/>
      <c r="L100" s="139"/>
      <c r="M100" s="403"/>
      <c r="N100" s="403"/>
      <c r="O100" s="403"/>
      <c r="P100" s="403"/>
      <c r="Q100" s="403"/>
      <c r="R100" s="403"/>
      <c r="S100" s="403"/>
      <c r="T100" s="403"/>
      <c r="U100" s="403"/>
      <c r="V100" s="403"/>
      <c r="W100" s="403"/>
    </row>
    <row r="101" spans="1:23">
      <c r="A101" s="57">
        <v>36616</v>
      </c>
      <c r="B101" s="387">
        <v>74.875</v>
      </c>
      <c r="C101" s="395">
        <v>0.20255600000000001</v>
      </c>
      <c r="D101" s="139"/>
      <c r="E101" s="139"/>
      <c r="F101" s="139"/>
      <c r="G101" s="389"/>
      <c r="H101" s="389"/>
      <c r="I101" s="389"/>
      <c r="J101" s="389"/>
      <c r="K101" s="139"/>
      <c r="L101" s="139"/>
      <c r="M101" s="403"/>
      <c r="N101" s="403"/>
      <c r="O101" s="403"/>
      <c r="P101" s="403"/>
      <c r="Q101" s="403"/>
      <c r="R101" s="403"/>
      <c r="S101" s="403"/>
      <c r="T101" s="403"/>
      <c r="U101" s="403"/>
      <c r="V101" s="403"/>
      <c r="W101" s="403"/>
    </row>
    <row r="102" spans="1:23">
      <c r="A102" s="57">
        <v>36617</v>
      </c>
      <c r="B102" s="387"/>
      <c r="C102" s="395"/>
      <c r="D102" s="139"/>
      <c r="E102" s="139"/>
      <c r="F102" s="139"/>
      <c r="G102" s="389"/>
      <c r="H102" s="389"/>
      <c r="I102" s="389"/>
      <c r="J102" s="389"/>
      <c r="K102" s="139"/>
      <c r="L102" s="139"/>
      <c r="M102" s="403"/>
      <c r="N102" s="403"/>
      <c r="O102" s="403"/>
      <c r="P102" s="403"/>
      <c r="Q102" s="403"/>
      <c r="R102" s="403"/>
      <c r="S102" s="403"/>
      <c r="T102" s="403"/>
      <c r="U102" s="403"/>
      <c r="V102" s="403"/>
      <c r="W102" s="403"/>
    </row>
    <row r="103" spans="1:23">
      <c r="A103" s="57">
        <v>36618</v>
      </c>
      <c r="B103" s="387"/>
      <c r="C103" s="395"/>
      <c r="D103" s="139"/>
      <c r="E103" s="139"/>
      <c r="F103" s="139"/>
      <c r="G103" s="389"/>
      <c r="H103" s="389"/>
      <c r="I103" s="389"/>
      <c r="J103" s="389"/>
      <c r="K103" s="139"/>
      <c r="L103" s="139"/>
      <c r="M103" s="403"/>
      <c r="N103" s="403"/>
      <c r="O103" s="403"/>
      <c r="P103" s="403"/>
      <c r="Q103" s="403"/>
      <c r="R103" s="403"/>
      <c r="S103" s="403"/>
      <c r="T103" s="403"/>
      <c r="U103" s="403"/>
      <c r="V103" s="403"/>
      <c r="W103" s="403"/>
    </row>
    <row r="104" spans="1:23">
      <c r="A104" s="57">
        <v>36619</v>
      </c>
      <c r="B104" s="387">
        <v>73.5625</v>
      </c>
      <c r="C104" s="395">
        <v>0.22662599999999999</v>
      </c>
      <c r="D104" s="139"/>
      <c r="E104" s="139"/>
      <c r="F104" s="139"/>
      <c r="G104" s="389"/>
      <c r="H104" s="389"/>
      <c r="I104" s="389"/>
      <c r="J104" s="389"/>
      <c r="K104" s="139"/>
      <c r="L104" s="139"/>
      <c r="M104" s="403"/>
      <c r="N104" s="403"/>
      <c r="O104" s="403"/>
      <c r="P104" s="403"/>
      <c r="Q104" s="403"/>
      <c r="R104" s="403"/>
      <c r="S104" s="403"/>
      <c r="T104" s="403"/>
      <c r="U104" s="403"/>
      <c r="V104" s="403"/>
      <c r="W104" s="403"/>
    </row>
    <row r="105" spans="1:23">
      <c r="A105" s="57">
        <v>36620</v>
      </c>
      <c r="B105" s="387">
        <v>65.4375</v>
      </c>
      <c r="C105" s="395">
        <v>0.61334100000000003</v>
      </c>
      <c r="D105" s="139"/>
      <c r="E105" s="139"/>
      <c r="F105" s="139"/>
      <c r="G105" s="389"/>
      <c r="H105" s="389"/>
      <c r="I105" s="389"/>
      <c r="J105" s="389"/>
      <c r="K105" s="139"/>
      <c r="L105" s="139"/>
      <c r="M105" s="403"/>
      <c r="N105" s="403"/>
      <c r="O105" s="403"/>
      <c r="P105" s="403"/>
      <c r="Q105" s="403"/>
      <c r="R105" s="403"/>
      <c r="S105" s="403"/>
      <c r="T105" s="403"/>
      <c r="U105" s="403"/>
      <c r="V105" s="403"/>
      <c r="W105" s="403"/>
    </row>
    <row r="106" spans="1:23">
      <c r="A106" s="57">
        <v>36621</v>
      </c>
      <c r="B106" s="387">
        <v>66.5625</v>
      </c>
      <c r="C106" s="395">
        <v>0.52694300000000005</v>
      </c>
      <c r="D106" s="139"/>
      <c r="E106" s="139"/>
      <c r="F106" s="139"/>
      <c r="G106" s="389"/>
      <c r="H106" s="389"/>
      <c r="I106" s="389"/>
      <c r="J106" s="389"/>
      <c r="K106" s="139"/>
      <c r="L106" s="139"/>
      <c r="M106" s="403"/>
      <c r="N106" s="403"/>
      <c r="O106" s="403"/>
      <c r="P106" s="403"/>
      <c r="Q106" s="403"/>
      <c r="R106" s="403"/>
      <c r="S106" s="403"/>
      <c r="T106" s="403"/>
      <c r="U106" s="403"/>
      <c r="V106" s="403"/>
      <c r="W106" s="403"/>
    </row>
    <row r="107" spans="1:23">
      <c r="A107" s="57">
        <v>36622</v>
      </c>
      <c r="B107" s="387">
        <v>67.9375</v>
      </c>
      <c r="C107" s="395">
        <v>0.44261600000000001</v>
      </c>
      <c r="D107" s="139"/>
      <c r="E107" s="139"/>
      <c r="F107" s="139"/>
      <c r="G107" s="389"/>
      <c r="H107" s="389"/>
      <c r="I107" s="389"/>
      <c r="J107" s="389"/>
      <c r="K107" s="139"/>
      <c r="L107" s="139"/>
      <c r="M107" s="403"/>
      <c r="N107" s="403"/>
      <c r="O107" s="403"/>
      <c r="P107" s="403"/>
      <c r="Q107" s="403"/>
      <c r="R107" s="403"/>
      <c r="S107" s="403"/>
      <c r="T107" s="403"/>
      <c r="U107" s="403"/>
      <c r="V107" s="403"/>
      <c r="W107" s="403"/>
    </row>
    <row r="108" spans="1:23">
      <c r="A108" s="57">
        <v>36623</v>
      </c>
      <c r="B108" s="387">
        <v>71.5</v>
      </c>
      <c r="C108" s="395">
        <v>0.27872400000000003</v>
      </c>
      <c r="D108" s="139"/>
      <c r="E108" s="139"/>
      <c r="F108" s="139"/>
      <c r="G108" s="389"/>
      <c r="H108" s="389"/>
      <c r="I108" s="389"/>
      <c r="J108" s="389"/>
      <c r="K108" s="139"/>
      <c r="L108" s="139"/>
      <c r="M108" s="403"/>
      <c r="N108" s="403"/>
      <c r="O108" s="403"/>
      <c r="P108" s="403"/>
      <c r="Q108" s="403"/>
      <c r="R108" s="403"/>
      <c r="S108" s="403"/>
      <c r="T108" s="403"/>
      <c r="U108" s="403"/>
      <c r="V108" s="403"/>
      <c r="W108" s="403"/>
    </row>
    <row r="109" spans="1:23">
      <c r="A109" s="57">
        <v>36624</v>
      </c>
      <c r="B109" s="387"/>
      <c r="C109" s="395"/>
      <c r="D109" s="139"/>
      <c r="E109" s="139"/>
      <c r="F109" s="139"/>
      <c r="G109" s="389"/>
      <c r="H109" s="389"/>
      <c r="I109" s="389"/>
      <c r="J109" s="389"/>
      <c r="K109" s="139"/>
      <c r="L109" s="139"/>
      <c r="M109" s="403"/>
      <c r="N109" s="403"/>
      <c r="O109" s="403"/>
      <c r="P109" s="403"/>
      <c r="Q109" s="403"/>
      <c r="R109" s="403"/>
      <c r="S109" s="403"/>
      <c r="T109" s="403"/>
      <c r="U109" s="403"/>
      <c r="V109" s="403"/>
      <c r="W109" s="403"/>
    </row>
    <row r="110" spans="1:23">
      <c r="A110" s="57">
        <v>36625</v>
      </c>
      <c r="B110" s="387"/>
      <c r="C110" s="395"/>
      <c r="D110" s="139"/>
      <c r="E110" s="139"/>
      <c r="F110" s="139"/>
      <c r="G110" s="389"/>
      <c r="H110" s="389"/>
      <c r="I110" s="389"/>
      <c r="J110" s="389"/>
      <c r="K110" s="139"/>
      <c r="L110" s="139"/>
      <c r="M110" s="403"/>
      <c r="N110" s="403"/>
      <c r="O110" s="403"/>
      <c r="P110" s="403"/>
      <c r="Q110" s="403"/>
      <c r="R110" s="403"/>
      <c r="S110" s="403"/>
      <c r="T110" s="403"/>
      <c r="U110" s="403"/>
      <c r="V110" s="403"/>
      <c r="W110" s="403"/>
    </row>
    <row r="111" spans="1:23">
      <c r="A111" s="57">
        <v>36626</v>
      </c>
      <c r="B111" s="387">
        <v>70.25</v>
      </c>
      <c r="C111" s="395">
        <v>0.31057699999999999</v>
      </c>
      <c r="D111" s="139"/>
      <c r="E111" s="139"/>
      <c r="F111" s="139"/>
      <c r="G111" s="389"/>
      <c r="H111" s="389"/>
      <c r="I111" s="389"/>
      <c r="J111" s="389"/>
      <c r="K111" s="139"/>
      <c r="L111" s="139"/>
      <c r="M111" s="403"/>
      <c r="N111" s="403"/>
      <c r="O111" s="403"/>
      <c r="P111" s="403"/>
      <c r="Q111" s="403"/>
      <c r="R111" s="403"/>
      <c r="S111" s="403"/>
      <c r="T111" s="403"/>
      <c r="U111" s="403"/>
      <c r="V111" s="403"/>
      <c r="W111" s="403"/>
    </row>
    <row r="112" spans="1:23">
      <c r="A112" s="57">
        <v>36627</v>
      </c>
      <c r="B112" s="387">
        <v>69.125</v>
      </c>
      <c r="C112" s="395">
        <v>0.35659299999999999</v>
      </c>
      <c r="D112" s="139"/>
      <c r="E112" s="139"/>
      <c r="F112" s="139"/>
      <c r="G112" s="389"/>
      <c r="H112" s="389"/>
      <c r="I112" s="389"/>
      <c r="J112" s="389"/>
      <c r="K112" s="139"/>
      <c r="L112" s="139"/>
      <c r="M112" s="403"/>
      <c r="N112" s="403"/>
      <c r="O112" s="403"/>
      <c r="P112" s="403"/>
      <c r="Q112" s="403"/>
      <c r="R112" s="403"/>
      <c r="S112" s="403"/>
      <c r="T112" s="403"/>
      <c r="U112" s="403"/>
      <c r="V112" s="403"/>
      <c r="W112" s="403"/>
    </row>
    <row r="113" spans="1:23">
      <c r="A113" s="57">
        <v>36628</v>
      </c>
      <c r="B113" s="387">
        <v>71.125</v>
      </c>
      <c r="C113" s="395">
        <v>0.27179900000000001</v>
      </c>
      <c r="D113" s="139"/>
      <c r="E113" s="139"/>
      <c r="F113" s="139"/>
      <c r="G113" s="389"/>
      <c r="H113" s="389"/>
      <c r="I113" s="389"/>
      <c r="J113" s="389"/>
      <c r="K113" s="139"/>
      <c r="L113" s="139"/>
      <c r="M113" s="403"/>
      <c r="N113" s="403"/>
      <c r="O113" s="403"/>
      <c r="P113" s="403"/>
      <c r="Q113" s="403"/>
      <c r="R113" s="403"/>
      <c r="S113" s="403"/>
      <c r="T113" s="403"/>
      <c r="U113" s="403"/>
      <c r="V113" s="403"/>
      <c r="W113" s="403"/>
    </row>
    <row r="114" spans="1:23">
      <c r="A114" s="57">
        <v>36629</v>
      </c>
      <c r="B114" s="387">
        <v>73.8125</v>
      </c>
      <c r="C114" s="395">
        <v>0.187805</v>
      </c>
      <c r="D114" s="139"/>
      <c r="E114" s="139"/>
      <c r="F114" s="139"/>
      <c r="G114" s="389"/>
      <c r="H114" s="389"/>
      <c r="I114" s="389"/>
      <c r="J114" s="389"/>
      <c r="K114" s="139"/>
      <c r="L114" s="139"/>
      <c r="M114" s="403"/>
      <c r="N114" s="403"/>
      <c r="O114" s="403"/>
      <c r="P114" s="403"/>
      <c r="Q114" s="403"/>
      <c r="R114" s="403"/>
      <c r="S114" s="403"/>
      <c r="T114" s="403"/>
      <c r="U114" s="403"/>
      <c r="V114" s="403"/>
      <c r="W114" s="403"/>
    </row>
    <row r="115" spans="1:23">
      <c r="A115" s="57">
        <v>36630</v>
      </c>
      <c r="B115" s="387">
        <v>69</v>
      </c>
      <c r="C115" s="395">
        <v>0.34811999999999999</v>
      </c>
      <c r="D115" s="139"/>
      <c r="E115" s="139"/>
      <c r="F115" s="139"/>
      <c r="G115" s="389"/>
      <c r="H115" s="389"/>
      <c r="I115" s="389"/>
      <c r="J115" s="389"/>
      <c r="K115" s="139"/>
      <c r="L115" s="139"/>
      <c r="M115" s="403"/>
      <c r="N115" s="403"/>
      <c r="O115" s="403"/>
      <c r="P115" s="403"/>
      <c r="Q115" s="403"/>
      <c r="R115" s="403"/>
      <c r="S115" s="403"/>
      <c r="T115" s="403"/>
      <c r="U115" s="403"/>
      <c r="V115" s="403"/>
      <c r="W115" s="403"/>
    </row>
    <row r="116" spans="1:23">
      <c r="A116" s="57">
        <v>36631</v>
      </c>
      <c r="B116" s="387"/>
      <c r="C116" s="395"/>
      <c r="D116" s="139"/>
      <c r="E116" s="139"/>
      <c r="F116" s="139"/>
      <c r="G116" s="389"/>
      <c r="H116" s="389"/>
      <c r="I116" s="389"/>
      <c r="J116" s="389"/>
      <c r="K116" s="139"/>
      <c r="L116" s="139"/>
      <c r="M116" s="403"/>
      <c r="N116" s="403"/>
      <c r="O116" s="403"/>
      <c r="P116" s="403"/>
      <c r="Q116" s="403"/>
      <c r="R116" s="403"/>
      <c r="S116" s="403"/>
      <c r="T116" s="403"/>
      <c r="U116" s="403"/>
      <c r="V116" s="403"/>
      <c r="W116" s="403"/>
    </row>
    <row r="117" spans="1:23">
      <c r="A117" s="57">
        <v>36632</v>
      </c>
      <c r="B117" s="387"/>
      <c r="C117" s="395"/>
      <c r="D117" s="139"/>
      <c r="E117" s="139"/>
      <c r="F117" s="139"/>
      <c r="G117" s="389"/>
      <c r="H117" s="389"/>
      <c r="I117" s="389"/>
      <c r="J117" s="389"/>
      <c r="K117" s="139"/>
      <c r="L117" s="139"/>
      <c r="M117" s="403"/>
      <c r="N117" s="403"/>
      <c r="O117" s="403"/>
      <c r="P117" s="403"/>
      <c r="Q117" s="403"/>
      <c r="R117" s="403"/>
      <c r="S117" s="403"/>
      <c r="T117" s="403"/>
      <c r="U117" s="403"/>
      <c r="V117" s="403"/>
      <c r="W117" s="403"/>
    </row>
    <row r="118" spans="1:23">
      <c r="A118" s="57">
        <v>36633</v>
      </c>
      <c r="B118" s="387">
        <v>66.75</v>
      </c>
      <c r="C118" s="395"/>
      <c r="D118" s="139"/>
      <c r="E118" s="139"/>
      <c r="F118" s="139"/>
      <c r="G118" s="389"/>
      <c r="H118" s="389"/>
      <c r="I118" s="389"/>
      <c r="J118" s="389"/>
      <c r="K118" s="139"/>
      <c r="L118" s="139"/>
      <c r="M118" s="403"/>
      <c r="N118" s="403"/>
      <c r="O118" s="403"/>
      <c r="P118" s="403"/>
      <c r="Q118" s="403"/>
      <c r="R118" s="403"/>
      <c r="S118" s="403"/>
      <c r="T118" s="403"/>
      <c r="U118" s="403"/>
      <c r="V118" s="403"/>
      <c r="W118" s="403"/>
    </row>
    <row r="119" spans="1:23">
      <c r="A119" s="57">
        <v>36634</v>
      </c>
      <c r="B119" s="387">
        <v>68</v>
      </c>
      <c r="C119" s="395"/>
      <c r="D119" s="139"/>
      <c r="E119" s="139"/>
      <c r="F119" s="139"/>
      <c r="G119" s="389"/>
      <c r="H119" s="389"/>
      <c r="I119" s="389"/>
      <c r="J119" s="389"/>
      <c r="K119" s="139"/>
      <c r="L119" s="139"/>
      <c r="M119" s="403"/>
      <c r="N119" s="403"/>
      <c r="O119" s="403"/>
      <c r="P119" s="403"/>
      <c r="Q119" s="403"/>
      <c r="R119" s="403"/>
      <c r="S119" s="403"/>
      <c r="T119" s="403"/>
      <c r="U119" s="403"/>
      <c r="V119" s="403"/>
      <c r="W119" s="403"/>
    </row>
    <row r="120" spans="1:23">
      <c r="A120" s="57">
        <v>36635</v>
      </c>
      <c r="B120" s="387">
        <v>70.5</v>
      </c>
      <c r="C120" s="395"/>
      <c r="D120" s="139"/>
      <c r="E120" s="139"/>
      <c r="F120" s="139"/>
      <c r="G120" s="389"/>
      <c r="H120" s="389"/>
      <c r="I120" s="389"/>
      <c r="J120" s="389"/>
      <c r="K120" s="139"/>
      <c r="L120" s="139"/>
      <c r="M120" s="403"/>
      <c r="N120" s="403"/>
      <c r="O120" s="403"/>
      <c r="P120" s="403"/>
      <c r="Q120" s="403"/>
      <c r="R120" s="403"/>
      <c r="S120" s="403"/>
      <c r="T120" s="403"/>
      <c r="U120" s="403"/>
      <c r="V120" s="403"/>
      <c r="W120" s="403"/>
    </row>
    <row r="121" spans="1:23">
      <c r="A121" s="57">
        <v>36636</v>
      </c>
      <c r="B121" s="387">
        <v>71</v>
      </c>
      <c r="C121" s="395"/>
      <c r="D121" s="139"/>
      <c r="E121" s="139"/>
      <c r="F121" s="139"/>
      <c r="G121" s="389"/>
      <c r="H121" s="389"/>
      <c r="I121" s="389"/>
      <c r="J121" s="389"/>
      <c r="K121" s="139"/>
      <c r="L121" s="139"/>
      <c r="M121" s="403"/>
      <c r="N121" s="403"/>
      <c r="O121" s="403"/>
      <c r="P121" s="403"/>
      <c r="Q121" s="403"/>
      <c r="R121" s="403"/>
      <c r="S121" s="403"/>
      <c r="T121" s="403"/>
      <c r="U121" s="403"/>
      <c r="V121" s="403"/>
      <c r="W121" s="403"/>
    </row>
    <row r="122" spans="1:23">
      <c r="A122" s="57">
        <v>36637</v>
      </c>
      <c r="B122" s="387"/>
      <c r="C122" s="395"/>
      <c r="D122" s="139"/>
      <c r="E122" s="139"/>
      <c r="F122" s="139"/>
      <c r="G122" s="389"/>
      <c r="H122" s="389"/>
      <c r="I122" s="389"/>
      <c r="J122" s="389"/>
      <c r="K122" s="139"/>
      <c r="L122" s="139"/>
      <c r="M122" s="403"/>
      <c r="N122" s="403"/>
      <c r="O122" s="403"/>
      <c r="P122" s="403"/>
      <c r="Q122" s="403"/>
      <c r="R122" s="403"/>
      <c r="S122" s="403"/>
      <c r="T122" s="403"/>
      <c r="U122" s="403"/>
      <c r="V122" s="403"/>
      <c r="W122" s="403"/>
    </row>
    <row r="123" spans="1:23">
      <c r="A123" s="57">
        <v>36638</v>
      </c>
      <c r="B123" s="387"/>
      <c r="C123" s="395"/>
      <c r="D123" s="139"/>
      <c r="E123" s="139"/>
      <c r="F123" s="139"/>
      <c r="G123" s="389"/>
      <c r="H123" s="389"/>
      <c r="I123" s="389"/>
      <c r="J123" s="389"/>
      <c r="K123" s="139"/>
      <c r="L123" s="139"/>
      <c r="M123" s="403"/>
      <c r="N123" s="403"/>
      <c r="O123" s="403"/>
      <c r="P123" s="403"/>
      <c r="Q123" s="403"/>
      <c r="R123" s="403"/>
      <c r="S123" s="403"/>
      <c r="T123" s="403"/>
      <c r="U123" s="403"/>
      <c r="V123" s="403"/>
      <c r="W123" s="403"/>
    </row>
    <row r="124" spans="1:23">
      <c r="A124" s="57">
        <v>36639</v>
      </c>
      <c r="B124" s="387"/>
      <c r="C124" s="395"/>
      <c r="D124" s="139"/>
      <c r="E124" s="139"/>
      <c r="F124" s="139"/>
      <c r="G124" s="389"/>
      <c r="H124" s="389"/>
      <c r="I124" s="389"/>
      <c r="J124" s="389"/>
      <c r="K124" s="139"/>
      <c r="L124" s="139"/>
      <c r="M124" s="403"/>
      <c r="N124" s="403"/>
      <c r="O124" s="403"/>
      <c r="P124" s="403"/>
      <c r="Q124" s="403"/>
      <c r="R124" s="403"/>
      <c r="S124" s="403"/>
      <c r="T124" s="403"/>
      <c r="U124" s="403"/>
      <c r="V124" s="403"/>
      <c r="W124" s="403"/>
    </row>
    <row r="125" spans="1:23">
      <c r="A125" s="57">
        <v>36640</v>
      </c>
      <c r="B125" s="387">
        <v>70.5</v>
      </c>
      <c r="C125" s="395"/>
      <c r="D125" s="139"/>
      <c r="E125" s="139"/>
      <c r="F125" s="139"/>
      <c r="G125" s="389"/>
      <c r="H125" s="389"/>
      <c r="I125" s="389"/>
      <c r="J125" s="389"/>
      <c r="K125" s="139"/>
      <c r="L125" s="139"/>
      <c r="M125" s="403"/>
      <c r="N125" s="403"/>
      <c r="O125" s="403"/>
      <c r="P125" s="403"/>
      <c r="Q125" s="403"/>
      <c r="R125" s="403"/>
      <c r="S125" s="403"/>
      <c r="T125" s="403"/>
      <c r="U125" s="403"/>
      <c r="V125" s="403"/>
      <c r="W125" s="403"/>
    </row>
    <row r="126" spans="1:23">
      <c r="A126" s="57">
        <v>36641</v>
      </c>
      <c r="B126" s="387">
        <v>73.75</v>
      </c>
      <c r="C126" s="395"/>
      <c r="D126" s="139"/>
      <c r="E126" s="139"/>
      <c r="F126" s="139"/>
      <c r="G126" s="389"/>
      <c r="H126" s="389"/>
      <c r="I126" s="389"/>
      <c r="J126" s="389"/>
      <c r="K126" s="139"/>
      <c r="L126" s="139"/>
      <c r="M126" s="403"/>
      <c r="N126" s="403"/>
      <c r="O126" s="403"/>
      <c r="P126" s="403"/>
      <c r="Q126" s="403"/>
      <c r="R126" s="403"/>
      <c r="S126" s="403"/>
      <c r="T126" s="403"/>
      <c r="U126" s="403"/>
      <c r="V126" s="403"/>
      <c r="W126" s="403"/>
    </row>
    <row r="127" spans="1:23">
      <c r="A127" s="57">
        <v>36642</v>
      </c>
      <c r="B127" s="387">
        <v>72.9375</v>
      </c>
      <c r="C127" s="395"/>
      <c r="D127" s="139"/>
      <c r="E127" s="139"/>
      <c r="F127" s="139"/>
      <c r="G127" s="389"/>
      <c r="H127" s="389"/>
      <c r="I127" s="389"/>
      <c r="J127" s="389"/>
      <c r="K127" s="139"/>
      <c r="L127" s="139"/>
      <c r="M127" s="403"/>
      <c r="N127" s="403"/>
      <c r="O127" s="403"/>
      <c r="P127" s="403"/>
      <c r="Q127" s="403"/>
      <c r="R127" s="403"/>
      <c r="S127" s="403"/>
      <c r="T127" s="403"/>
      <c r="U127" s="403"/>
      <c r="V127" s="403"/>
      <c r="W127" s="403"/>
    </row>
    <row r="128" spans="1:23">
      <c r="A128" s="57">
        <v>36643</v>
      </c>
      <c r="B128" s="387">
        <v>71.9375</v>
      </c>
      <c r="C128" s="395"/>
      <c r="D128" s="139"/>
      <c r="E128" s="139"/>
      <c r="F128" s="139"/>
      <c r="G128" s="389"/>
      <c r="H128" s="389"/>
      <c r="I128" s="389"/>
      <c r="J128" s="389"/>
      <c r="K128" s="139"/>
      <c r="L128" s="139"/>
      <c r="M128" s="403"/>
      <c r="N128" s="403"/>
      <c r="O128" s="403"/>
      <c r="P128" s="403"/>
      <c r="Q128" s="403"/>
      <c r="R128" s="403"/>
      <c r="S128" s="403"/>
      <c r="T128" s="403"/>
      <c r="U128" s="403"/>
      <c r="V128" s="403"/>
      <c r="W128" s="403"/>
    </row>
    <row r="129" spans="1:23">
      <c r="A129" s="57">
        <v>36644</v>
      </c>
      <c r="B129" s="387">
        <v>69.6875</v>
      </c>
      <c r="C129" s="395"/>
      <c r="D129" s="139"/>
      <c r="E129" s="139"/>
      <c r="F129" s="139"/>
      <c r="G129" s="389"/>
      <c r="H129" s="389"/>
      <c r="I129" s="389"/>
      <c r="J129" s="389"/>
      <c r="K129" s="139"/>
      <c r="L129" s="139"/>
      <c r="M129" s="403"/>
      <c r="N129" s="403"/>
      <c r="O129" s="403"/>
      <c r="P129" s="403"/>
      <c r="Q129" s="403"/>
      <c r="R129" s="403"/>
      <c r="S129" s="403"/>
      <c r="T129" s="403"/>
      <c r="U129" s="403"/>
      <c r="V129" s="403"/>
      <c r="W129" s="403"/>
    </row>
    <row r="130" spans="1:23">
      <c r="A130" s="57">
        <v>36645</v>
      </c>
      <c r="B130" s="387"/>
      <c r="C130" s="395"/>
      <c r="D130" s="139"/>
      <c r="E130" s="139"/>
      <c r="F130" s="139"/>
      <c r="G130" s="389"/>
      <c r="H130" s="389"/>
      <c r="I130" s="389"/>
      <c r="J130" s="389"/>
      <c r="K130" s="139"/>
      <c r="L130" s="139"/>
      <c r="M130" s="403"/>
      <c r="N130" s="403"/>
      <c r="O130" s="403"/>
      <c r="P130" s="403"/>
      <c r="Q130" s="403"/>
      <c r="R130" s="403"/>
      <c r="S130" s="403"/>
      <c r="T130" s="403"/>
      <c r="U130" s="403"/>
      <c r="V130" s="403"/>
      <c r="W130" s="403"/>
    </row>
    <row r="131" spans="1:23">
      <c r="A131" s="57">
        <v>36646</v>
      </c>
      <c r="B131" s="387"/>
      <c r="C131" s="395"/>
      <c r="D131" s="139"/>
      <c r="E131" s="139"/>
      <c r="F131" s="139"/>
      <c r="G131" s="389"/>
      <c r="H131" s="389"/>
      <c r="I131" s="389"/>
      <c r="J131" s="389"/>
      <c r="K131" s="139"/>
      <c r="L131" s="139"/>
      <c r="M131" s="403"/>
      <c r="N131" s="403"/>
      <c r="O131" s="403"/>
      <c r="P131" s="403"/>
      <c r="Q131" s="403"/>
      <c r="R131" s="403"/>
      <c r="S131" s="403"/>
      <c r="T131" s="403"/>
      <c r="U131" s="403"/>
      <c r="V131" s="403"/>
      <c r="W131" s="403"/>
    </row>
    <row r="132" spans="1:23">
      <c r="A132" s="57">
        <v>36647</v>
      </c>
      <c r="B132" s="387">
        <v>72.3125</v>
      </c>
      <c r="C132" s="395"/>
      <c r="D132" s="139"/>
      <c r="E132" s="139"/>
      <c r="F132" s="139"/>
      <c r="G132" s="389"/>
      <c r="H132" s="389"/>
      <c r="I132" s="389"/>
      <c r="J132" s="389"/>
      <c r="K132" s="139"/>
      <c r="L132" s="139"/>
      <c r="M132" s="403"/>
      <c r="N132" s="403"/>
      <c r="O132" s="403"/>
      <c r="P132" s="403"/>
      <c r="Q132" s="403"/>
      <c r="R132" s="403"/>
      <c r="S132" s="403"/>
      <c r="T132" s="403"/>
      <c r="U132" s="403"/>
      <c r="V132" s="403"/>
      <c r="W132" s="403"/>
    </row>
    <row r="133" spans="1:23">
      <c r="A133" s="57">
        <v>36648</v>
      </c>
      <c r="B133" s="387">
        <v>76</v>
      </c>
      <c r="C133" s="395"/>
      <c r="D133" s="139"/>
      <c r="E133" s="139"/>
      <c r="F133" s="139"/>
      <c r="G133" s="389"/>
      <c r="H133" s="389"/>
      <c r="I133" s="389"/>
      <c r="J133" s="389"/>
      <c r="K133" s="139"/>
      <c r="L133" s="139"/>
      <c r="M133" s="403"/>
      <c r="N133" s="403"/>
      <c r="O133" s="403"/>
      <c r="P133" s="403"/>
      <c r="Q133" s="403"/>
      <c r="R133" s="403"/>
      <c r="S133" s="403"/>
      <c r="T133" s="403"/>
      <c r="U133" s="403"/>
      <c r="V133" s="403"/>
      <c r="W133" s="403"/>
    </row>
    <row r="134" spans="1:23">
      <c r="A134" s="57">
        <v>36649</v>
      </c>
      <c r="B134" s="387">
        <v>74.625</v>
      </c>
      <c r="C134" s="395"/>
      <c r="D134" s="139"/>
      <c r="E134" s="139"/>
      <c r="F134" s="139"/>
      <c r="G134" s="389"/>
      <c r="H134" s="389"/>
      <c r="I134" s="389"/>
      <c r="J134" s="389"/>
      <c r="K134" s="139"/>
      <c r="L134" s="139"/>
      <c r="M134" s="403"/>
      <c r="N134" s="403"/>
      <c r="O134" s="403"/>
      <c r="P134" s="403"/>
      <c r="Q134" s="403"/>
      <c r="R134" s="403"/>
      <c r="S134" s="403"/>
      <c r="T134" s="403"/>
      <c r="U134" s="403"/>
      <c r="V134" s="403"/>
      <c r="W134" s="403"/>
    </row>
    <row r="135" spans="1:23">
      <c r="A135" s="57">
        <v>36650</v>
      </c>
      <c r="B135" s="387">
        <v>74.375</v>
      </c>
      <c r="C135" s="395"/>
      <c r="D135" s="139"/>
      <c r="E135" s="139"/>
      <c r="F135" s="139"/>
      <c r="G135" s="389"/>
      <c r="H135" s="389"/>
      <c r="I135" s="389"/>
      <c r="J135" s="389"/>
      <c r="K135" s="139"/>
      <c r="L135" s="139"/>
      <c r="M135" s="403"/>
      <c r="N135" s="403"/>
      <c r="O135" s="403"/>
      <c r="P135" s="403"/>
      <c r="Q135" s="403"/>
      <c r="R135" s="403"/>
      <c r="S135" s="403"/>
      <c r="T135" s="403"/>
      <c r="U135" s="403"/>
      <c r="V135" s="403"/>
      <c r="W135" s="403"/>
    </row>
    <row r="136" spans="1:23">
      <c r="A136" s="57">
        <v>36651</v>
      </c>
      <c r="B136" s="387">
        <v>74.25</v>
      </c>
      <c r="C136" s="395"/>
      <c r="D136" s="139"/>
      <c r="E136" s="139"/>
      <c r="F136" s="139"/>
      <c r="G136" s="389"/>
      <c r="H136" s="389"/>
      <c r="I136" s="389"/>
      <c r="J136" s="389"/>
      <c r="K136" s="139"/>
      <c r="L136" s="139"/>
      <c r="M136" s="403"/>
      <c r="N136" s="403"/>
      <c r="O136" s="403"/>
      <c r="P136" s="403"/>
      <c r="Q136" s="403"/>
      <c r="R136" s="403"/>
      <c r="S136" s="403"/>
      <c r="T136" s="403"/>
      <c r="U136" s="403"/>
      <c r="V136" s="403"/>
      <c r="W136" s="403"/>
    </row>
    <row r="137" spans="1:23">
      <c r="A137" s="57">
        <v>36652</v>
      </c>
      <c r="B137" s="387"/>
      <c r="C137" s="395"/>
      <c r="D137" s="139"/>
      <c r="E137" s="139"/>
      <c r="F137" s="139"/>
      <c r="G137" s="389"/>
      <c r="H137" s="389"/>
      <c r="I137" s="389"/>
      <c r="J137" s="389"/>
      <c r="K137" s="139"/>
      <c r="L137" s="139"/>
      <c r="M137" s="403"/>
      <c r="N137" s="403"/>
      <c r="O137" s="403"/>
      <c r="P137" s="403"/>
      <c r="Q137" s="403"/>
      <c r="R137" s="403"/>
      <c r="S137" s="403"/>
      <c r="T137" s="403"/>
      <c r="U137" s="403"/>
      <c r="V137" s="403"/>
      <c r="W137" s="403"/>
    </row>
    <row r="138" spans="1:23">
      <c r="A138" s="57">
        <v>36653</v>
      </c>
      <c r="B138" s="387"/>
      <c r="C138" s="395"/>
      <c r="D138" s="139"/>
      <c r="E138" s="139"/>
      <c r="F138" s="139"/>
      <c r="G138" s="389"/>
      <c r="H138" s="389"/>
      <c r="I138" s="389"/>
      <c r="J138" s="389"/>
      <c r="K138" s="139"/>
      <c r="L138" s="139"/>
      <c r="M138" s="403"/>
      <c r="N138" s="403"/>
      <c r="O138" s="403"/>
      <c r="P138" s="403"/>
      <c r="Q138" s="403"/>
      <c r="R138" s="403"/>
      <c r="S138" s="403"/>
      <c r="T138" s="403"/>
      <c r="U138" s="403"/>
      <c r="V138" s="403"/>
      <c r="W138" s="403"/>
    </row>
    <row r="139" spans="1:23">
      <c r="A139" s="57">
        <v>36654</v>
      </c>
      <c r="B139" s="387">
        <v>75.125</v>
      </c>
      <c r="C139" s="395"/>
      <c r="D139" s="139"/>
      <c r="E139" s="139"/>
      <c r="F139" s="139"/>
      <c r="G139" s="389"/>
      <c r="H139" s="389"/>
      <c r="I139" s="389"/>
      <c r="J139" s="389"/>
      <c r="K139" s="139"/>
      <c r="L139" s="139"/>
      <c r="M139" s="403"/>
      <c r="N139" s="403"/>
      <c r="O139" s="403"/>
      <c r="P139" s="403"/>
      <c r="Q139" s="403"/>
      <c r="R139" s="403"/>
      <c r="S139" s="403"/>
      <c r="T139" s="403"/>
      <c r="U139" s="403"/>
      <c r="V139" s="403"/>
      <c r="W139" s="403"/>
    </row>
    <row r="140" spans="1:23">
      <c r="A140" s="57">
        <v>36655</v>
      </c>
      <c r="B140" s="387">
        <v>72.5625</v>
      </c>
      <c r="C140" s="395"/>
      <c r="D140" s="139"/>
      <c r="E140" s="139"/>
      <c r="F140" s="139"/>
      <c r="G140" s="389"/>
      <c r="H140" s="389"/>
      <c r="I140" s="389"/>
      <c r="J140" s="389"/>
      <c r="K140" s="139"/>
      <c r="L140" s="139"/>
      <c r="M140" s="403"/>
      <c r="N140" s="403"/>
      <c r="O140" s="403"/>
      <c r="P140" s="403"/>
      <c r="Q140" s="403"/>
      <c r="R140" s="403"/>
      <c r="S140" s="403"/>
      <c r="T140" s="403"/>
      <c r="U140" s="403"/>
      <c r="V140" s="403"/>
      <c r="W140" s="403"/>
    </row>
    <row r="141" spans="1:23">
      <c r="A141" s="57">
        <v>36656</v>
      </c>
      <c r="B141" s="387">
        <v>74.75</v>
      </c>
      <c r="C141" s="395"/>
      <c r="D141" s="139"/>
      <c r="E141" s="139"/>
      <c r="F141" s="139"/>
      <c r="G141" s="389"/>
      <c r="H141" s="389"/>
      <c r="I141" s="389"/>
      <c r="J141" s="389"/>
      <c r="K141" s="139"/>
      <c r="L141" s="139"/>
      <c r="M141" s="403"/>
      <c r="N141" s="403"/>
      <c r="O141" s="403"/>
      <c r="P141" s="403"/>
      <c r="Q141" s="403"/>
      <c r="R141" s="403"/>
      <c r="S141" s="403"/>
      <c r="T141" s="403"/>
      <c r="U141" s="403"/>
      <c r="V141" s="403"/>
      <c r="W141" s="403"/>
    </row>
    <row r="142" spans="1:23">
      <c r="A142" s="57">
        <v>36657</v>
      </c>
      <c r="B142" s="387">
        <v>77</v>
      </c>
      <c r="C142" s="395"/>
      <c r="D142" s="139"/>
      <c r="E142" s="139"/>
      <c r="F142" s="139"/>
      <c r="G142" s="389"/>
      <c r="H142" s="389"/>
      <c r="I142" s="389"/>
      <c r="J142" s="389"/>
      <c r="K142" s="139"/>
      <c r="L142" s="139"/>
      <c r="M142" s="403"/>
      <c r="N142" s="403"/>
      <c r="O142" s="403"/>
      <c r="P142" s="403"/>
      <c r="Q142" s="403"/>
      <c r="R142" s="403"/>
      <c r="S142" s="403"/>
      <c r="T142" s="403"/>
      <c r="U142" s="403"/>
      <c r="V142" s="403"/>
      <c r="W142" s="403"/>
    </row>
    <row r="143" spans="1:23">
      <c r="A143" s="57">
        <v>36658</v>
      </c>
      <c r="B143" s="387">
        <v>75.5625</v>
      </c>
      <c r="C143" s="395"/>
      <c r="D143" s="139"/>
      <c r="E143" s="139"/>
      <c r="F143" s="139"/>
      <c r="G143" s="389"/>
      <c r="H143" s="389"/>
      <c r="I143" s="389"/>
      <c r="J143" s="389"/>
      <c r="K143" s="139"/>
      <c r="L143" s="139"/>
      <c r="M143" s="403"/>
      <c r="N143" s="403"/>
      <c r="O143" s="403"/>
      <c r="P143" s="403"/>
      <c r="Q143" s="403"/>
      <c r="R143" s="403"/>
      <c r="S143" s="403"/>
      <c r="T143" s="403"/>
      <c r="U143" s="403"/>
      <c r="V143" s="403"/>
      <c r="W143" s="403"/>
    </row>
    <row r="144" spans="1:23">
      <c r="A144" s="57">
        <v>36659</v>
      </c>
      <c r="B144" s="387"/>
      <c r="C144" s="395"/>
      <c r="D144" s="139"/>
      <c r="E144" s="139"/>
      <c r="F144" s="139"/>
      <c r="G144" s="389"/>
      <c r="H144" s="389"/>
      <c r="I144" s="389"/>
      <c r="J144" s="389"/>
      <c r="K144" s="139"/>
      <c r="L144" s="139"/>
      <c r="M144" s="403"/>
      <c r="N144" s="403"/>
      <c r="O144" s="403"/>
      <c r="P144" s="403"/>
      <c r="Q144" s="403"/>
      <c r="R144" s="403"/>
      <c r="S144" s="403"/>
      <c r="T144" s="403"/>
      <c r="U144" s="403"/>
      <c r="V144" s="403"/>
      <c r="W144" s="403"/>
    </row>
    <row r="145" spans="1:23">
      <c r="A145" s="57">
        <v>36660</v>
      </c>
      <c r="B145" s="387"/>
      <c r="C145" s="395"/>
      <c r="D145" s="139"/>
      <c r="E145" s="139"/>
      <c r="F145" s="139"/>
      <c r="G145" s="389"/>
      <c r="H145" s="389"/>
      <c r="I145" s="389"/>
      <c r="J145" s="389"/>
      <c r="K145" s="139"/>
      <c r="L145" s="139"/>
      <c r="M145" s="403"/>
      <c r="N145" s="403"/>
      <c r="O145" s="403"/>
      <c r="P145" s="403"/>
      <c r="Q145" s="403"/>
      <c r="R145" s="403"/>
      <c r="S145" s="403"/>
      <c r="T145" s="403"/>
      <c r="U145" s="403"/>
      <c r="V145" s="403"/>
      <c r="W145" s="403"/>
    </row>
    <row r="146" spans="1:23">
      <c r="A146" s="57">
        <v>36661</v>
      </c>
      <c r="B146" s="387">
        <v>76.9375</v>
      </c>
      <c r="C146" s="395"/>
      <c r="D146" s="139"/>
      <c r="E146" s="139"/>
      <c r="F146" s="139"/>
      <c r="G146" s="389"/>
      <c r="H146" s="389"/>
      <c r="I146" s="389"/>
      <c r="J146" s="389"/>
      <c r="K146" s="139"/>
      <c r="L146" s="139"/>
      <c r="M146" s="403"/>
      <c r="N146" s="403"/>
      <c r="O146" s="403"/>
      <c r="P146" s="403"/>
      <c r="Q146" s="403"/>
      <c r="R146" s="403"/>
      <c r="S146" s="403"/>
      <c r="T146" s="403"/>
      <c r="U146" s="403"/>
      <c r="V146" s="403"/>
      <c r="W146" s="403"/>
    </row>
    <row r="147" spans="1:23">
      <c r="A147" s="57">
        <v>36662</v>
      </c>
      <c r="B147" s="387">
        <v>77.875</v>
      </c>
      <c r="C147" s="395"/>
      <c r="D147" s="139"/>
      <c r="E147" s="139"/>
      <c r="F147" s="139"/>
      <c r="G147" s="389"/>
      <c r="H147" s="389"/>
      <c r="I147" s="389"/>
      <c r="J147" s="389"/>
      <c r="K147" s="139"/>
      <c r="L147" s="139"/>
      <c r="M147" s="403"/>
      <c r="N147" s="403"/>
      <c r="O147" s="403"/>
      <c r="P147" s="403"/>
      <c r="Q147" s="403"/>
      <c r="R147" s="403"/>
      <c r="S147" s="403"/>
      <c r="T147" s="403"/>
      <c r="U147" s="403"/>
      <c r="V147" s="403"/>
      <c r="W147" s="403"/>
    </row>
    <row r="148" spans="1:23">
      <c r="A148" s="57">
        <v>36663</v>
      </c>
      <c r="B148" s="387">
        <v>77.5</v>
      </c>
      <c r="C148" s="395"/>
      <c r="D148" s="139"/>
      <c r="E148" s="139"/>
      <c r="F148" s="139"/>
      <c r="G148" s="389"/>
      <c r="H148" s="389"/>
      <c r="I148" s="389"/>
      <c r="J148" s="389"/>
      <c r="K148" s="139"/>
      <c r="L148" s="139"/>
      <c r="M148" s="403"/>
      <c r="N148" s="403"/>
      <c r="O148" s="403"/>
      <c r="P148" s="403"/>
      <c r="Q148" s="403"/>
      <c r="R148" s="403"/>
      <c r="S148" s="403"/>
      <c r="T148" s="403"/>
      <c r="U148" s="403"/>
      <c r="V148" s="403"/>
      <c r="W148" s="403"/>
    </row>
    <row r="149" spans="1:23">
      <c r="A149" s="57">
        <v>36664</v>
      </c>
      <c r="B149" s="387">
        <v>77.125</v>
      </c>
      <c r="C149" s="395"/>
      <c r="D149" s="139"/>
      <c r="E149" s="139"/>
      <c r="F149" s="139"/>
      <c r="G149" s="389"/>
      <c r="H149" s="389"/>
      <c r="I149" s="389"/>
      <c r="J149" s="389"/>
      <c r="K149" s="139"/>
      <c r="L149" s="139"/>
      <c r="M149" s="403"/>
      <c r="N149" s="403"/>
      <c r="O149" s="403"/>
      <c r="P149" s="403"/>
      <c r="Q149" s="403"/>
      <c r="R149" s="403"/>
      <c r="S149" s="403"/>
      <c r="T149" s="403"/>
      <c r="U149" s="403"/>
      <c r="V149" s="403"/>
      <c r="W149" s="403"/>
    </row>
    <row r="150" spans="1:23">
      <c r="A150" s="57">
        <v>36665</v>
      </c>
      <c r="B150" s="387">
        <v>76.625</v>
      </c>
      <c r="C150" s="395"/>
      <c r="D150" s="139"/>
      <c r="E150" s="139"/>
      <c r="F150" s="139"/>
      <c r="G150" s="389"/>
      <c r="H150" s="389"/>
      <c r="I150" s="389"/>
      <c r="J150" s="389"/>
      <c r="K150" s="139"/>
      <c r="L150" s="139"/>
      <c r="M150" s="403"/>
      <c r="N150" s="403"/>
      <c r="O150" s="403"/>
      <c r="P150" s="403"/>
      <c r="Q150" s="403"/>
      <c r="R150" s="403"/>
      <c r="S150" s="403"/>
      <c r="T150" s="403"/>
      <c r="U150" s="403"/>
      <c r="V150" s="403"/>
      <c r="W150" s="403"/>
    </row>
    <row r="151" spans="1:23">
      <c r="A151" s="57">
        <v>36666</v>
      </c>
      <c r="B151" s="387"/>
      <c r="C151" s="395"/>
      <c r="D151" s="139"/>
      <c r="E151" s="139"/>
      <c r="F151" s="139"/>
      <c r="G151" s="389"/>
      <c r="H151" s="389"/>
      <c r="I151" s="389"/>
      <c r="J151" s="389"/>
      <c r="K151" s="139"/>
      <c r="L151" s="139"/>
      <c r="M151" s="403"/>
      <c r="N151" s="403"/>
      <c r="O151" s="403"/>
      <c r="P151" s="403"/>
      <c r="Q151" s="403"/>
      <c r="R151" s="403"/>
      <c r="S151" s="403"/>
      <c r="T151" s="403"/>
      <c r="U151" s="403"/>
      <c r="V151" s="403"/>
      <c r="W151" s="403"/>
    </row>
    <row r="152" spans="1:23">
      <c r="A152" s="57">
        <v>36667</v>
      </c>
      <c r="B152" s="387"/>
      <c r="C152" s="395"/>
      <c r="D152" s="139"/>
      <c r="E152" s="139"/>
      <c r="F152" s="139"/>
      <c r="G152" s="389"/>
      <c r="H152" s="389"/>
      <c r="I152" s="389"/>
      <c r="J152" s="389"/>
      <c r="K152" s="139"/>
      <c r="L152" s="139"/>
      <c r="M152" s="403"/>
      <c r="N152" s="403"/>
      <c r="O152" s="403"/>
      <c r="P152" s="403"/>
      <c r="Q152" s="403"/>
      <c r="R152" s="403"/>
      <c r="S152" s="403"/>
      <c r="T152" s="403"/>
      <c r="U152" s="403"/>
      <c r="V152" s="403"/>
      <c r="W152" s="403"/>
    </row>
    <row r="153" spans="1:23">
      <c r="A153" s="57">
        <v>36668</v>
      </c>
      <c r="B153" s="387">
        <v>73.25</v>
      </c>
      <c r="C153" s="395"/>
      <c r="D153" s="139"/>
      <c r="E153" s="139"/>
      <c r="F153" s="139"/>
      <c r="G153" s="389"/>
      <c r="H153" s="389"/>
      <c r="I153" s="389"/>
      <c r="J153" s="389"/>
      <c r="K153" s="139"/>
      <c r="L153" s="139"/>
      <c r="M153" s="403"/>
      <c r="N153" s="403"/>
      <c r="O153" s="403"/>
      <c r="P153" s="403"/>
      <c r="Q153" s="403"/>
      <c r="R153" s="403"/>
      <c r="S153" s="403"/>
      <c r="T153" s="403"/>
      <c r="U153" s="403"/>
      <c r="V153" s="403"/>
      <c r="W153" s="403"/>
    </row>
    <row r="154" spans="1:23">
      <c r="A154" s="57">
        <v>36669</v>
      </c>
      <c r="B154" s="387">
        <v>69.875</v>
      </c>
      <c r="C154" s="395"/>
      <c r="D154" s="139"/>
      <c r="E154" s="139"/>
      <c r="F154" s="139"/>
      <c r="G154" s="389"/>
      <c r="H154" s="389"/>
      <c r="I154" s="389"/>
      <c r="J154" s="389"/>
      <c r="K154" s="139"/>
      <c r="L154" s="139"/>
      <c r="M154" s="403"/>
      <c r="N154" s="403"/>
      <c r="O154" s="403"/>
      <c r="P154" s="403"/>
      <c r="Q154" s="403"/>
      <c r="R154" s="403"/>
      <c r="S154" s="403"/>
      <c r="T154" s="403"/>
      <c r="U154" s="403"/>
      <c r="V154" s="403"/>
      <c r="W154" s="403"/>
    </row>
    <row r="155" spans="1:23">
      <c r="A155" s="57">
        <v>36670</v>
      </c>
      <c r="B155" s="387">
        <v>67.4375</v>
      </c>
      <c r="C155" s="395"/>
      <c r="D155" s="139"/>
      <c r="E155" s="139"/>
      <c r="F155" s="139"/>
      <c r="G155" s="389"/>
      <c r="H155" s="389"/>
      <c r="I155" s="389"/>
      <c r="J155" s="389"/>
      <c r="K155" s="139"/>
      <c r="L155" s="139"/>
      <c r="M155" s="403"/>
      <c r="N155" s="403"/>
      <c r="O155" s="403"/>
      <c r="P155" s="403"/>
      <c r="Q155" s="403"/>
      <c r="R155" s="403"/>
      <c r="S155" s="403"/>
      <c r="T155" s="403"/>
      <c r="U155" s="403"/>
      <c r="V155" s="403"/>
      <c r="W155" s="403"/>
    </row>
    <row r="156" spans="1:23">
      <c r="A156" s="57">
        <v>36671</v>
      </c>
      <c r="B156" s="387">
        <v>69.9375</v>
      </c>
      <c r="C156" s="395"/>
      <c r="D156" s="139"/>
      <c r="E156" s="139"/>
      <c r="F156" s="139"/>
      <c r="G156" s="389"/>
      <c r="H156" s="389"/>
      <c r="I156" s="389"/>
      <c r="J156" s="389"/>
      <c r="K156" s="139"/>
      <c r="L156" s="139"/>
      <c r="M156" s="403"/>
      <c r="N156" s="403"/>
      <c r="O156" s="403"/>
      <c r="P156" s="403"/>
      <c r="Q156" s="403"/>
      <c r="R156" s="403"/>
      <c r="S156" s="403"/>
      <c r="T156" s="403"/>
      <c r="U156" s="403"/>
      <c r="V156" s="403"/>
      <c r="W156" s="403"/>
    </row>
    <row r="157" spans="1:23">
      <c r="A157" s="57">
        <v>36672</v>
      </c>
      <c r="B157" s="387">
        <v>69.9375</v>
      </c>
      <c r="C157" s="395"/>
      <c r="D157" s="139"/>
      <c r="E157" s="139"/>
      <c r="F157" s="139"/>
      <c r="G157" s="389"/>
      <c r="H157" s="389"/>
      <c r="I157" s="389"/>
      <c r="J157" s="389"/>
      <c r="K157" s="139"/>
      <c r="L157" s="139"/>
      <c r="M157" s="403"/>
      <c r="N157" s="403"/>
      <c r="O157" s="403"/>
      <c r="P157" s="403"/>
      <c r="Q157" s="403"/>
      <c r="R157" s="403"/>
      <c r="S157" s="403"/>
      <c r="T157" s="403"/>
      <c r="U157" s="403"/>
      <c r="V157" s="403"/>
      <c r="W157" s="403"/>
    </row>
    <row r="158" spans="1:23">
      <c r="A158" s="57">
        <v>36673</v>
      </c>
      <c r="B158" s="387"/>
      <c r="C158" s="395"/>
      <c r="D158" s="139"/>
      <c r="E158" s="139"/>
      <c r="F158" s="139"/>
      <c r="G158" s="389"/>
      <c r="H158" s="389"/>
      <c r="I158" s="389"/>
      <c r="J158" s="389"/>
      <c r="K158" s="139"/>
      <c r="L158" s="139"/>
      <c r="M158" s="403"/>
      <c r="N158" s="403"/>
      <c r="O158" s="403"/>
      <c r="P158" s="403"/>
      <c r="Q158" s="403"/>
      <c r="R158" s="403"/>
      <c r="S158" s="403"/>
      <c r="T158" s="403"/>
      <c r="U158" s="403"/>
      <c r="V158" s="403"/>
      <c r="W158" s="403"/>
    </row>
    <row r="159" spans="1:23">
      <c r="A159" s="57">
        <v>36674</v>
      </c>
      <c r="B159" s="387"/>
      <c r="C159" s="395"/>
      <c r="D159" s="139"/>
      <c r="E159" s="139"/>
      <c r="F159" s="139"/>
      <c r="G159" s="389"/>
      <c r="H159" s="389"/>
      <c r="I159" s="389"/>
      <c r="J159" s="389"/>
      <c r="K159" s="139"/>
      <c r="L159" s="139"/>
      <c r="M159" s="403"/>
      <c r="N159" s="403"/>
      <c r="O159" s="403"/>
      <c r="P159" s="403"/>
      <c r="Q159" s="403"/>
      <c r="R159" s="403"/>
      <c r="S159" s="403"/>
      <c r="T159" s="403"/>
      <c r="U159" s="403"/>
      <c r="V159" s="403"/>
      <c r="W159" s="403"/>
    </row>
    <row r="160" spans="1:23">
      <c r="A160" s="57">
        <v>36675</v>
      </c>
      <c r="B160" s="387"/>
      <c r="C160" s="395"/>
      <c r="D160" s="139"/>
      <c r="E160" s="139"/>
      <c r="F160" s="139"/>
      <c r="G160" s="389"/>
      <c r="H160" s="389"/>
      <c r="I160" s="389"/>
      <c r="J160" s="389"/>
      <c r="K160" s="139"/>
      <c r="L160" s="139"/>
      <c r="M160" s="403"/>
      <c r="N160" s="403"/>
      <c r="O160" s="403"/>
      <c r="P160" s="403"/>
      <c r="Q160" s="403"/>
      <c r="R160" s="403"/>
      <c r="S160" s="403"/>
      <c r="T160" s="403"/>
      <c r="U160" s="403"/>
      <c r="V160" s="403"/>
      <c r="W160" s="403"/>
    </row>
    <row r="161" spans="1:23">
      <c r="A161" s="57">
        <v>36676</v>
      </c>
      <c r="B161" s="387">
        <v>69.75</v>
      </c>
      <c r="C161" s="395"/>
      <c r="D161" s="139"/>
      <c r="E161" s="139"/>
      <c r="F161" s="139"/>
      <c r="G161" s="389"/>
      <c r="H161" s="389"/>
      <c r="I161" s="389"/>
      <c r="J161" s="389"/>
      <c r="K161" s="139"/>
      <c r="L161" s="139"/>
      <c r="M161" s="403"/>
      <c r="N161" s="403"/>
      <c r="O161" s="403"/>
      <c r="P161" s="403"/>
      <c r="Q161" s="403"/>
      <c r="R161" s="403"/>
      <c r="S161" s="403"/>
      <c r="T161" s="403"/>
      <c r="U161" s="403"/>
      <c r="V161" s="403"/>
      <c r="W161" s="403"/>
    </row>
    <row r="162" spans="1:23">
      <c r="A162" s="57">
        <v>36677</v>
      </c>
      <c r="B162" s="387">
        <v>72.875</v>
      </c>
      <c r="C162" s="395"/>
      <c r="D162" s="139"/>
      <c r="E162" s="139"/>
      <c r="F162" s="139"/>
      <c r="G162" s="389"/>
      <c r="H162" s="389"/>
      <c r="I162" s="389"/>
      <c r="J162" s="389"/>
      <c r="K162" s="139"/>
      <c r="L162" s="139"/>
      <c r="M162" s="403"/>
      <c r="N162" s="403"/>
      <c r="O162" s="403"/>
      <c r="P162" s="403"/>
      <c r="Q162" s="403"/>
      <c r="R162" s="403"/>
      <c r="S162" s="403"/>
      <c r="T162" s="403"/>
      <c r="U162" s="403"/>
      <c r="V162" s="403"/>
      <c r="W162" s="403"/>
    </row>
    <row r="163" spans="1:23">
      <c r="A163" s="57">
        <v>36678</v>
      </c>
      <c r="B163" s="387">
        <v>71.125</v>
      </c>
      <c r="C163" s="395"/>
      <c r="D163" s="139"/>
      <c r="E163" s="139"/>
      <c r="F163" s="139"/>
      <c r="G163" s="389"/>
      <c r="H163" s="389"/>
      <c r="I163" s="389"/>
      <c r="J163" s="389"/>
      <c r="K163" s="139"/>
      <c r="L163" s="139"/>
      <c r="M163" s="403"/>
      <c r="N163" s="403"/>
      <c r="O163" s="403"/>
      <c r="P163" s="403"/>
      <c r="Q163" s="403"/>
      <c r="R163" s="403"/>
      <c r="S163" s="403"/>
      <c r="T163" s="403"/>
      <c r="U163" s="403"/>
      <c r="V163" s="403"/>
      <c r="W163" s="403"/>
    </row>
    <row r="164" spans="1:23">
      <c r="A164" s="57">
        <v>36679</v>
      </c>
      <c r="B164" s="387">
        <v>69.5</v>
      </c>
      <c r="C164" s="395"/>
      <c r="D164" s="139"/>
      <c r="E164" s="139"/>
      <c r="F164" s="139"/>
      <c r="G164" s="389"/>
      <c r="H164" s="389"/>
      <c r="I164" s="389"/>
      <c r="J164" s="389"/>
      <c r="K164" s="139"/>
      <c r="L164" s="139"/>
      <c r="M164" s="403"/>
      <c r="N164" s="403"/>
      <c r="O164" s="403"/>
      <c r="P164" s="403"/>
      <c r="Q164" s="403"/>
      <c r="R164" s="403"/>
      <c r="S164" s="403"/>
      <c r="T164" s="403"/>
      <c r="U164" s="403"/>
      <c r="V164" s="403"/>
      <c r="W164" s="403"/>
    </row>
    <row r="165" spans="1:23">
      <c r="A165" s="57">
        <v>36680</v>
      </c>
      <c r="B165" s="387"/>
      <c r="C165" s="395"/>
      <c r="D165" s="139"/>
      <c r="E165" s="139"/>
      <c r="F165" s="139"/>
      <c r="G165" s="389"/>
      <c r="H165" s="389"/>
      <c r="I165" s="389"/>
      <c r="J165" s="389"/>
      <c r="K165" s="139"/>
      <c r="L165" s="139"/>
      <c r="M165" s="403"/>
      <c r="N165" s="403"/>
      <c r="O165" s="403"/>
      <c r="P165" s="403"/>
      <c r="Q165" s="403"/>
      <c r="R165" s="403"/>
      <c r="S165" s="403"/>
      <c r="T165" s="403"/>
      <c r="U165" s="403"/>
      <c r="V165" s="403"/>
      <c r="W165" s="403"/>
    </row>
    <row r="166" spans="1:23">
      <c r="A166" s="57">
        <v>36681</v>
      </c>
      <c r="B166" s="387"/>
      <c r="C166" s="395"/>
      <c r="D166" s="139"/>
      <c r="E166" s="139"/>
      <c r="F166" s="139"/>
      <c r="G166" s="389"/>
      <c r="H166" s="389"/>
      <c r="I166" s="389"/>
      <c r="J166" s="389"/>
      <c r="K166" s="139"/>
      <c r="L166" s="139"/>
      <c r="M166" s="403"/>
      <c r="N166" s="403"/>
      <c r="O166" s="403"/>
      <c r="P166" s="403"/>
      <c r="Q166" s="403"/>
      <c r="R166" s="403"/>
      <c r="S166" s="403"/>
      <c r="T166" s="403"/>
      <c r="U166" s="403"/>
      <c r="V166" s="403"/>
      <c r="W166" s="403"/>
    </row>
    <row r="167" spans="1:23">
      <c r="A167" s="57">
        <v>36682</v>
      </c>
      <c r="B167" s="387">
        <v>66</v>
      </c>
      <c r="C167" s="395"/>
      <c r="D167" s="139"/>
      <c r="E167" s="139"/>
      <c r="F167" s="139"/>
      <c r="G167" s="389"/>
      <c r="H167" s="389"/>
      <c r="I167" s="389"/>
      <c r="J167" s="389"/>
      <c r="K167" s="139"/>
      <c r="L167" s="139"/>
      <c r="M167" s="403"/>
      <c r="N167" s="403"/>
      <c r="O167" s="403"/>
      <c r="P167" s="403"/>
      <c r="Q167" s="403"/>
      <c r="R167" s="403"/>
      <c r="S167" s="403"/>
      <c r="T167" s="403"/>
      <c r="U167" s="403"/>
      <c r="V167" s="403"/>
      <c r="W167" s="403"/>
    </row>
    <row r="168" spans="1:23">
      <c r="A168" s="57">
        <v>36683</v>
      </c>
      <c r="B168" s="387">
        <v>70.1875</v>
      </c>
      <c r="C168" s="395"/>
      <c r="D168" s="139"/>
      <c r="E168" s="139"/>
      <c r="F168" s="139"/>
      <c r="G168" s="389"/>
      <c r="H168" s="389"/>
      <c r="I168" s="389"/>
      <c r="J168" s="389"/>
      <c r="K168" s="139"/>
      <c r="L168" s="139"/>
      <c r="M168" s="403"/>
      <c r="N168" s="403"/>
      <c r="O168" s="403"/>
      <c r="P168" s="403"/>
      <c r="Q168" s="403"/>
      <c r="R168" s="403"/>
      <c r="S168" s="403"/>
      <c r="T168" s="403"/>
      <c r="U168" s="403"/>
      <c r="V168" s="403"/>
      <c r="W168" s="403"/>
    </row>
    <row r="169" spans="1:23">
      <c r="A169" s="57">
        <v>36684</v>
      </c>
      <c r="B169" s="387">
        <v>71.375</v>
      </c>
      <c r="C169" s="395"/>
      <c r="D169" s="139"/>
      <c r="E169" s="139"/>
      <c r="F169" s="139"/>
      <c r="G169" s="389"/>
      <c r="H169" s="389"/>
      <c r="I169" s="389"/>
      <c r="J169" s="389"/>
      <c r="K169" s="139"/>
      <c r="L169" s="139"/>
      <c r="M169" s="403"/>
      <c r="N169" s="403"/>
      <c r="O169" s="403"/>
      <c r="P169" s="403"/>
      <c r="Q169" s="403"/>
      <c r="R169" s="403"/>
      <c r="S169" s="403"/>
      <c r="T169" s="403"/>
      <c r="U169" s="403"/>
      <c r="V169" s="403"/>
      <c r="W169" s="403"/>
    </row>
    <row r="170" spans="1:23">
      <c r="A170" s="57">
        <v>36685</v>
      </c>
      <c r="B170" s="387">
        <v>73.0625</v>
      </c>
      <c r="C170" s="395"/>
      <c r="D170" s="139"/>
      <c r="E170" s="139"/>
      <c r="F170" s="139"/>
      <c r="G170" s="389"/>
      <c r="H170" s="389"/>
      <c r="I170" s="389"/>
      <c r="J170" s="389"/>
      <c r="K170" s="139"/>
      <c r="L170" s="139"/>
      <c r="M170" s="403"/>
      <c r="N170" s="403"/>
      <c r="O170" s="403"/>
      <c r="P170" s="403"/>
      <c r="Q170" s="403"/>
      <c r="R170" s="403"/>
      <c r="S170" s="403"/>
      <c r="T170" s="403"/>
      <c r="U170" s="403"/>
      <c r="V170" s="403"/>
      <c r="W170" s="403"/>
    </row>
    <row r="171" spans="1:23">
      <c r="A171" s="57">
        <v>36686</v>
      </c>
      <c r="B171" s="387">
        <v>71.5</v>
      </c>
      <c r="C171" s="395"/>
      <c r="D171" s="139"/>
      <c r="E171" s="139"/>
      <c r="F171" s="139"/>
      <c r="G171" s="389"/>
      <c r="H171" s="389"/>
      <c r="I171" s="389"/>
      <c r="J171" s="389"/>
      <c r="K171" s="139"/>
      <c r="L171" s="139"/>
      <c r="M171" s="403"/>
      <c r="N171" s="403"/>
      <c r="O171" s="403"/>
      <c r="P171" s="403"/>
      <c r="Q171" s="403"/>
      <c r="R171" s="403"/>
      <c r="S171" s="403"/>
      <c r="T171" s="403"/>
      <c r="U171" s="403"/>
      <c r="V171" s="403"/>
      <c r="W171" s="403"/>
    </row>
    <row r="172" spans="1:23">
      <c r="A172" s="57">
        <v>36687</v>
      </c>
      <c r="B172" s="387"/>
      <c r="C172" s="395"/>
      <c r="D172" s="139"/>
      <c r="E172" s="139"/>
      <c r="F172" s="139"/>
      <c r="G172" s="389"/>
      <c r="H172" s="389"/>
      <c r="I172" s="389"/>
      <c r="J172" s="389"/>
      <c r="K172" s="139"/>
      <c r="L172" s="139"/>
      <c r="M172" s="403"/>
      <c r="N172" s="403"/>
      <c r="O172" s="403"/>
      <c r="P172" s="403"/>
      <c r="Q172" s="403"/>
      <c r="R172" s="403"/>
      <c r="S172" s="403"/>
      <c r="T172" s="403"/>
      <c r="U172" s="403"/>
      <c r="V172" s="403"/>
      <c r="W172" s="403"/>
    </row>
    <row r="173" spans="1:23">
      <c r="A173" s="57">
        <v>36688</v>
      </c>
      <c r="B173" s="387"/>
      <c r="C173" s="395"/>
      <c r="D173" s="139"/>
      <c r="E173" s="139"/>
      <c r="F173" s="139"/>
      <c r="G173" s="389"/>
      <c r="H173" s="389"/>
      <c r="I173" s="389"/>
      <c r="J173" s="389"/>
      <c r="K173" s="139"/>
      <c r="L173" s="139"/>
      <c r="M173" s="403"/>
      <c r="N173" s="403"/>
      <c r="O173" s="403"/>
      <c r="P173" s="403"/>
      <c r="Q173" s="403"/>
      <c r="R173" s="403"/>
      <c r="S173" s="403"/>
      <c r="T173" s="403"/>
      <c r="U173" s="403"/>
      <c r="V173" s="403"/>
      <c r="W173" s="403"/>
    </row>
    <row r="174" spans="1:23">
      <c r="A174" s="57">
        <v>36689</v>
      </c>
      <c r="B174" s="387">
        <v>73.25</v>
      </c>
      <c r="C174" s="395"/>
      <c r="D174" s="139"/>
      <c r="E174" s="139"/>
      <c r="F174" s="139"/>
      <c r="G174" s="389"/>
      <c r="H174" s="389"/>
      <c r="I174" s="389"/>
      <c r="J174" s="389"/>
      <c r="K174" s="139"/>
      <c r="L174" s="139"/>
      <c r="M174" s="403"/>
      <c r="N174" s="403"/>
      <c r="O174" s="403"/>
      <c r="P174" s="403"/>
      <c r="Q174" s="403"/>
      <c r="R174" s="403"/>
      <c r="S174" s="403"/>
      <c r="T174" s="403"/>
      <c r="U174" s="403"/>
      <c r="V174" s="403"/>
      <c r="W174" s="403"/>
    </row>
    <row r="175" spans="1:23">
      <c r="A175" s="57">
        <v>36690</v>
      </c>
      <c r="B175" s="387">
        <v>74</v>
      </c>
      <c r="C175" s="395"/>
      <c r="D175" s="139"/>
      <c r="E175" s="139"/>
      <c r="F175" s="139"/>
      <c r="G175" s="389"/>
      <c r="H175" s="389"/>
      <c r="I175" s="389"/>
      <c r="J175" s="389"/>
      <c r="K175" s="139"/>
      <c r="L175" s="139"/>
      <c r="M175" s="403"/>
      <c r="N175" s="403"/>
      <c r="O175" s="403"/>
      <c r="P175" s="403"/>
      <c r="Q175" s="403"/>
      <c r="R175" s="403"/>
      <c r="S175" s="403"/>
      <c r="T175" s="403"/>
      <c r="U175" s="403"/>
      <c r="V175" s="403"/>
      <c r="W175" s="403"/>
    </row>
    <row r="176" spans="1:23">
      <c r="A176" s="57">
        <v>36691</v>
      </c>
      <c r="B176" s="387">
        <v>72</v>
      </c>
      <c r="C176" s="395"/>
      <c r="D176" s="139"/>
      <c r="E176" s="139"/>
      <c r="F176" s="139"/>
      <c r="G176" s="389"/>
      <c r="H176" s="389"/>
      <c r="I176" s="389"/>
      <c r="J176" s="389"/>
      <c r="K176" s="139"/>
      <c r="L176" s="139"/>
      <c r="M176" s="403"/>
      <c r="N176" s="403"/>
      <c r="O176" s="403"/>
      <c r="P176" s="403"/>
      <c r="Q176" s="403"/>
      <c r="R176" s="403"/>
      <c r="S176" s="403"/>
      <c r="T176" s="403"/>
      <c r="U176" s="403"/>
      <c r="V176" s="403"/>
      <c r="W176" s="403"/>
    </row>
    <row r="177" spans="1:23">
      <c r="A177" s="57">
        <v>36692</v>
      </c>
      <c r="B177" s="387">
        <v>71.25</v>
      </c>
      <c r="C177" s="395"/>
      <c r="D177" s="139"/>
      <c r="E177" s="139"/>
      <c r="F177" s="139"/>
      <c r="G177" s="389"/>
      <c r="H177" s="389"/>
      <c r="I177" s="389"/>
      <c r="J177" s="389"/>
      <c r="K177" s="139"/>
      <c r="L177" s="139"/>
      <c r="M177" s="403"/>
      <c r="N177" s="403"/>
      <c r="O177" s="403"/>
      <c r="P177" s="403"/>
      <c r="Q177" s="403"/>
      <c r="R177" s="403"/>
      <c r="S177" s="403"/>
      <c r="T177" s="403"/>
      <c r="U177" s="403"/>
      <c r="V177" s="403"/>
      <c r="W177" s="403"/>
    </row>
    <row r="178" spans="1:23">
      <c r="A178" s="57">
        <v>36693</v>
      </c>
      <c r="B178" s="387">
        <v>71.625</v>
      </c>
      <c r="C178" s="395"/>
      <c r="D178" s="139"/>
      <c r="E178" s="139"/>
      <c r="F178" s="139"/>
      <c r="G178" s="389"/>
      <c r="H178" s="389"/>
      <c r="I178" s="389"/>
      <c r="J178" s="389"/>
      <c r="K178" s="139"/>
      <c r="L178" s="139"/>
      <c r="M178" s="403"/>
      <c r="N178" s="403"/>
      <c r="O178" s="403"/>
      <c r="P178" s="403"/>
      <c r="Q178" s="403"/>
      <c r="R178" s="403"/>
      <c r="S178" s="403"/>
      <c r="T178" s="403"/>
      <c r="U178" s="403"/>
      <c r="V178" s="403"/>
      <c r="W178" s="403"/>
    </row>
    <row r="179" spans="1:23">
      <c r="A179" s="57">
        <v>36694</v>
      </c>
      <c r="B179" s="387"/>
      <c r="C179" s="395"/>
      <c r="D179" s="139"/>
      <c r="E179" s="139"/>
      <c r="F179" s="139"/>
      <c r="G179" s="389"/>
      <c r="H179" s="389"/>
      <c r="I179" s="389"/>
      <c r="J179" s="389"/>
      <c r="K179" s="139"/>
      <c r="L179" s="139"/>
      <c r="M179" s="403"/>
      <c r="N179" s="403"/>
      <c r="O179" s="403"/>
      <c r="P179" s="403"/>
      <c r="Q179" s="403"/>
      <c r="R179" s="403"/>
      <c r="S179" s="403"/>
      <c r="T179" s="403"/>
      <c r="U179" s="403"/>
      <c r="V179" s="403"/>
      <c r="W179" s="403"/>
    </row>
    <row r="180" spans="1:23">
      <c r="A180" s="57">
        <v>36695</v>
      </c>
      <c r="B180" s="387"/>
      <c r="C180" s="395"/>
      <c r="D180" s="139"/>
      <c r="E180" s="139"/>
      <c r="F180" s="139"/>
      <c r="G180" s="389"/>
      <c r="H180" s="389"/>
      <c r="I180" s="389"/>
      <c r="J180" s="389"/>
      <c r="K180" s="139"/>
      <c r="L180" s="139"/>
      <c r="M180" s="403"/>
      <c r="N180" s="403"/>
      <c r="O180" s="403"/>
      <c r="P180" s="403"/>
      <c r="Q180" s="403"/>
      <c r="R180" s="403"/>
      <c r="S180" s="403"/>
      <c r="T180" s="403"/>
      <c r="U180" s="403"/>
      <c r="V180" s="403"/>
      <c r="W180" s="403"/>
    </row>
    <row r="181" spans="1:23">
      <c r="A181" s="57">
        <v>36696</v>
      </c>
      <c r="B181" s="387">
        <v>71.0625</v>
      </c>
      <c r="C181" s="395"/>
      <c r="D181" s="139"/>
      <c r="E181" s="139"/>
      <c r="F181" s="139"/>
      <c r="G181" s="389"/>
      <c r="H181" s="389"/>
      <c r="I181" s="389"/>
      <c r="J181" s="389"/>
      <c r="K181" s="139"/>
      <c r="L181" s="139"/>
      <c r="M181" s="403"/>
      <c r="N181" s="403"/>
      <c r="O181" s="403"/>
      <c r="P181" s="403"/>
      <c r="Q181" s="403"/>
      <c r="R181" s="403"/>
      <c r="S181" s="403"/>
      <c r="T181" s="403"/>
      <c r="U181" s="403"/>
      <c r="V181" s="403"/>
      <c r="W181" s="403"/>
    </row>
    <row r="182" spans="1:23">
      <c r="A182" s="57">
        <v>36697</v>
      </c>
      <c r="B182" s="387">
        <v>72.6875</v>
      </c>
      <c r="C182" s="395"/>
      <c r="D182" s="139"/>
      <c r="E182" s="139"/>
      <c r="F182" s="139"/>
      <c r="G182" s="389"/>
      <c r="H182" s="389"/>
      <c r="I182" s="389"/>
      <c r="J182" s="389"/>
      <c r="K182" s="139"/>
      <c r="L182" s="139"/>
      <c r="M182" s="403"/>
      <c r="N182" s="403"/>
      <c r="O182" s="403"/>
      <c r="P182" s="403"/>
      <c r="Q182" s="403"/>
      <c r="R182" s="403"/>
      <c r="S182" s="403"/>
      <c r="T182" s="403"/>
      <c r="U182" s="403"/>
      <c r="V182" s="403"/>
      <c r="W182" s="403"/>
    </row>
    <row r="183" spans="1:23">
      <c r="A183" s="57">
        <v>36698</v>
      </c>
      <c r="B183" s="387">
        <v>74.1875</v>
      </c>
      <c r="C183" s="395"/>
      <c r="D183" s="139"/>
      <c r="E183" s="139"/>
      <c r="F183" s="139"/>
      <c r="G183" s="389"/>
      <c r="H183" s="389"/>
      <c r="I183" s="389"/>
      <c r="J183" s="389"/>
      <c r="K183" s="139"/>
      <c r="L183" s="139"/>
      <c r="M183" s="403"/>
      <c r="N183" s="403"/>
      <c r="O183" s="403"/>
      <c r="P183" s="403"/>
      <c r="Q183" s="403"/>
      <c r="R183" s="403"/>
      <c r="S183" s="403"/>
      <c r="T183" s="403"/>
      <c r="U183" s="403"/>
      <c r="V183" s="403"/>
      <c r="W183" s="403"/>
    </row>
    <row r="184" spans="1:23">
      <c r="A184" s="57">
        <v>36699</v>
      </c>
      <c r="B184" s="387">
        <v>73.4375</v>
      </c>
      <c r="C184" s="395"/>
      <c r="D184" s="139"/>
      <c r="E184" s="139"/>
      <c r="F184" s="139"/>
      <c r="G184" s="389"/>
      <c r="H184" s="389"/>
      <c r="I184" s="389"/>
      <c r="J184" s="389"/>
      <c r="K184" s="139"/>
      <c r="L184" s="139"/>
      <c r="M184" s="403"/>
      <c r="N184" s="403"/>
      <c r="O184" s="403"/>
      <c r="P184" s="403"/>
      <c r="Q184" s="403"/>
      <c r="R184" s="403"/>
      <c r="S184" s="403"/>
      <c r="T184" s="403"/>
      <c r="U184" s="403"/>
      <c r="V184" s="403"/>
      <c r="W184" s="403"/>
    </row>
    <row r="185" spans="1:23">
      <c r="A185" s="57">
        <v>36700</v>
      </c>
      <c r="B185" s="387">
        <v>73.1875</v>
      </c>
      <c r="C185" s="395"/>
      <c r="D185" s="139"/>
      <c r="E185" s="139"/>
      <c r="F185" s="139"/>
      <c r="G185" s="389"/>
      <c r="H185" s="389"/>
      <c r="I185" s="389"/>
      <c r="J185" s="389"/>
      <c r="K185" s="139"/>
      <c r="L185" s="139"/>
      <c r="M185" s="403"/>
      <c r="N185" s="403"/>
      <c r="O185" s="403"/>
      <c r="P185" s="403"/>
      <c r="Q185" s="403"/>
      <c r="R185" s="403"/>
      <c r="S185" s="403"/>
      <c r="T185" s="403"/>
      <c r="U185" s="403"/>
      <c r="V185" s="403"/>
      <c r="W185" s="403"/>
    </row>
    <row r="186" spans="1:23">
      <c r="A186" s="57">
        <v>36701</v>
      </c>
      <c r="B186" s="387"/>
      <c r="C186" s="395"/>
      <c r="D186" s="139"/>
      <c r="E186" s="139"/>
      <c r="F186" s="139"/>
      <c r="G186" s="389"/>
      <c r="H186" s="389"/>
      <c r="I186" s="389"/>
      <c r="J186" s="389"/>
      <c r="K186" s="139"/>
      <c r="L186" s="139"/>
      <c r="M186" s="403"/>
      <c r="N186" s="403"/>
      <c r="O186" s="403"/>
      <c r="P186" s="403"/>
      <c r="Q186" s="403"/>
      <c r="R186" s="403"/>
      <c r="S186" s="403"/>
      <c r="T186" s="403"/>
      <c r="U186" s="403"/>
      <c r="V186" s="403"/>
      <c r="W186" s="403"/>
    </row>
    <row r="187" spans="1:23">
      <c r="A187" s="57">
        <v>36702</v>
      </c>
      <c r="B187" s="387"/>
      <c r="C187" s="395"/>
      <c r="D187" s="139"/>
      <c r="E187" s="139"/>
      <c r="F187" s="139"/>
      <c r="G187" s="389"/>
      <c r="H187" s="389"/>
      <c r="I187" s="389"/>
      <c r="J187" s="389"/>
      <c r="K187" s="139"/>
      <c r="L187" s="139"/>
      <c r="M187" s="403"/>
      <c r="N187" s="403"/>
      <c r="O187" s="403"/>
      <c r="P187" s="403"/>
      <c r="Q187" s="403"/>
      <c r="R187" s="403"/>
      <c r="S187" s="403"/>
      <c r="T187" s="403"/>
      <c r="U187" s="403"/>
      <c r="V187" s="403"/>
      <c r="W187" s="403"/>
    </row>
    <row r="188" spans="1:23">
      <c r="A188" s="57">
        <v>36703</v>
      </c>
      <c r="B188" s="387">
        <v>69.625</v>
      </c>
      <c r="C188" s="395"/>
      <c r="D188" s="139"/>
      <c r="E188" s="139"/>
      <c r="F188" s="139"/>
      <c r="G188" s="389"/>
      <c r="H188" s="389"/>
      <c r="I188" s="389"/>
      <c r="J188" s="389"/>
      <c r="K188" s="139"/>
      <c r="L188" s="139"/>
      <c r="M188" s="403"/>
      <c r="N188" s="403"/>
      <c r="O188" s="403"/>
      <c r="P188" s="403"/>
      <c r="Q188" s="403"/>
      <c r="R188" s="403"/>
      <c r="S188" s="403"/>
      <c r="T188" s="403"/>
      <c r="U188" s="403"/>
      <c r="V188" s="403"/>
      <c r="W188" s="403"/>
    </row>
    <row r="189" spans="1:23">
      <c r="A189" s="57">
        <v>36704</v>
      </c>
      <c r="B189" s="387">
        <v>68.75</v>
      </c>
      <c r="C189" s="395"/>
      <c r="D189" s="139"/>
      <c r="E189" s="139"/>
      <c r="F189" s="139"/>
      <c r="G189" s="389"/>
      <c r="H189" s="389"/>
      <c r="I189" s="389"/>
      <c r="J189" s="389"/>
      <c r="K189" s="139"/>
      <c r="L189" s="139"/>
      <c r="M189" s="403"/>
      <c r="N189" s="403"/>
      <c r="O189" s="403"/>
      <c r="P189" s="403"/>
      <c r="Q189" s="403"/>
      <c r="R189" s="403"/>
      <c r="S189" s="403"/>
      <c r="T189" s="403"/>
      <c r="U189" s="403"/>
      <c r="V189" s="403"/>
      <c r="W189" s="403"/>
    </row>
    <row r="190" spans="1:23">
      <c r="A190" s="57">
        <v>36705</v>
      </c>
      <c r="B190" s="387">
        <v>68.808589999999995</v>
      </c>
      <c r="C190" s="395"/>
      <c r="D190" s="139"/>
      <c r="E190" s="139"/>
      <c r="F190" s="139"/>
      <c r="G190" s="389"/>
      <c r="H190" s="389"/>
      <c r="I190" s="389"/>
      <c r="J190" s="389"/>
      <c r="K190" s="139"/>
      <c r="L190" s="139"/>
      <c r="M190" s="403"/>
      <c r="N190" s="403"/>
      <c r="O190" s="403"/>
      <c r="P190" s="403"/>
      <c r="Q190" s="403"/>
      <c r="R190" s="403"/>
      <c r="S190" s="403"/>
      <c r="T190" s="403"/>
      <c r="U190" s="403"/>
      <c r="V190" s="403"/>
      <c r="W190" s="403"/>
    </row>
    <row r="191" spans="1:23">
      <c r="A191" s="57">
        <v>36706</v>
      </c>
      <c r="B191" s="387">
        <v>68.5</v>
      </c>
      <c r="C191" s="395"/>
      <c r="D191" s="139"/>
      <c r="E191" s="139"/>
      <c r="F191" s="139"/>
      <c r="G191" s="389"/>
      <c r="H191" s="389"/>
      <c r="I191" s="389"/>
      <c r="J191" s="389"/>
      <c r="K191" s="139"/>
      <c r="L191" s="139"/>
      <c r="M191" s="403"/>
      <c r="N191" s="403"/>
      <c r="O191" s="403"/>
      <c r="P191" s="403"/>
      <c r="Q191" s="403"/>
      <c r="R191" s="403"/>
      <c r="S191" s="403"/>
      <c r="T191" s="403"/>
      <c r="U191" s="403"/>
      <c r="V191" s="403"/>
      <c r="W191" s="403"/>
    </row>
    <row r="192" spans="1:23">
      <c r="A192" s="57">
        <v>36707</v>
      </c>
      <c r="B192" s="387">
        <v>64.5</v>
      </c>
      <c r="C192" s="395"/>
      <c r="D192" s="139"/>
      <c r="E192" s="139"/>
      <c r="F192" s="139"/>
      <c r="G192" s="389"/>
      <c r="H192" s="389"/>
      <c r="I192" s="389"/>
      <c r="J192" s="389"/>
      <c r="K192" s="139"/>
      <c r="L192" s="139"/>
      <c r="M192" s="403"/>
      <c r="N192" s="403"/>
      <c r="O192" s="403"/>
      <c r="P192" s="403"/>
      <c r="Q192" s="403"/>
      <c r="R192" s="403"/>
      <c r="S192" s="403"/>
      <c r="T192" s="403"/>
      <c r="U192" s="403"/>
      <c r="V192" s="403"/>
      <c r="W192" s="403"/>
    </row>
    <row r="193" spans="1:23">
      <c r="A193" s="57">
        <v>36708</v>
      </c>
      <c r="B193" s="387"/>
      <c r="C193" s="395"/>
      <c r="D193" s="139"/>
      <c r="E193" s="139"/>
      <c r="F193" s="139"/>
      <c r="G193" s="389"/>
      <c r="H193" s="389"/>
      <c r="I193" s="389"/>
      <c r="J193" s="389"/>
      <c r="K193" s="139"/>
      <c r="L193" s="139"/>
      <c r="M193" s="403"/>
      <c r="N193" s="403"/>
      <c r="O193" s="403"/>
      <c r="P193" s="403"/>
      <c r="Q193" s="403"/>
      <c r="R193" s="403"/>
      <c r="S193" s="403"/>
      <c r="T193" s="403"/>
      <c r="U193" s="403"/>
      <c r="V193" s="403"/>
      <c r="W193" s="403"/>
    </row>
    <row r="194" spans="1:23">
      <c r="A194" s="57">
        <v>36709</v>
      </c>
      <c r="B194" s="387"/>
      <c r="C194" s="395"/>
      <c r="D194" s="139"/>
      <c r="E194" s="139"/>
      <c r="F194" s="139"/>
      <c r="G194" s="389"/>
      <c r="H194" s="389"/>
      <c r="I194" s="389"/>
      <c r="J194" s="389"/>
      <c r="K194" s="139"/>
      <c r="L194" s="139"/>
      <c r="M194" s="403"/>
      <c r="N194" s="403"/>
      <c r="O194" s="403"/>
      <c r="P194" s="403"/>
      <c r="Q194" s="403"/>
      <c r="R194" s="403"/>
      <c r="S194" s="403"/>
      <c r="T194" s="403"/>
      <c r="U194" s="403"/>
      <c r="V194" s="403"/>
      <c r="W194" s="403"/>
    </row>
    <row r="195" spans="1:23">
      <c r="A195" s="57">
        <v>36710</v>
      </c>
      <c r="B195" s="387"/>
      <c r="C195" s="395"/>
      <c r="D195" s="139"/>
      <c r="E195" s="139"/>
      <c r="F195" s="139"/>
      <c r="G195" s="389"/>
      <c r="H195" s="389"/>
      <c r="I195" s="389"/>
      <c r="J195" s="389"/>
      <c r="K195" s="139"/>
      <c r="L195" s="139"/>
      <c r="M195" s="403"/>
      <c r="N195" s="403"/>
      <c r="O195" s="403"/>
      <c r="P195" s="403"/>
      <c r="Q195" s="403"/>
      <c r="R195" s="403"/>
      <c r="S195" s="403"/>
      <c r="T195" s="403"/>
      <c r="U195" s="403"/>
      <c r="V195" s="403"/>
      <c r="W195" s="403"/>
    </row>
    <row r="196" spans="1:23">
      <c r="A196" s="57">
        <v>36711</v>
      </c>
      <c r="B196" s="387"/>
      <c r="C196" s="395"/>
      <c r="D196" s="139"/>
      <c r="E196" s="139"/>
      <c r="F196" s="139"/>
      <c r="G196" s="389"/>
      <c r="H196" s="389"/>
      <c r="I196" s="389"/>
      <c r="J196" s="389"/>
      <c r="K196" s="139"/>
      <c r="L196" s="139"/>
      <c r="M196" s="403"/>
      <c r="N196" s="403"/>
      <c r="O196" s="403"/>
      <c r="P196" s="403"/>
      <c r="Q196" s="403"/>
      <c r="R196" s="403"/>
      <c r="S196" s="403"/>
      <c r="T196" s="403"/>
      <c r="U196" s="403"/>
      <c r="V196" s="403"/>
      <c r="W196" s="403"/>
    </row>
    <row r="197" spans="1:23">
      <c r="A197" s="57">
        <v>36712</v>
      </c>
      <c r="B197" s="387"/>
      <c r="C197" s="395"/>
      <c r="D197" s="139"/>
      <c r="E197" s="139"/>
      <c r="F197" s="139"/>
      <c r="G197" s="389"/>
      <c r="H197" s="389"/>
      <c r="I197" s="389"/>
      <c r="J197" s="389"/>
      <c r="K197" s="139"/>
      <c r="L197" s="139"/>
      <c r="M197" s="403"/>
      <c r="N197" s="403"/>
      <c r="O197" s="403"/>
      <c r="P197" s="403"/>
      <c r="Q197" s="403"/>
      <c r="R197" s="403"/>
      <c r="S197" s="403"/>
      <c r="T197" s="403"/>
      <c r="U197" s="403"/>
      <c r="V197" s="403"/>
      <c r="W197" s="403"/>
    </row>
    <row r="198" spans="1:23">
      <c r="A198" s="57">
        <v>36713</v>
      </c>
      <c r="B198" s="387"/>
      <c r="C198" s="395"/>
      <c r="D198" s="139"/>
      <c r="E198" s="139"/>
      <c r="F198" s="139"/>
      <c r="G198" s="389"/>
      <c r="H198" s="389"/>
      <c r="I198" s="389"/>
      <c r="J198" s="389"/>
      <c r="K198" s="139"/>
      <c r="L198" s="139"/>
      <c r="M198" s="403"/>
      <c r="N198" s="403"/>
      <c r="O198" s="403"/>
      <c r="P198" s="403"/>
      <c r="Q198" s="403"/>
      <c r="R198" s="403"/>
      <c r="S198" s="403"/>
      <c r="T198" s="403"/>
      <c r="U198" s="403"/>
      <c r="V198" s="403"/>
      <c r="W198" s="403"/>
    </row>
    <row r="199" spans="1:23">
      <c r="A199" s="57">
        <v>36714</v>
      </c>
      <c r="B199" s="387"/>
      <c r="C199" s="395"/>
      <c r="D199" s="139"/>
      <c r="E199" s="139"/>
      <c r="F199" s="139"/>
      <c r="G199" s="389"/>
      <c r="H199" s="389"/>
      <c r="I199" s="389"/>
      <c r="J199" s="389"/>
      <c r="K199" s="139"/>
      <c r="L199" s="139"/>
      <c r="M199" s="403"/>
      <c r="N199" s="403"/>
      <c r="O199" s="403"/>
      <c r="P199" s="403"/>
      <c r="Q199" s="403"/>
      <c r="R199" s="403"/>
      <c r="S199" s="403"/>
      <c r="T199" s="403"/>
      <c r="U199" s="403"/>
      <c r="V199" s="403"/>
      <c r="W199" s="403"/>
    </row>
    <row r="200" spans="1:23">
      <c r="A200" s="57">
        <v>36715</v>
      </c>
      <c r="B200" s="387"/>
      <c r="C200" s="395"/>
      <c r="D200" s="139"/>
      <c r="E200" s="139"/>
      <c r="F200" s="139"/>
      <c r="G200" s="389"/>
      <c r="H200" s="389"/>
      <c r="I200" s="389"/>
      <c r="J200" s="389"/>
      <c r="K200" s="139"/>
      <c r="L200" s="139"/>
      <c r="M200" s="403"/>
      <c r="N200" s="403"/>
      <c r="O200" s="403"/>
      <c r="P200" s="403"/>
      <c r="Q200" s="403"/>
      <c r="R200" s="403"/>
      <c r="S200" s="403"/>
      <c r="T200" s="403"/>
      <c r="U200" s="403"/>
      <c r="V200" s="403"/>
      <c r="W200" s="403"/>
    </row>
    <row r="201" spans="1:23">
      <c r="A201" s="57">
        <v>36716</v>
      </c>
      <c r="B201" s="387"/>
      <c r="C201" s="395"/>
      <c r="D201" s="139"/>
      <c r="E201" s="139"/>
      <c r="F201" s="139"/>
      <c r="G201" s="389"/>
      <c r="H201" s="389"/>
      <c r="I201" s="389"/>
      <c r="J201" s="389"/>
      <c r="K201" s="139"/>
      <c r="L201" s="139"/>
      <c r="M201" s="403"/>
      <c r="N201" s="403"/>
      <c r="O201" s="403"/>
      <c r="P201" s="403"/>
      <c r="Q201" s="403"/>
      <c r="R201" s="403"/>
      <c r="S201" s="403"/>
      <c r="T201" s="403"/>
      <c r="U201" s="403"/>
      <c r="V201" s="403"/>
      <c r="W201" s="403"/>
    </row>
    <row r="202" spans="1:23">
      <c r="A202" s="57">
        <v>36717</v>
      </c>
      <c r="B202" s="387"/>
      <c r="C202" s="395"/>
      <c r="D202" s="139"/>
      <c r="E202" s="139"/>
      <c r="F202" s="139"/>
      <c r="G202" s="389"/>
      <c r="H202" s="389"/>
      <c r="I202" s="389"/>
      <c r="J202" s="389"/>
      <c r="K202" s="139"/>
      <c r="L202" s="139"/>
      <c r="M202" s="403"/>
      <c r="N202" s="403"/>
      <c r="O202" s="403"/>
      <c r="P202" s="403"/>
      <c r="Q202" s="403"/>
      <c r="R202" s="403"/>
      <c r="S202" s="403"/>
      <c r="T202" s="403"/>
      <c r="U202" s="403"/>
      <c r="V202" s="403"/>
      <c r="W202" s="403"/>
    </row>
    <row r="203" spans="1:23">
      <c r="A203" s="57">
        <v>36718</v>
      </c>
      <c r="B203" s="387"/>
      <c r="C203" s="395"/>
      <c r="D203" s="139"/>
      <c r="E203" s="139"/>
      <c r="F203" s="139"/>
      <c r="G203" s="389"/>
      <c r="H203" s="389"/>
      <c r="I203" s="389"/>
      <c r="J203" s="389"/>
      <c r="K203" s="139"/>
      <c r="L203" s="139"/>
      <c r="M203" s="403"/>
      <c r="N203" s="403"/>
      <c r="O203" s="403"/>
      <c r="P203" s="403"/>
      <c r="Q203" s="403"/>
      <c r="R203" s="403"/>
      <c r="S203" s="403"/>
      <c r="T203" s="403"/>
      <c r="U203" s="403"/>
      <c r="V203" s="403"/>
      <c r="W203" s="403"/>
    </row>
    <row r="204" spans="1:23">
      <c r="A204" s="57">
        <v>36719</v>
      </c>
      <c r="B204" s="387"/>
      <c r="C204" s="395"/>
      <c r="D204" s="139"/>
      <c r="E204" s="139"/>
      <c r="F204" s="139"/>
      <c r="G204" s="389"/>
      <c r="H204" s="389"/>
      <c r="I204" s="389"/>
      <c r="J204" s="389"/>
      <c r="K204" s="139"/>
      <c r="L204" s="139"/>
      <c r="M204" s="403"/>
      <c r="N204" s="403"/>
      <c r="O204" s="403"/>
      <c r="P204" s="403"/>
      <c r="Q204" s="403"/>
      <c r="R204" s="403"/>
      <c r="S204" s="403"/>
      <c r="T204" s="403"/>
      <c r="U204" s="403"/>
      <c r="V204" s="403"/>
      <c r="W204" s="403"/>
    </row>
    <row r="205" spans="1:23">
      <c r="A205" s="57">
        <v>36720</v>
      </c>
      <c r="B205" s="387"/>
      <c r="C205" s="395"/>
      <c r="D205" s="139"/>
      <c r="E205" s="139"/>
      <c r="F205" s="139"/>
      <c r="G205" s="389"/>
      <c r="H205" s="389"/>
      <c r="I205" s="389"/>
      <c r="J205" s="389"/>
      <c r="K205" s="139"/>
      <c r="L205" s="139"/>
      <c r="M205" s="403"/>
      <c r="N205" s="403"/>
      <c r="O205" s="403"/>
      <c r="P205" s="403"/>
      <c r="Q205" s="403"/>
      <c r="R205" s="403"/>
      <c r="S205" s="403"/>
      <c r="T205" s="403"/>
      <c r="U205" s="403"/>
      <c r="V205" s="403"/>
      <c r="W205" s="403"/>
    </row>
    <row r="206" spans="1:23">
      <c r="A206" s="57">
        <v>36721</v>
      </c>
      <c r="B206" s="387"/>
      <c r="C206" s="395"/>
      <c r="D206" s="139"/>
      <c r="E206" s="139"/>
      <c r="F206" s="139"/>
      <c r="G206" s="389"/>
      <c r="H206" s="389"/>
      <c r="I206" s="389"/>
      <c r="J206" s="389"/>
      <c r="K206" s="139"/>
      <c r="L206" s="139"/>
      <c r="M206" s="403"/>
      <c r="N206" s="403"/>
      <c r="O206" s="403"/>
      <c r="P206" s="403"/>
      <c r="Q206" s="403"/>
      <c r="R206" s="403"/>
      <c r="S206" s="403"/>
      <c r="T206" s="403"/>
      <c r="U206" s="403"/>
      <c r="V206" s="403"/>
      <c r="W206" s="403"/>
    </row>
    <row r="207" spans="1:23">
      <c r="A207" s="57">
        <v>36722</v>
      </c>
      <c r="B207" s="387"/>
      <c r="C207" s="395"/>
      <c r="D207" s="139"/>
      <c r="E207" s="139"/>
      <c r="F207" s="139"/>
      <c r="G207" s="389"/>
      <c r="H207" s="389"/>
      <c r="I207" s="389"/>
      <c r="J207" s="389"/>
      <c r="K207" s="139"/>
      <c r="L207" s="139"/>
      <c r="M207" s="403"/>
      <c r="N207" s="403"/>
      <c r="O207" s="403"/>
      <c r="P207" s="403"/>
      <c r="Q207" s="403"/>
      <c r="R207" s="403"/>
      <c r="S207" s="403"/>
      <c r="T207" s="403"/>
      <c r="U207" s="403"/>
      <c r="V207" s="403"/>
      <c r="W207" s="403"/>
    </row>
    <row r="208" spans="1:23">
      <c r="A208" s="57">
        <v>36723</v>
      </c>
      <c r="B208" s="387"/>
      <c r="C208" s="395"/>
      <c r="D208" s="139"/>
      <c r="E208" s="139"/>
      <c r="F208" s="139"/>
      <c r="G208" s="389"/>
      <c r="H208" s="389"/>
      <c r="I208" s="389"/>
      <c r="J208" s="389"/>
      <c r="K208" s="139"/>
      <c r="L208" s="139"/>
      <c r="M208" s="403"/>
      <c r="N208" s="403"/>
      <c r="O208" s="403"/>
      <c r="P208" s="403"/>
      <c r="Q208" s="403"/>
      <c r="R208" s="403"/>
      <c r="S208" s="403"/>
      <c r="T208" s="403"/>
      <c r="U208" s="403"/>
      <c r="V208" s="403"/>
      <c r="W208" s="403"/>
    </row>
    <row r="209" spans="1:23">
      <c r="A209" s="57">
        <v>36724</v>
      </c>
      <c r="B209" s="387"/>
      <c r="C209" s="395"/>
      <c r="D209" s="139"/>
      <c r="E209" s="139"/>
      <c r="F209" s="139"/>
      <c r="G209" s="389"/>
      <c r="H209" s="389"/>
      <c r="I209" s="389"/>
      <c r="J209" s="389"/>
      <c r="K209" s="139"/>
      <c r="L209" s="139"/>
      <c r="M209" s="403"/>
      <c r="N209" s="403"/>
      <c r="O209" s="403"/>
      <c r="P209" s="403"/>
      <c r="Q209" s="403"/>
      <c r="R209" s="403"/>
      <c r="S209" s="403"/>
      <c r="T209" s="403"/>
      <c r="U209" s="403"/>
      <c r="V209" s="403"/>
      <c r="W209" s="403"/>
    </row>
    <row r="210" spans="1:23">
      <c r="A210" s="57">
        <v>36725</v>
      </c>
      <c r="B210" s="387"/>
      <c r="C210" s="395"/>
      <c r="D210" s="139"/>
      <c r="E210" s="139"/>
      <c r="F210" s="139"/>
      <c r="G210" s="389"/>
      <c r="H210" s="389"/>
      <c r="I210" s="389"/>
      <c r="J210" s="389"/>
      <c r="K210" s="139"/>
      <c r="L210" s="139"/>
      <c r="M210" s="403"/>
      <c r="N210" s="403"/>
      <c r="O210" s="403"/>
      <c r="P210" s="403"/>
      <c r="Q210" s="403"/>
      <c r="R210" s="403"/>
      <c r="S210" s="403"/>
      <c r="T210" s="403"/>
      <c r="U210" s="403"/>
      <c r="V210" s="403"/>
      <c r="W210" s="403"/>
    </row>
    <row r="211" spans="1:23">
      <c r="A211" s="57">
        <v>36726</v>
      </c>
      <c r="B211" s="387"/>
      <c r="C211" s="395"/>
      <c r="D211" s="139"/>
      <c r="E211" s="139"/>
      <c r="F211" s="139"/>
      <c r="G211" s="389"/>
      <c r="H211" s="389"/>
      <c r="I211" s="389"/>
      <c r="J211" s="389"/>
      <c r="K211" s="139"/>
      <c r="L211" s="139"/>
      <c r="M211" s="403"/>
      <c r="N211" s="403"/>
      <c r="O211" s="403"/>
      <c r="P211" s="403"/>
      <c r="Q211" s="403"/>
      <c r="R211" s="403"/>
      <c r="S211" s="403"/>
      <c r="T211" s="403"/>
      <c r="U211" s="403"/>
      <c r="V211" s="403"/>
      <c r="W211" s="403"/>
    </row>
    <row r="212" spans="1:23">
      <c r="A212" s="57">
        <v>36727</v>
      </c>
      <c r="B212" s="387"/>
      <c r="C212" s="395"/>
      <c r="D212" s="139"/>
      <c r="E212" s="139"/>
      <c r="F212" s="139"/>
      <c r="G212" s="389"/>
      <c r="H212" s="389"/>
      <c r="I212" s="389"/>
      <c r="J212" s="389"/>
      <c r="K212" s="139"/>
      <c r="L212" s="139"/>
      <c r="M212" s="403"/>
      <c r="N212" s="403"/>
      <c r="O212" s="403"/>
      <c r="P212" s="403"/>
      <c r="Q212" s="403"/>
      <c r="R212" s="403"/>
      <c r="S212" s="403"/>
      <c r="T212" s="403"/>
      <c r="U212" s="403"/>
      <c r="V212" s="403"/>
      <c r="W212" s="403"/>
    </row>
    <row r="213" spans="1:23">
      <c r="A213" s="57">
        <v>36728</v>
      </c>
      <c r="B213" s="387"/>
      <c r="C213" s="395"/>
      <c r="D213" s="139"/>
      <c r="E213" s="139"/>
      <c r="F213" s="139"/>
      <c r="G213" s="389"/>
      <c r="H213" s="389"/>
      <c r="I213" s="389"/>
      <c r="J213" s="389"/>
      <c r="K213" s="139"/>
      <c r="L213" s="139"/>
      <c r="M213" s="403"/>
      <c r="N213" s="403"/>
      <c r="O213" s="403"/>
      <c r="P213" s="403"/>
      <c r="Q213" s="403"/>
      <c r="R213" s="403"/>
      <c r="S213" s="403"/>
      <c r="T213" s="403"/>
      <c r="U213" s="403"/>
      <c r="V213" s="403"/>
      <c r="W213" s="403"/>
    </row>
    <row r="214" spans="1:23">
      <c r="A214" s="57">
        <v>36729</v>
      </c>
      <c r="B214" s="387"/>
      <c r="C214" s="395"/>
      <c r="D214" s="139"/>
      <c r="E214" s="139"/>
      <c r="F214" s="139"/>
      <c r="G214" s="389"/>
      <c r="H214" s="389"/>
      <c r="I214" s="389"/>
      <c r="J214" s="389"/>
      <c r="K214" s="139"/>
      <c r="L214" s="139"/>
      <c r="M214" s="403"/>
      <c r="N214" s="403"/>
      <c r="O214" s="403"/>
      <c r="P214" s="403"/>
      <c r="Q214" s="403"/>
      <c r="R214" s="403"/>
      <c r="S214" s="403"/>
      <c r="T214" s="403"/>
      <c r="U214" s="403"/>
      <c r="V214" s="403"/>
      <c r="W214" s="403"/>
    </row>
    <row r="215" spans="1:23">
      <c r="A215" s="57">
        <v>36730</v>
      </c>
      <c r="B215" s="387"/>
      <c r="C215" s="395"/>
      <c r="D215" s="139"/>
      <c r="E215" s="139"/>
      <c r="F215" s="139"/>
      <c r="G215" s="389"/>
      <c r="H215" s="389"/>
      <c r="I215" s="389"/>
      <c r="J215" s="389"/>
      <c r="K215" s="139"/>
      <c r="L215" s="139"/>
      <c r="M215" s="403"/>
      <c r="N215" s="403"/>
      <c r="O215" s="403"/>
      <c r="P215" s="403"/>
      <c r="Q215" s="403"/>
      <c r="R215" s="403"/>
      <c r="S215" s="403"/>
      <c r="T215" s="403"/>
      <c r="U215" s="403"/>
      <c r="V215" s="403"/>
      <c r="W215" s="403"/>
    </row>
    <row r="216" spans="1:23">
      <c r="A216" s="57">
        <v>36731</v>
      </c>
      <c r="B216" s="387"/>
      <c r="C216" s="395"/>
      <c r="D216" s="139"/>
      <c r="E216" s="139"/>
      <c r="F216" s="139"/>
      <c r="G216" s="389"/>
      <c r="H216" s="389"/>
      <c r="I216" s="389"/>
      <c r="J216" s="389"/>
      <c r="K216" s="139"/>
      <c r="L216" s="139"/>
      <c r="M216" s="403"/>
      <c r="N216" s="403"/>
      <c r="O216" s="403"/>
      <c r="P216" s="403"/>
      <c r="Q216" s="403"/>
      <c r="R216" s="403"/>
      <c r="S216" s="403"/>
      <c r="T216" s="403"/>
      <c r="U216" s="403"/>
      <c r="V216" s="403"/>
      <c r="W216" s="403"/>
    </row>
    <row r="217" spans="1:23">
      <c r="A217" s="57">
        <v>36732</v>
      </c>
      <c r="B217" s="387"/>
      <c r="C217" s="395"/>
      <c r="D217" s="139"/>
      <c r="E217" s="139"/>
      <c r="F217" s="139"/>
      <c r="G217" s="389"/>
      <c r="H217" s="389"/>
      <c r="I217" s="389"/>
      <c r="J217" s="389"/>
      <c r="K217" s="139"/>
      <c r="L217" s="139"/>
      <c r="M217" s="403"/>
      <c r="N217" s="403"/>
      <c r="O217" s="403"/>
      <c r="P217" s="403"/>
      <c r="Q217" s="403"/>
      <c r="R217" s="403"/>
      <c r="S217" s="403"/>
      <c r="T217" s="403"/>
      <c r="U217" s="403"/>
      <c r="V217" s="403"/>
      <c r="W217" s="403"/>
    </row>
    <row r="218" spans="1:23">
      <c r="A218" s="57">
        <v>36733</v>
      </c>
      <c r="B218" s="387"/>
      <c r="C218" s="395"/>
      <c r="D218" s="139"/>
      <c r="E218" s="139"/>
      <c r="F218" s="139"/>
      <c r="G218" s="389"/>
      <c r="H218" s="389"/>
      <c r="I218" s="389"/>
      <c r="J218" s="389"/>
      <c r="K218" s="139"/>
      <c r="L218" s="139"/>
      <c r="M218" s="403"/>
      <c r="N218" s="403"/>
      <c r="O218" s="403"/>
      <c r="P218" s="403"/>
      <c r="Q218" s="403"/>
      <c r="R218" s="403"/>
      <c r="S218" s="403"/>
      <c r="T218" s="403"/>
      <c r="U218" s="403"/>
      <c r="V218" s="403"/>
      <c r="W218" s="403"/>
    </row>
    <row r="219" spans="1:23">
      <c r="A219" s="57">
        <v>36734</v>
      </c>
      <c r="B219" s="387"/>
      <c r="C219" s="395"/>
      <c r="D219" s="139"/>
      <c r="E219" s="139"/>
      <c r="F219" s="139"/>
      <c r="G219" s="389"/>
      <c r="H219" s="389"/>
      <c r="I219" s="389"/>
      <c r="J219" s="389"/>
      <c r="K219" s="139"/>
      <c r="L219" s="139"/>
      <c r="M219" s="403"/>
      <c r="N219" s="403"/>
      <c r="O219" s="403"/>
      <c r="P219" s="403"/>
      <c r="Q219" s="403"/>
      <c r="R219" s="403"/>
      <c r="S219" s="403"/>
      <c r="T219" s="403"/>
      <c r="U219" s="403"/>
      <c r="V219" s="403"/>
      <c r="W219" s="403"/>
    </row>
    <row r="220" spans="1:23">
      <c r="A220" s="57">
        <v>36735</v>
      </c>
      <c r="B220" s="387"/>
      <c r="C220" s="395"/>
      <c r="D220" s="139"/>
      <c r="E220" s="139"/>
      <c r="F220" s="139"/>
      <c r="G220" s="389"/>
      <c r="H220" s="389"/>
      <c r="I220" s="389"/>
      <c r="J220" s="389"/>
      <c r="K220" s="139"/>
      <c r="L220" s="139"/>
      <c r="M220" s="403"/>
      <c r="N220" s="403"/>
      <c r="O220" s="403"/>
      <c r="P220" s="403"/>
      <c r="Q220" s="403"/>
      <c r="R220" s="403"/>
      <c r="S220" s="403"/>
      <c r="T220" s="403"/>
      <c r="U220" s="403"/>
      <c r="V220" s="403"/>
      <c r="W220" s="403"/>
    </row>
    <row r="221" spans="1:23">
      <c r="A221" s="57">
        <v>36736</v>
      </c>
      <c r="B221" s="387"/>
      <c r="C221" s="395"/>
      <c r="D221" s="139"/>
      <c r="E221" s="139"/>
      <c r="F221" s="139"/>
      <c r="G221" s="389"/>
      <c r="H221" s="389"/>
      <c r="I221" s="389"/>
      <c r="J221" s="389"/>
      <c r="K221" s="139"/>
      <c r="L221" s="139"/>
      <c r="M221" s="403"/>
      <c r="N221" s="403"/>
      <c r="O221" s="403"/>
      <c r="P221" s="403"/>
      <c r="Q221" s="403"/>
      <c r="R221" s="403"/>
      <c r="S221" s="403"/>
      <c r="T221" s="403"/>
      <c r="U221" s="403"/>
      <c r="V221" s="403"/>
      <c r="W221" s="403"/>
    </row>
    <row r="222" spans="1:23">
      <c r="A222" s="57">
        <v>36737</v>
      </c>
      <c r="B222" s="387"/>
      <c r="C222" s="395"/>
      <c r="D222" s="139"/>
      <c r="E222" s="139"/>
      <c r="F222" s="139"/>
      <c r="G222" s="389"/>
      <c r="H222" s="389"/>
      <c r="I222" s="389"/>
      <c r="J222" s="389"/>
      <c r="K222" s="139"/>
      <c r="L222" s="139"/>
      <c r="M222" s="403"/>
      <c r="N222" s="403"/>
      <c r="O222" s="403"/>
      <c r="P222" s="403"/>
      <c r="Q222" s="403"/>
      <c r="R222" s="403"/>
      <c r="S222" s="403"/>
      <c r="T222" s="403"/>
      <c r="U222" s="403"/>
      <c r="V222" s="403"/>
      <c r="W222" s="403"/>
    </row>
    <row r="223" spans="1:23">
      <c r="A223" s="57">
        <v>36738</v>
      </c>
      <c r="B223" s="387"/>
      <c r="C223" s="395"/>
      <c r="D223" s="139"/>
      <c r="E223" s="139"/>
      <c r="F223" s="139"/>
      <c r="G223" s="389"/>
      <c r="H223" s="389"/>
      <c r="I223" s="389"/>
      <c r="J223" s="389"/>
      <c r="K223" s="139"/>
      <c r="L223" s="139"/>
      <c r="M223" s="403"/>
      <c r="N223" s="403"/>
      <c r="O223" s="403"/>
      <c r="P223" s="403"/>
      <c r="Q223" s="403"/>
      <c r="R223" s="403"/>
      <c r="S223" s="403"/>
      <c r="T223" s="403"/>
      <c r="U223" s="403"/>
      <c r="V223" s="403"/>
      <c r="W223" s="403"/>
    </row>
    <row r="224" spans="1:23">
      <c r="A224" s="57">
        <v>36739</v>
      </c>
      <c r="B224" s="387"/>
      <c r="C224" s="395"/>
      <c r="D224" s="139"/>
      <c r="E224" s="139"/>
      <c r="F224" s="139"/>
      <c r="G224" s="389"/>
      <c r="H224" s="389"/>
      <c r="I224" s="389"/>
      <c r="J224" s="389"/>
      <c r="K224" s="139"/>
      <c r="L224" s="139"/>
      <c r="M224" s="403"/>
      <c r="N224" s="403"/>
      <c r="O224" s="403"/>
      <c r="P224" s="403"/>
      <c r="Q224" s="403"/>
      <c r="R224" s="403"/>
      <c r="S224" s="403"/>
      <c r="T224" s="403"/>
      <c r="U224" s="403"/>
      <c r="V224" s="403"/>
      <c r="W224" s="403"/>
    </row>
    <row r="225" spans="1:23">
      <c r="A225" s="57">
        <v>36740</v>
      </c>
      <c r="B225" s="387"/>
      <c r="C225" s="395"/>
      <c r="D225" s="139"/>
      <c r="E225" s="139"/>
      <c r="F225" s="139"/>
      <c r="G225" s="389"/>
      <c r="H225" s="389"/>
      <c r="I225" s="389"/>
      <c r="J225" s="389"/>
      <c r="K225" s="139"/>
      <c r="L225" s="139"/>
      <c r="M225" s="403"/>
      <c r="N225" s="403"/>
      <c r="O225" s="403"/>
      <c r="P225" s="403"/>
      <c r="Q225" s="403"/>
      <c r="R225" s="403"/>
      <c r="S225" s="403"/>
      <c r="T225" s="403"/>
      <c r="U225" s="403"/>
      <c r="V225" s="403"/>
      <c r="W225" s="403"/>
    </row>
    <row r="226" spans="1:23">
      <c r="A226" s="57">
        <v>36741</v>
      </c>
      <c r="B226" s="387"/>
      <c r="C226" s="395"/>
      <c r="D226" s="139"/>
      <c r="E226" s="139"/>
      <c r="F226" s="139"/>
      <c r="G226" s="389"/>
      <c r="H226" s="389"/>
      <c r="I226" s="389"/>
      <c r="J226" s="389"/>
      <c r="K226" s="139"/>
      <c r="L226" s="139"/>
      <c r="M226" s="403"/>
      <c r="N226" s="403"/>
      <c r="O226" s="403"/>
      <c r="P226" s="403"/>
      <c r="Q226" s="403"/>
      <c r="R226" s="403"/>
      <c r="S226" s="403"/>
      <c r="T226" s="403"/>
      <c r="U226" s="403"/>
      <c r="V226" s="403"/>
      <c r="W226" s="403"/>
    </row>
    <row r="227" spans="1:23">
      <c r="A227" s="57">
        <v>36742</v>
      </c>
      <c r="B227" s="387"/>
      <c r="C227" s="395"/>
      <c r="D227" s="139"/>
      <c r="E227" s="139"/>
      <c r="F227" s="139"/>
      <c r="G227" s="389"/>
      <c r="H227" s="389"/>
      <c r="I227" s="389"/>
      <c r="J227" s="389"/>
      <c r="K227" s="139"/>
      <c r="L227" s="139"/>
      <c r="M227" s="403"/>
      <c r="N227" s="403"/>
      <c r="O227" s="403"/>
      <c r="P227" s="403"/>
      <c r="Q227" s="403"/>
      <c r="R227" s="403"/>
      <c r="S227" s="403"/>
      <c r="T227" s="403"/>
      <c r="U227" s="403"/>
      <c r="V227" s="403"/>
      <c r="W227" s="403"/>
    </row>
    <row r="228" spans="1:23">
      <c r="A228" s="57">
        <v>36743</v>
      </c>
      <c r="B228" s="387"/>
      <c r="C228" s="395"/>
      <c r="D228" s="139"/>
      <c r="E228" s="139"/>
      <c r="F228" s="139"/>
      <c r="G228" s="389"/>
      <c r="H228" s="389"/>
      <c r="I228" s="389"/>
      <c r="J228" s="389"/>
      <c r="K228" s="139"/>
      <c r="L228" s="139"/>
      <c r="M228" s="403"/>
      <c r="N228" s="403"/>
      <c r="O228" s="403"/>
      <c r="P228" s="403"/>
      <c r="Q228" s="403"/>
      <c r="R228" s="403"/>
      <c r="S228" s="403"/>
      <c r="T228" s="403"/>
      <c r="U228" s="403"/>
      <c r="V228" s="403"/>
      <c r="W228" s="403"/>
    </row>
    <row r="229" spans="1:23">
      <c r="A229" s="57">
        <v>36744</v>
      </c>
      <c r="B229" s="387"/>
      <c r="C229" s="395"/>
      <c r="D229" s="139"/>
      <c r="E229" s="139"/>
      <c r="F229" s="139"/>
      <c r="G229" s="389"/>
      <c r="H229" s="389"/>
      <c r="I229" s="389"/>
      <c r="J229" s="389"/>
      <c r="K229" s="139"/>
      <c r="L229" s="139"/>
      <c r="M229" s="403"/>
      <c r="N229" s="403"/>
      <c r="O229" s="403"/>
      <c r="P229" s="403"/>
      <c r="Q229" s="403"/>
      <c r="R229" s="403"/>
      <c r="S229" s="403"/>
      <c r="T229" s="403"/>
      <c r="U229" s="403"/>
      <c r="V229" s="403"/>
      <c r="W229" s="403"/>
    </row>
    <row r="230" spans="1:23">
      <c r="A230" s="57">
        <v>36745</v>
      </c>
      <c r="B230" s="387"/>
      <c r="C230" s="395"/>
      <c r="D230" s="139"/>
      <c r="E230" s="139"/>
      <c r="F230" s="139"/>
      <c r="G230" s="389"/>
      <c r="H230" s="389"/>
      <c r="I230" s="389"/>
      <c r="J230" s="389"/>
      <c r="K230" s="139"/>
      <c r="L230" s="139"/>
      <c r="M230" s="403"/>
      <c r="N230" s="403"/>
      <c r="O230" s="403"/>
      <c r="P230" s="403"/>
      <c r="Q230" s="403"/>
      <c r="R230" s="403"/>
      <c r="S230" s="403"/>
      <c r="T230" s="403"/>
      <c r="U230" s="403"/>
      <c r="V230" s="403"/>
      <c r="W230" s="403"/>
    </row>
    <row r="231" spans="1:23">
      <c r="A231" s="57">
        <v>36746</v>
      </c>
      <c r="B231" s="387"/>
      <c r="C231" s="395"/>
      <c r="D231" s="139"/>
      <c r="E231" s="139"/>
      <c r="F231" s="139"/>
      <c r="G231" s="389"/>
      <c r="H231" s="389"/>
      <c r="I231" s="389"/>
      <c r="J231" s="389"/>
      <c r="K231" s="139"/>
      <c r="L231" s="139"/>
      <c r="M231" s="403"/>
      <c r="N231" s="403"/>
      <c r="O231" s="403"/>
      <c r="P231" s="403"/>
      <c r="Q231" s="403"/>
      <c r="R231" s="403"/>
      <c r="S231" s="403"/>
      <c r="T231" s="403"/>
      <c r="U231" s="403"/>
      <c r="V231" s="403"/>
      <c r="W231" s="403"/>
    </row>
    <row r="232" spans="1:23">
      <c r="A232" s="57">
        <v>36747</v>
      </c>
      <c r="B232" s="387"/>
      <c r="C232" s="395"/>
      <c r="D232" s="139"/>
      <c r="E232" s="139"/>
      <c r="F232" s="139"/>
      <c r="G232" s="389"/>
      <c r="H232" s="389"/>
      <c r="I232" s="389"/>
      <c r="J232" s="389"/>
      <c r="K232" s="139"/>
      <c r="L232" s="139"/>
      <c r="M232" s="403"/>
      <c r="N232" s="403"/>
      <c r="O232" s="403"/>
      <c r="P232" s="403"/>
      <c r="Q232" s="403"/>
      <c r="R232" s="403"/>
      <c r="S232" s="403"/>
      <c r="T232" s="403"/>
      <c r="U232" s="403"/>
      <c r="V232" s="403"/>
      <c r="W232" s="403"/>
    </row>
    <row r="233" spans="1:23">
      <c r="A233" s="57">
        <v>36748</v>
      </c>
      <c r="B233" s="387"/>
      <c r="C233" s="395"/>
      <c r="D233" s="139"/>
      <c r="E233" s="139"/>
      <c r="F233" s="139"/>
      <c r="G233" s="389"/>
      <c r="H233" s="389"/>
      <c r="I233" s="389"/>
      <c r="J233" s="389"/>
      <c r="K233" s="139"/>
      <c r="L233" s="139"/>
      <c r="M233" s="403"/>
      <c r="N233" s="403"/>
      <c r="O233" s="403"/>
      <c r="P233" s="403"/>
      <c r="Q233" s="403"/>
      <c r="R233" s="403"/>
      <c r="S233" s="403"/>
      <c r="T233" s="403"/>
      <c r="U233" s="403"/>
      <c r="V233" s="403"/>
      <c r="W233" s="403"/>
    </row>
    <row r="234" spans="1:23">
      <c r="A234" s="57">
        <v>36749</v>
      </c>
      <c r="B234" s="387"/>
      <c r="C234" s="395"/>
      <c r="D234" s="139"/>
      <c r="E234" s="139"/>
      <c r="F234" s="139"/>
      <c r="G234" s="389"/>
      <c r="H234" s="389"/>
      <c r="I234" s="389"/>
      <c r="J234" s="389"/>
      <c r="K234" s="139"/>
      <c r="L234" s="139"/>
      <c r="M234" s="403"/>
      <c r="N234" s="403"/>
      <c r="O234" s="403"/>
      <c r="P234" s="403"/>
      <c r="Q234" s="403"/>
      <c r="R234" s="403"/>
      <c r="S234" s="403"/>
      <c r="T234" s="403"/>
      <c r="U234" s="403"/>
      <c r="V234" s="403"/>
      <c r="W234" s="403"/>
    </row>
    <row r="235" spans="1:23">
      <c r="A235" s="57">
        <v>36750</v>
      </c>
      <c r="B235" s="387"/>
      <c r="C235" s="395"/>
      <c r="D235" s="139"/>
      <c r="E235" s="139"/>
      <c r="F235" s="139"/>
      <c r="G235" s="389"/>
      <c r="H235" s="389"/>
      <c r="I235" s="389"/>
      <c r="J235" s="389"/>
      <c r="K235" s="139"/>
      <c r="L235" s="139"/>
      <c r="M235" s="403"/>
      <c r="N235" s="403"/>
      <c r="O235" s="403"/>
      <c r="P235" s="403"/>
      <c r="Q235" s="403"/>
      <c r="R235" s="403"/>
      <c r="S235" s="403"/>
      <c r="T235" s="403"/>
      <c r="U235" s="403"/>
      <c r="V235" s="403"/>
      <c r="W235" s="403"/>
    </row>
    <row r="236" spans="1:23">
      <c r="A236" s="57">
        <v>36751</v>
      </c>
      <c r="B236" s="387"/>
      <c r="C236" s="395"/>
      <c r="D236" s="139"/>
      <c r="E236" s="139"/>
      <c r="F236" s="139"/>
      <c r="G236" s="389"/>
      <c r="H236" s="389"/>
      <c r="I236" s="389"/>
      <c r="J236" s="389"/>
      <c r="K236" s="139"/>
      <c r="L236" s="139"/>
      <c r="M236" s="403"/>
      <c r="N236" s="403"/>
      <c r="O236" s="403"/>
      <c r="P236" s="403"/>
      <c r="Q236" s="403"/>
      <c r="R236" s="403"/>
      <c r="S236" s="403"/>
      <c r="T236" s="403"/>
      <c r="U236" s="403"/>
      <c r="V236" s="403"/>
      <c r="W236" s="403"/>
    </row>
    <row r="237" spans="1:23">
      <c r="A237" s="57">
        <v>36752</v>
      </c>
      <c r="B237" s="387"/>
      <c r="C237" s="395"/>
      <c r="D237" s="139"/>
      <c r="E237" s="139"/>
      <c r="F237" s="139"/>
      <c r="G237" s="389"/>
      <c r="H237" s="389"/>
      <c r="I237" s="389"/>
      <c r="J237" s="389"/>
      <c r="K237" s="139"/>
      <c r="L237" s="139"/>
      <c r="M237" s="403"/>
      <c r="N237" s="403"/>
      <c r="O237" s="403"/>
      <c r="P237" s="403"/>
      <c r="Q237" s="403"/>
      <c r="R237" s="403"/>
      <c r="S237" s="403"/>
      <c r="T237" s="403"/>
      <c r="U237" s="403"/>
      <c r="V237" s="403"/>
      <c r="W237" s="403"/>
    </row>
    <row r="238" spans="1:23">
      <c r="A238" s="57">
        <v>36753</v>
      </c>
      <c r="B238" s="387"/>
      <c r="C238" s="395"/>
      <c r="D238" s="139"/>
      <c r="E238" s="139"/>
      <c r="F238" s="139"/>
      <c r="G238" s="389"/>
      <c r="H238" s="389"/>
      <c r="I238" s="389"/>
      <c r="J238" s="389"/>
      <c r="K238" s="139"/>
      <c r="L238" s="139"/>
      <c r="M238" s="403"/>
      <c r="N238" s="403"/>
      <c r="O238" s="403"/>
      <c r="P238" s="403"/>
      <c r="Q238" s="403"/>
      <c r="R238" s="403"/>
      <c r="S238" s="403"/>
      <c r="T238" s="403"/>
      <c r="U238" s="403"/>
      <c r="V238" s="403"/>
      <c r="W238" s="403"/>
    </row>
    <row r="239" spans="1:23">
      <c r="A239" s="57">
        <v>36754</v>
      </c>
      <c r="B239" s="387"/>
      <c r="C239" s="395"/>
      <c r="D239" s="139"/>
      <c r="E239" s="139"/>
      <c r="F239" s="139"/>
      <c r="G239" s="389"/>
      <c r="H239" s="389"/>
      <c r="I239" s="389"/>
      <c r="J239" s="389"/>
      <c r="K239" s="139"/>
      <c r="L239" s="139"/>
      <c r="M239" s="403"/>
      <c r="N239" s="403"/>
      <c r="O239" s="403"/>
      <c r="P239" s="403"/>
      <c r="Q239" s="403"/>
      <c r="R239" s="403"/>
      <c r="S239" s="403"/>
      <c r="T239" s="403"/>
      <c r="U239" s="403"/>
      <c r="V239" s="403"/>
      <c r="W239" s="403"/>
    </row>
    <row r="240" spans="1:23">
      <c r="A240" s="57">
        <v>36755</v>
      </c>
      <c r="B240" s="387"/>
      <c r="C240" s="395"/>
      <c r="D240" s="139"/>
      <c r="E240" s="139"/>
      <c r="F240" s="139"/>
      <c r="G240" s="389"/>
      <c r="H240" s="389"/>
      <c r="I240" s="389"/>
      <c r="J240" s="389"/>
      <c r="K240" s="139"/>
      <c r="L240" s="139"/>
      <c r="M240" s="403"/>
      <c r="N240" s="403"/>
      <c r="O240" s="403"/>
      <c r="P240" s="403"/>
      <c r="Q240" s="403"/>
      <c r="R240" s="403"/>
      <c r="S240" s="403"/>
      <c r="T240" s="403"/>
      <c r="U240" s="403"/>
      <c r="V240" s="403"/>
      <c r="W240" s="403"/>
    </row>
    <row r="241" spans="1:23">
      <c r="A241" s="57">
        <v>36756</v>
      </c>
      <c r="B241" s="387"/>
      <c r="C241" s="395"/>
      <c r="D241" s="139"/>
      <c r="E241" s="139"/>
      <c r="F241" s="139"/>
      <c r="G241" s="389"/>
      <c r="H241" s="389"/>
      <c r="I241" s="389"/>
      <c r="J241" s="389"/>
      <c r="K241" s="139"/>
      <c r="L241" s="139"/>
      <c r="M241" s="403"/>
      <c r="N241" s="403"/>
      <c r="O241" s="403"/>
      <c r="P241" s="403"/>
      <c r="Q241" s="403"/>
      <c r="R241" s="403"/>
      <c r="S241" s="403"/>
      <c r="T241" s="403"/>
      <c r="U241" s="403"/>
      <c r="V241" s="403"/>
      <c r="W241" s="403"/>
    </row>
    <row r="242" spans="1:23">
      <c r="A242" s="57">
        <v>36757</v>
      </c>
      <c r="B242" s="387"/>
      <c r="C242" s="395"/>
      <c r="D242" s="139"/>
      <c r="E242" s="139"/>
      <c r="F242" s="139"/>
      <c r="G242" s="389"/>
      <c r="H242" s="389"/>
      <c r="I242" s="389"/>
      <c r="J242" s="389"/>
      <c r="K242" s="139"/>
      <c r="L242" s="139"/>
      <c r="M242" s="403"/>
      <c r="N242" s="403"/>
      <c r="O242" s="403"/>
      <c r="P242" s="403"/>
      <c r="Q242" s="403"/>
      <c r="R242" s="403"/>
      <c r="S242" s="403"/>
      <c r="T242" s="403"/>
      <c r="U242" s="403"/>
      <c r="V242" s="403"/>
      <c r="W242" s="403"/>
    </row>
    <row r="243" spans="1:23">
      <c r="A243" s="57">
        <v>36758</v>
      </c>
      <c r="B243" s="387"/>
      <c r="C243" s="395"/>
      <c r="D243" s="139"/>
      <c r="E243" s="139"/>
      <c r="F243" s="139"/>
      <c r="G243" s="389"/>
      <c r="H243" s="389"/>
      <c r="I243" s="389"/>
      <c r="J243" s="389"/>
      <c r="K243" s="139"/>
      <c r="L243" s="139"/>
      <c r="M243" s="403"/>
      <c r="N243" s="403"/>
      <c r="O243" s="403"/>
      <c r="P243" s="403"/>
      <c r="Q243" s="403"/>
      <c r="R243" s="403"/>
      <c r="S243" s="403"/>
      <c r="T243" s="403"/>
      <c r="U243" s="403"/>
      <c r="V243" s="403"/>
      <c r="W243" s="403"/>
    </row>
    <row r="244" spans="1:23">
      <c r="A244" s="57">
        <v>36759</v>
      </c>
      <c r="B244" s="387"/>
      <c r="C244" s="395"/>
      <c r="D244" s="139"/>
      <c r="E244" s="139"/>
      <c r="F244" s="139"/>
      <c r="G244" s="389"/>
      <c r="H244" s="389"/>
      <c r="I244" s="389"/>
      <c r="J244" s="389"/>
      <c r="K244" s="139"/>
      <c r="L244" s="139"/>
      <c r="M244" s="403"/>
      <c r="N244" s="403"/>
      <c r="O244" s="403"/>
      <c r="P244" s="403"/>
      <c r="Q244" s="403"/>
      <c r="R244" s="403"/>
      <c r="S244" s="403"/>
      <c r="T244" s="403"/>
      <c r="U244" s="403"/>
      <c r="V244" s="403"/>
      <c r="W244" s="403"/>
    </row>
    <row r="245" spans="1:23">
      <c r="A245" s="57">
        <v>36760</v>
      </c>
      <c r="B245" s="387"/>
      <c r="C245" s="395"/>
      <c r="D245" s="139"/>
      <c r="E245" s="139"/>
      <c r="F245" s="139"/>
      <c r="G245" s="389"/>
      <c r="H245" s="389"/>
      <c r="I245" s="389"/>
      <c r="J245" s="389"/>
      <c r="K245" s="139"/>
      <c r="L245" s="139"/>
      <c r="M245" s="403"/>
      <c r="N245" s="403"/>
      <c r="O245" s="403"/>
      <c r="P245" s="403"/>
      <c r="Q245" s="403"/>
      <c r="R245" s="403"/>
      <c r="S245" s="403"/>
      <c r="T245" s="403"/>
      <c r="U245" s="403"/>
      <c r="V245" s="403"/>
      <c r="W245" s="403"/>
    </row>
    <row r="246" spans="1:23">
      <c r="A246" s="57">
        <v>36761</v>
      </c>
      <c r="B246" s="387"/>
      <c r="C246" s="395"/>
      <c r="D246" s="139"/>
      <c r="E246" s="139"/>
      <c r="F246" s="139"/>
      <c r="G246" s="389"/>
      <c r="H246" s="389"/>
      <c r="I246" s="389"/>
      <c r="J246" s="389"/>
      <c r="K246" s="139"/>
      <c r="L246" s="139"/>
      <c r="M246" s="403"/>
      <c r="N246" s="403"/>
      <c r="O246" s="403"/>
      <c r="P246" s="403"/>
      <c r="Q246" s="403"/>
      <c r="R246" s="403"/>
      <c r="S246" s="403"/>
      <c r="T246" s="403"/>
      <c r="U246" s="403"/>
      <c r="V246" s="403"/>
      <c r="W246" s="403"/>
    </row>
    <row r="247" spans="1:23">
      <c r="A247" s="57">
        <v>36762</v>
      </c>
      <c r="B247" s="387"/>
      <c r="C247" s="395"/>
      <c r="D247" s="139"/>
      <c r="E247" s="139"/>
      <c r="F247" s="139"/>
      <c r="G247" s="389"/>
      <c r="H247" s="389"/>
      <c r="I247" s="389"/>
      <c r="J247" s="389"/>
      <c r="K247" s="139"/>
      <c r="L247" s="139"/>
      <c r="M247" s="403"/>
      <c r="N247" s="403"/>
      <c r="O247" s="403"/>
      <c r="P247" s="403"/>
      <c r="Q247" s="403"/>
      <c r="R247" s="403"/>
      <c r="S247" s="403"/>
      <c r="T247" s="403"/>
      <c r="U247" s="403"/>
      <c r="V247" s="403"/>
      <c r="W247" s="403"/>
    </row>
    <row r="248" spans="1:23">
      <c r="A248" s="57">
        <v>36763</v>
      </c>
      <c r="B248" s="387"/>
      <c r="C248" s="395"/>
      <c r="D248" s="139"/>
      <c r="E248" s="139"/>
      <c r="F248" s="139"/>
      <c r="G248" s="389"/>
      <c r="H248" s="389"/>
      <c r="I248" s="389"/>
      <c r="J248" s="389"/>
      <c r="K248" s="139"/>
      <c r="L248" s="139"/>
      <c r="M248" s="403"/>
      <c r="N248" s="403"/>
      <c r="O248" s="403"/>
      <c r="P248" s="403"/>
      <c r="Q248" s="403"/>
      <c r="R248" s="403"/>
      <c r="S248" s="403"/>
      <c r="T248" s="403"/>
      <c r="U248" s="403"/>
      <c r="V248" s="403"/>
      <c r="W248" s="403"/>
    </row>
    <row r="249" spans="1:23">
      <c r="A249" s="57">
        <v>36764</v>
      </c>
      <c r="B249" s="387"/>
      <c r="C249" s="395"/>
      <c r="D249" s="139"/>
      <c r="E249" s="139"/>
      <c r="F249" s="139"/>
      <c r="G249" s="389"/>
      <c r="H249" s="389"/>
      <c r="I249" s="389"/>
      <c r="J249" s="389"/>
      <c r="K249" s="139"/>
      <c r="L249" s="139"/>
      <c r="M249" s="403"/>
      <c r="N249" s="403"/>
      <c r="O249" s="403"/>
      <c r="P249" s="403"/>
      <c r="Q249" s="403"/>
      <c r="R249" s="403"/>
      <c r="S249" s="403"/>
      <c r="T249" s="403"/>
      <c r="U249" s="403"/>
      <c r="V249" s="403"/>
      <c r="W249" s="403"/>
    </row>
    <row r="250" spans="1:23">
      <c r="A250" s="57">
        <v>36765</v>
      </c>
      <c r="B250" s="387"/>
      <c r="C250" s="395"/>
      <c r="D250" s="139"/>
      <c r="E250" s="139"/>
      <c r="F250" s="139"/>
      <c r="G250" s="389"/>
      <c r="H250" s="389"/>
      <c r="I250" s="389"/>
      <c r="J250" s="389"/>
      <c r="K250" s="139"/>
      <c r="L250" s="139"/>
      <c r="M250" s="403"/>
      <c r="N250" s="403"/>
      <c r="O250" s="403"/>
      <c r="P250" s="403"/>
      <c r="Q250" s="403"/>
      <c r="R250" s="403"/>
      <c r="S250" s="403"/>
      <c r="T250" s="403"/>
      <c r="U250" s="403"/>
      <c r="V250" s="403"/>
      <c r="W250" s="403"/>
    </row>
    <row r="251" spans="1:23">
      <c r="A251" s="57">
        <v>36766</v>
      </c>
      <c r="B251" s="387"/>
      <c r="C251" s="395"/>
      <c r="D251" s="139"/>
      <c r="E251" s="139"/>
      <c r="F251" s="139"/>
      <c r="G251" s="389"/>
      <c r="H251" s="389"/>
      <c r="I251" s="389"/>
      <c r="J251" s="389"/>
      <c r="K251" s="139"/>
      <c r="L251" s="139"/>
      <c r="M251" s="403"/>
      <c r="N251" s="403"/>
      <c r="O251" s="403"/>
      <c r="P251" s="403"/>
      <c r="Q251" s="403"/>
      <c r="R251" s="403"/>
      <c r="S251" s="403"/>
      <c r="T251" s="403"/>
      <c r="U251" s="403"/>
      <c r="V251" s="403"/>
      <c r="W251" s="403"/>
    </row>
    <row r="252" spans="1:23">
      <c r="A252" s="57">
        <v>36767</v>
      </c>
      <c r="B252" s="387"/>
      <c r="C252" s="395"/>
      <c r="D252" s="139"/>
      <c r="E252" s="139"/>
      <c r="F252" s="139"/>
      <c r="G252" s="389"/>
      <c r="H252" s="389"/>
      <c r="I252" s="389"/>
      <c r="J252" s="389"/>
      <c r="K252" s="139"/>
      <c r="L252" s="139"/>
      <c r="M252" s="403"/>
      <c r="N252" s="403"/>
      <c r="O252" s="403"/>
      <c r="P252" s="403"/>
      <c r="Q252" s="403"/>
      <c r="R252" s="403"/>
      <c r="S252" s="403"/>
      <c r="T252" s="403"/>
      <c r="U252" s="403"/>
      <c r="V252" s="403"/>
      <c r="W252" s="403"/>
    </row>
    <row r="253" spans="1:23">
      <c r="A253" s="57">
        <v>36768</v>
      </c>
      <c r="B253" s="387"/>
      <c r="C253" s="395"/>
      <c r="D253" s="139"/>
      <c r="E253" s="139"/>
      <c r="F253" s="139"/>
      <c r="G253" s="389"/>
      <c r="H253" s="389"/>
      <c r="I253" s="389"/>
      <c r="J253" s="389"/>
      <c r="K253" s="139"/>
      <c r="L253" s="139"/>
      <c r="M253" s="403"/>
      <c r="N253" s="403"/>
      <c r="O253" s="403"/>
      <c r="P253" s="403"/>
      <c r="Q253" s="403"/>
      <c r="R253" s="403"/>
      <c r="S253" s="403"/>
      <c r="T253" s="403"/>
      <c r="U253" s="403"/>
      <c r="V253" s="403"/>
      <c r="W253" s="403"/>
    </row>
    <row r="254" spans="1:23">
      <c r="A254" s="57">
        <v>36769</v>
      </c>
      <c r="B254" s="387"/>
      <c r="C254" s="395"/>
      <c r="D254" s="139"/>
      <c r="E254" s="139"/>
      <c r="F254" s="139"/>
      <c r="G254" s="389"/>
      <c r="H254" s="389"/>
      <c r="I254" s="389"/>
      <c r="J254" s="389"/>
      <c r="K254" s="139"/>
      <c r="L254" s="139"/>
      <c r="M254" s="403"/>
      <c r="N254" s="403"/>
      <c r="O254" s="403"/>
      <c r="P254" s="403"/>
      <c r="Q254" s="403"/>
      <c r="R254" s="403"/>
      <c r="S254" s="403"/>
      <c r="T254" s="403"/>
      <c r="U254" s="403"/>
      <c r="V254" s="403"/>
      <c r="W254" s="403"/>
    </row>
    <row r="255" spans="1:23">
      <c r="A255" s="57">
        <v>36770</v>
      </c>
      <c r="B255" s="387"/>
      <c r="C255" s="395"/>
      <c r="D255" s="139"/>
      <c r="E255" s="139"/>
      <c r="F255" s="139"/>
      <c r="G255" s="389"/>
      <c r="H255" s="389"/>
      <c r="I255" s="389"/>
      <c r="J255" s="389"/>
      <c r="K255" s="139"/>
      <c r="L255" s="139"/>
      <c r="M255" s="403"/>
      <c r="N255" s="403"/>
      <c r="O255" s="403"/>
      <c r="P255" s="403"/>
      <c r="Q255" s="403"/>
      <c r="R255" s="403"/>
      <c r="S255" s="403"/>
      <c r="T255" s="403"/>
      <c r="U255" s="403"/>
      <c r="V255" s="403"/>
      <c r="W255" s="403"/>
    </row>
    <row r="256" spans="1:23">
      <c r="A256" s="57">
        <v>36771</v>
      </c>
      <c r="B256" s="387"/>
      <c r="C256" s="395"/>
      <c r="D256" s="139"/>
      <c r="E256" s="139"/>
      <c r="F256" s="139"/>
      <c r="G256" s="389"/>
      <c r="H256" s="389"/>
      <c r="I256" s="389"/>
      <c r="J256" s="389"/>
      <c r="K256" s="139"/>
      <c r="L256" s="139"/>
      <c r="M256" s="403"/>
      <c r="N256" s="403"/>
      <c r="O256" s="403"/>
      <c r="P256" s="403"/>
      <c r="Q256" s="403"/>
      <c r="R256" s="403"/>
      <c r="S256" s="403"/>
      <c r="T256" s="403"/>
      <c r="U256" s="403"/>
      <c r="V256" s="403"/>
      <c r="W256" s="403"/>
    </row>
    <row r="257" spans="1:23">
      <c r="A257" s="57">
        <v>36772</v>
      </c>
      <c r="B257" s="387"/>
      <c r="C257" s="395"/>
      <c r="D257" s="139"/>
      <c r="E257" s="139"/>
      <c r="F257" s="139"/>
      <c r="G257" s="389"/>
      <c r="H257" s="389"/>
      <c r="I257" s="389"/>
      <c r="J257" s="389"/>
      <c r="K257" s="139"/>
      <c r="L257" s="139"/>
      <c r="M257" s="403"/>
      <c r="N257" s="403"/>
      <c r="O257" s="403"/>
      <c r="P257" s="403"/>
      <c r="Q257" s="403"/>
      <c r="R257" s="403"/>
      <c r="S257" s="403"/>
      <c r="T257" s="403"/>
      <c r="U257" s="403"/>
      <c r="V257" s="403"/>
      <c r="W257" s="403"/>
    </row>
    <row r="258" spans="1:23">
      <c r="A258" s="57">
        <v>36773</v>
      </c>
      <c r="B258" s="387"/>
      <c r="C258" s="395"/>
      <c r="D258" s="139"/>
      <c r="E258" s="139"/>
      <c r="F258" s="139"/>
      <c r="G258" s="389"/>
      <c r="H258" s="389"/>
      <c r="I258" s="389"/>
      <c r="J258" s="389"/>
      <c r="K258" s="139"/>
      <c r="L258" s="139"/>
      <c r="M258" s="403"/>
      <c r="N258" s="403"/>
      <c r="O258" s="403"/>
      <c r="P258" s="403"/>
      <c r="Q258" s="403"/>
      <c r="R258" s="403"/>
      <c r="S258" s="403"/>
      <c r="T258" s="403"/>
      <c r="U258" s="403"/>
      <c r="V258" s="403"/>
      <c r="W258" s="403"/>
    </row>
    <row r="259" spans="1:23">
      <c r="A259" s="57">
        <v>36774</v>
      </c>
      <c r="B259" s="387"/>
      <c r="C259" s="395"/>
      <c r="D259" s="139"/>
      <c r="E259" s="139"/>
      <c r="F259" s="139"/>
      <c r="G259" s="389"/>
      <c r="H259" s="389"/>
      <c r="I259" s="389"/>
      <c r="J259" s="389"/>
      <c r="K259" s="139"/>
      <c r="L259" s="139"/>
      <c r="M259" s="403"/>
      <c r="N259" s="403"/>
      <c r="O259" s="403"/>
      <c r="P259" s="403"/>
      <c r="Q259" s="403"/>
      <c r="R259" s="403"/>
      <c r="S259" s="403"/>
      <c r="T259" s="403"/>
      <c r="U259" s="403"/>
      <c r="V259" s="403"/>
      <c r="W259" s="403"/>
    </row>
    <row r="260" spans="1:23">
      <c r="A260" s="57">
        <v>36775</v>
      </c>
      <c r="B260" s="387"/>
      <c r="C260" s="395"/>
      <c r="D260" s="139"/>
      <c r="E260" s="139"/>
      <c r="F260" s="139"/>
      <c r="G260" s="389"/>
      <c r="H260" s="389"/>
      <c r="I260" s="389"/>
      <c r="J260" s="389"/>
      <c r="K260" s="139"/>
      <c r="L260" s="139"/>
      <c r="M260" s="403"/>
      <c r="N260" s="403"/>
      <c r="O260" s="403"/>
      <c r="P260" s="403"/>
      <c r="Q260" s="403"/>
      <c r="R260" s="403"/>
      <c r="S260" s="403"/>
      <c r="T260" s="403"/>
      <c r="U260" s="403"/>
      <c r="V260" s="403"/>
      <c r="W260" s="403"/>
    </row>
    <row r="261" spans="1:23">
      <c r="A261" s="57">
        <v>36776</v>
      </c>
      <c r="B261" s="387"/>
      <c r="C261" s="395"/>
      <c r="D261" s="139"/>
      <c r="E261" s="139"/>
      <c r="F261" s="139"/>
      <c r="G261" s="389"/>
      <c r="H261" s="389"/>
      <c r="I261" s="389"/>
      <c r="J261" s="389"/>
      <c r="K261" s="139"/>
      <c r="L261" s="139"/>
      <c r="M261" s="403"/>
      <c r="N261" s="403"/>
      <c r="O261" s="403"/>
      <c r="P261" s="403"/>
      <c r="Q261" s="403"/>
      <c r="R261" s="403"/>
      <c r="S261" s="403"/>
      <c r="T261" s="403"/>
      <c r="U261" s="403"/>
      <c r="V261" s="403"/>
      <c r="W261" s="403"/>
    </row>
    <row r="262" spans="1:23">
      <c r="A262" s="57">
        <v>36777</v>
      </c>
      <c r="B262" s="387"/>
      <c r="C262" s="395"/>
      <c r="D262" s="139"/>
      <c r="E262" s="139"/>
      <c r="F262" s="139"/>
      <c r="G262" s="389"/>
      <c r="H262" s="389"/>
      <c r="I262" s="389"/>
      <c r="J262" s="389"/>
      <c r="K262" s="139"/>
      <c r="L262" s="139"/>
      <c r="M262" s="403"/>
      <c r="N262" s="403"/>
      <c r="O262" s="403"/>
      <c r="P262" s="403"/>
      <c r="Q262" s="403"/>
      <c r="R262" s="403"/>
      <c r="S262" s="403"/>
      <c r="T262" s="403"/>
      <c r="U262" s="403"/>
      <c r="V262" s="403"/>
      <c r="W262" s="403"/>
    </row>
    <row r="263" spans="1:23">
      <c r="A263" s="57">
        <v>36778</v>
      </c>
      <c r="B263" s="387"/>
      <c r="C263" s="395"/>
      <c r="D263" s="139"/>
      <c r="E263" s="139"/>
      <c r="F263" s="139"/>
      <c r="G263" s="389"/>
      <c r="H263" s="389"/>
      <c r="I263" s="389"/>
      <c r="J263" s="389"/>
      <c r="K263" s="139"/>
      <c r="L263" s="139"/>
      <c r="M263" s="403"/>
      <c r="N263" s="403"/>
      <c r="O263" s="403"/>
      <c r="P263" s="403"/>
      <c r="Q263" s="403"/>
      <c r="R263" s="403"/>
      <c r="S263" s="403"/>
      <c r="T263" s="403"/>
      <c r="U263" s="403"/>
      <c r="V263" s="403"/>
      <c r="W263" s="403"/>
    </row>
    <row r="264" spans="1:23">
      <c r="A264" s="57">
        <v>36779</v>
      </c>
      <c r="B264" s="387"/>
      <c r="C264" s="395"/>
      <c r="D264" s="139"/>
      <c r="E264" s="139"/>
      <c r="F264" s="139"/>
      <c r="G264" s="389"/>
      <c r="H264" s="389"/>
      <c r="I264" s="389"/>
      <c r="J264" s="389"/>
      <c r="K264" s="139"/>
      <c r="L264" s="139"/>
      <c r="M264" s="403"/>
      <c r="N264" s="403"/>
      <c r="O264" s="403"/>
      <c r="P264" s="403"/>
      <c r="Q264" s="403"/>
      <c r="R264" s="403"/>
      <c r="S264" s="403"/>
      <c r="T264" s="403"/>
      <c r="U264" s="403"/>
      <c r="V264" s="403"/>
      <c r="W264" s="403"/>
    </row>
    <row r="265" spans="1:23">
      <c r="A265" s="57">
        <v>36780</v>
      </c>
      <c r="B265" s="387"/>
      <c r="C265" s="395"/>
      <c r="D265" s="139"/>
      <c r="E265" s="139"/>
      <c r="F265" s="139"/>
      <c r="G265" s="389"/>
      <c r="H265" s="389"/>
      <c r="I265" s="389"/>
      <c r="J265" s="389"/>
      <c r="K265" s="139"/>
      <c r="L265" s="139"/>
      <c r="M265" s="403"/>
      <c r="N265" s="403"/>
      <c r="O265" s="403"/>
      <c r="P265" s="403"/>
      <c r="Q265" s="403"/>
      <c r="R265" s="403"/>
      <c r="S265" s="403"/>
      <c r="T265" s="403"/>
      <c r="U265" s="403"/>
      <c r="V265" s="403"/>
      <c r="W265" s="403"/>
    </row>
    <row r="266" spans="1:23">
      <c r="A266" s="57">
        <v>36781</v>
      </c>
      <c r="B266" s="387"/>
      <c r="C266" s="395"/>
      <c r="D266" s="139"/>
      <c r="E266" s="139"/>
      <c r="F266" s="139"/>
      <c r="G266" s="389"/>
      <c r="H266" s="389"/>
      <c r="I266" s="389"/>
      <c r="J266" s="389"/>
      <c r="K266" s="139"/>
      <c r="L266" s="139"/>
      <c r="M266" s="403"/>
      <c r="N266" s="403"/>
      <c r="O266" s="403"/>
      <c r="P266" s="403"/>
      <c r="Q266" s="403"/>
      <c r="R266" s="403"/>
      <c r="S266" s="403"/>
      <c r="T266" s="403"/>
      <c r="U266" s="403"/>
      <c r="V266" s="403"/>
      <c r="W266" s="403"/>
    </row>
    <row r="267" spans="1:23">
      <c r="A267" s="57">
        <v>36782</v>
      </c>
      <c r="B267" s="387"/>
      <c r="C267" s="395"/>
      <c r="D267" s="139"/>
      <c r="E267" s="139"/>
      <c r="F267" s="139"/>
      <c r="G267" s="389"/>
      <c r="H267" s="389"/>
      <c r="I267" s="389"/>
      <c r="J267" s="389"/>
      <c r="K267" s="139"/>
      <c r="L267" s="139"/>
      <c r="M267" s="403"/>
      <c r="N267" s="403"/>
      <c r="O267" s="403"/>
      <c r="P267" s="403"/>
      <c r="Q267" s="403"/>
      <c r="R267" s="403"/>
      <c r="S267" s="403"/>
      <c r="T267" s="403"/>
      <c r="U267" s="403"/>
      <c r="V267" s="403"/>
      <c r="W267" s="403"/>
    </row>
    <row r="268" spans="1:23">
      <c r="A268" s="57">
        <v>36783</v>
      </c>
      <c r="B268" s="387"/>
      <c r="C268" s="395"/>
      <c r="D268" s="139"/>
      <c r="E268" s="139"/>
      <c r="F268" s="139"/>
      <c r="G268" s="389"/>
      <c r="H268" s="389"/>
      <c r="I268" s="389"/>
      <c r="J268" s="389"/>
      <c r="K268" s="139"/>
      <c r="L268" s="139"/>
      <c r="M268" s="403"/>
      <c r="N268" s="403"/>
      <c r="O268" s="403"/>
      <c r="P268" s="403"/>
      <c r="Q268" s="403"/>
      <c r="R268" s="403"/>
      <c r="S268" s="403"/>
      <c r="T268" s="403"/>
      <c r="U268" s="403"/>
      <c r="V268" s="403"/>
      <c r="W268" s="403"/>
    </row>
    <row r="269" spans="1:23">
      <c r="A269" s="57">
        <v>36784</v>
      </c>
      <c r="B269" s="387"/>
      <c r="C269" s="395"/>
      <c r="D269" s="139"/>
      <c r="E269" s="139"/>
      <c r="F269" s="139"/>
      <c r="G269" s="389"/>
      <c r="H269" s="389"/>
      <c r="I269" s="389"/>
      <c r="J269" s="389"/>
      <c r="K269" s="139"/>
      <c r="L269" s="139"/>
      <c r="M269" s="403"/>
      <c r="N269" s="403"/>
      <c r="O269" s="403"/>
      <c r="P269" s="403"/>
      <c r="Q269" s="403"/>
      <c r="R269" s="403"/>
      <c r="S269" s="403"/>
      <c r="T269" s="403"/>
      <c r="U269" s="403"/>
      <c r="V269" s="403"/>
      <c r="W269" s="403"/>
    </row>
    <row r="270" spans="1:23">
      <c r="A270" s="57">
        <v>36785</v>
      </c>
      <c r="B270" s="387"/>
      <c r="C270" s="395"/>
      <c r="D270" s="139"/>
      <c r="E270" s="139"/>
      <c r="F270" s="139"/>
      <c r="G270" s="389"/>
      <c r="H270" s="389"/>
      <c r="I270" s="389"/>
      <c r="J270" s="389"/>
      <c r="K270" s="139"/>
      <c r="L270" s="139"/>
      <c r="M270" s="403"/>
      <c r="N270" s="403"/>
      <c r="O270" s="403"/>
      <c r="P270" s="403"/>
      <c r="Q270" s="403"/>
      <c r="R270" s="403"/>
      <c r="S270" s="403"/>
      <c r="T270" s="403"/>
      <c r="U270" s="403"/>
      <c r="V270" s="403"/>
      <c r="W270" s="403"/>
    </row>
    <row r="271" spans="1:23">
      <c r="A271" s="57">
        <v>36786</v>
      </c>
      <c r="B271" s="387"/>
      <c r="C271" s="395"/>
      <c r="D271" s="139"/>
      <c r="E271" s="139"/>
      <c r="F271" s="139"/>
      <c r="G271" s="389"/>
      <c r="H271" s="389"/>
      <c r="I271" s="389"/>
      <c r="J271" s="389"/>
      <c r="K271" s="139"/>
      <c r="L271" s="139"/>
      <c r="M271" s="403"/>
      <c r="N271" s="403"/>
      <c r="O271" s="403"/>
      <c r="P271" s="403"/>
      <c r="Q271" s="403"/>
      <c r="R271" s="403"/>
      <c r="S271" s="403"/>
      <c r="T271" s="403"/>
      <c r="U271" s="403"/>
      <c r="V271" s="403"/>
      <c r="W271" s="403"/>
    </row>
    <row r="272" spans="1:23">
      <c r="A272" s="57">
        <v>36787</v>
      </c>
      <c r="B272" s="387"/>
      <c r="C272" s="395"/>
      <c r="D272" s="139"/>
      <c r="E272" s="139"/>
      <c r="F272" s="139"/>
      <c r="G272" s="389"/>
      <c r="H272" s="389"/>
      <c r="I272" s="389"/>
      <c r="J272" s="389"/>
      <c r="K272" s="139"/>
      <c r="L272" s="139"/>
      <c r="M272" s="403"/>
      <c r="N272" s="403"/>
      <c r="O272" s="403"/>
      <c r="P272" s="403"/>
      <c r="Q272" s="403"/>
      <c r="R272" s="403"/>
      <c r="S272" s="403"/>
      <c r="T272" s="403"/>
      <c r="U272" s="403"/>
      <c r="V272" s="403"/>
      <c r="W272" s="403"/>
    </row>
    <row r="273" spans="1:23">
      <c r="A273" s="57">
        <v>36788</v>
      </c>
      <c r="B273" s="387"/>
      <c r="C273" s="395"/>
      <c r="D273" s="139"/>
      <c r="E273" s="139"/>
      <c r="F273" s="139"/>
      <c r="G273" s="389"/>
      <c r="H273" s="389"/>
      <c r="I273" s="389"/>
      <c r="J273" s="389"/>
      <c r="K273" s="139"/>
      <c r="L273" s="139"/>
      <c r="M273" s="403"/>
      <c r="N273" s="403"/>
      <c r="O273" s="403"/>
      <c r="P273" s="403"/>
      <c r="Q273" s="403"/>
      <c r="R273" s="403"/>
      <c r="S273" s="403"/>
      <c r="T273" s="403"/>
      <c r="U273" s="403"/>
      <c r="V273" s="403"/>
      <c r="W273" s="403"/>
    </row>
    <row r="274" spans="1:23">
      <c r="A274" s="57">
        <v>36789</v>
      </c>
      <c r="B274" s="387"/>
      <c r="C274" s="395"/>
      <c r="D274" s="139"/>
      <c r="E274" s="139"/>
      <c r="F274" s="139"/>
      <c r="G274" s="389"/>
      <c r="H274" s="389"/>
      <c r="I274" s="389"/>
      <c r="J274" s="389"/>
      <c r="K274" s="139"/>
      <c r="L274" s="139"/>
      <c r="M274" s="403"/>
      <c r="N274" s="403"/>
      <c r="O274" s="403"/>
      <c r="P274" s="403"/>
      <c r="Q274" s="403"/>
      <c r="R274" s="403"/>
      <c r="S274" s="403"/>
      <c r="T274" s="403"/>
      <c r="U274" s="403"/>
      <c r="V274" s="403"/>
      <c r="W274" s="403"/>
    </row>
    <row r="275" spans="1:23">
      <c r="A275" s="57">
        <v>36790</v>
      </c>
      <c r="B275" s="387"/>
      <c r="C275" s="395"/>
      <c r="D275" s="139"/>
      <c r="E275" s="139"/>
      <c r="F275" s="139"/>
      <c r="G275" s="389"/>
      <c r="H275" s="389"/>
      <c r="I275" s="389"/>
      <c r="J275" s="389"/>
      <c r="K275" s="139"/>
      <c r="L275" s="139"/>
      <c r="M275" s="403"/>
      <c r="N275" s="403"/>
      <c r="O275" s="403"/>
      <c r="P275" s="403"/>
      <c r="Q275" s="403"/>
      <c r="R275" s="403"/>
      <c r="S275" s="403"/>
      <c r="T275" s="403"/>
      <c r="U275" s="403"/>
      <c r="V275" s="403"/>
      <c r="W275" s="403"/>
    </row>
    <row r="276" spans="1:23">
      <c r="A276" s="57">
        <v>36791</v>
      </c>
      <c r="B276" s="387"/>
      <c r="C276" s="395"/>
      <c r="D276" s="139"/>
      <c r="E276" s="139"/>
      <c r="F276" s="139"/>
      <c r="G276" s="389"/>
      <c r="H276" s="389"/>
      <c r="I276" s="389"/>
      <c r="J276" s="389"/>
      <c r="K276" s="139"/>
      <c r="L276" s="139"/>
      <c r="M276" s="403"/>
      <c r="N276" s="403"/>
      <c r="O276" s="403"/>
      <c r="P276" s="403"/>
      <c r="Q276" s="403"/>
      <c r="R276" s="403"/>
      <c r="S276" s="403"/>
      <c r="T276" s="403"/>
      <c r="U276" s="403"/>
      <c r="V276" s="403"/>
      <c r="W276" s="403"/>
    </row>
    <row r="277" spans="1:23">
      <c r="A277" s="57">
        <v>36792</v>
      </c>
      <c r="B277" s="387"/>
      <c r="C277" s="395"/>
      <c r="D277" s="139"/>
      <c r="E277" s="139"/>
      <c r="F277" s="139"/>
      <c r="G277" s="389"/>
      <c r="H277" s="389"/>
      <c r="I277" s="389"/>
      <c r="J277" s="389"/>
      <c r="K277" s="139"/>
      <c r="L277" s="139"/>
      <c r="M277" s="403"/>
      <c r="N277" s="403"/>
      <c r="O277" s="403"/>
      <c r="P277" s="403"/>
      <c r="Q277" s="403"/>
      <c r="R277" s="403"/>
      <c r="S277" s="403"/>
      <c r="T277" s="403"/>
      <c r="U277" s="403"/>
      <c r="V277" s="403"/>
      <c r="W277" s="403"/>
    </row>
    <row r="278" spans="1:23">
      <c r="A278" s="57">
        <v>36793</v>
      </c>
      <c r="B278" s="387"/>
      <c r="C278" s="395"/>
      <c r="D278" s="139"/>
      <c r="E278" s="139"/>
      <c r="F278" s="139"/>
      <c r="G278" s="389"/>
      <c r="H278" s="389"/>
      <c r="I278" s="389"/>
      <c r="J278" s="389"/>
      <c r="K278" s="139"/>
      <c r="L278" s="139"/>
      <c r="M278" s="403"/>
      <c r="N278" s="403"/>
      <c r="O278" s="403"/>
      <c r="P278" s="403"/>
      <c r="Q278" s="403"/>
      <c r="R278" s="403"/>
      <c r="S278" s="403"/>
      <c r="T278" s="403"/>
      <c r="U278" s="403"/>
      <c r="V278" s="403"/>
      <c r="W278" s="403"/>
    </row>
    <row r="279" spans="1:23">
      <c r="A279" s="57">
        <v>36794</v>
      </c>
      <c r="B279" s="387"/>
      <c r="C279" s="395"/>
      <c r="D279" s="139"/>
      <c r="E279" s="139"/>
      <c r="F279" s="139"/>
      <c r="G279" s="389"/>
      <c r="H279" s="389"/>
      <c r="I279" s="389"/>
      <c r="J279" s="389"/>
      <c r="K279" s="139"/>
      <c r="L279" s="139"/>
      <c r="M279" s="403"/>
      <c r="N279" s="403"/>
      <c r="O279" s="403"/>
      <c r="P279" s="403"/>
      <c r="Q279" s="403"/>
      <c r="R279" s="403"/>
      <c r="S279" s="403"/>
      <c r="T279" s="403"/>
      <c r="U279" s="403"/>
      <c r="V279" s="403"/>
      <c r="W279" s="403"/>
    </row>
    <row r="280" spans="1:23">
      <c r="A280" s="57">
        <v>36795</v>
      </c>
      <c r="B280" s="387"/>
      <c r="C280" s="395"/>
      <c r="D280" s="139"/>
      <c r="E280" s="139"/>
      <c r="F280" s="139"/>
      <c r="G280" s="389"/>
      <c r="H280" s="389"/>
      <c r="I280" s="389"/>
      <c r="J280" s="389"/>
      <c r="K280" s="139"/>
      <c r="L280" s="139"/>
      <c r="M280" s="403"/>
      <c r="N280" s="403"/>
      <c r="O280" s="403"/>
      <c r="P280" s="403"/>
      <c r="Q280" s="403"/>
      <c r="R280" s="403"/>
      <c r="S280" s="403"/>
      <c r="T280" s="403"/>
      <c r="U280" s="403"/>
      <c r="V280" s="403"/>
      <c r="W280" s="403"/>
    </row>
    <row r="281" spans="1:23">
      <c r="A281" s="57">
        <v>36796</v>
      </c>
      <c r="B281" s="387"/>
      <c r="C281" s="395"/>
      <c r="D281" s="139"/>
      <c r="E281" s="139"/>
      <c r="F281" s="139"/>
      <c r="G281" s="389"/>
      <c r="H281" s="389"/>
      <c r="I281" s="389"/>
      <c r="J281" s="389"/>
      <c r="K281" s="139"/>
      <c r="L281" s="139"/>
      <c r="M281" s="403"/>
      <c r="N281" s="403"/>
      <c r="O281" s="403"/>
      <c r="P281" s="403"/>
      <c r="Q281" s="403"/>
      <c r="R281" s="403"/>
      <c r="S281" s="403"/>
      <c r="T281" s="403"/>
      <c r="U281" s="403"/>
      <c r="V281" s="403"/>
      <c r="W281" s="403"/>
    </row>
    <row r="282" spans="1:23">
      <c r="A282" s="57">
        <v>36797</v>
      </c>
      <c r="B282" s="387"/>
      <c r="C282" s="395"/>
      <c r="D282" s="139"/>
      <c r="E282" s="139"/>
      <c r="F282" s="139"/>
      <c r="G282" s="389"/>
      <c r="H282" s="389"/>
      <c r="I282" s="389"/>
      <c r="J282" s="389"/>
      <c r="K282" s="139"/>
      <c r="L282" s="139"/>
      <c r="M282" s="403"/>
      <c r="N282" s="403"/>
      <c r="O282" s="403"/>
      <c r="P282" s="403"/>
      <c r="Q282" s="403"/>
      <c r="R282" s="403"/>
      <c r="S282" s="403"/>
      <c r="T282" s="403"/>
      <c r="U282" s="403"/>
      <c r="V282" s="403"/>
      <c r="W282" s="403"/>
    </row>
    <row r="283" spans="1:23">
      <c r="A283" s="57">
        <v>36798</v>
      </c>
      <c r="B283" s="387"/>
      <c r="C283" s="395"/>
      <c r="D283" s="139"/>
      <c r="E283" s="139"/>
      <c r="F283" s="139"/>
      <c r="G283" s="389"/>
      <c r="H283" s="389"/>
      <c r="I283" s="389"/>
      <c r="J283" s="389"/>
      <c r="K283" s="139"/>
      <c r="L283" s="139"/>
      <c r="M283" s="403"/>
      <c r="N283" s="403"/>
      <c r="O283" s="403"/>
      <c r="P283" s="403"/>
      <c r="Q283" s="403"/>
      <c r="R283" s="403"/>
      <c r="S283" s="403"/>
      <c r="T283" s="403"/>
      <c r="U283" s="403"/>
      <c r="V283" s="403"/>
      <c r="W283" s="403"/>
    </row>
    <row r="284" spans="1:23">
      <c r="A284" s="57">
        <v>36799</v>
      </c>
      <c r="B284" s="387"/>
      <c r="C284" s="395"/>
      <c r="D284" s="139"/>
      <c r="E284" s="139"/>
      <c r="F284" s="139"/>
      <c r="G284" s="389"/>
      <c r="H284" s="389"/>
      <c r="I284" s="389"/>
      <c r="J284" s="389"/>
      <c r="K284" s="139"/>
      <c r="L284" s="139"/>
      <c r="M284" s="403"/>
      <c r="N284" s="403"/>
      <c r="O284" s="403"/>
      <c r="P284" s="403"/>
      <c r="Q284" s="403"/>
      <c r="R284" s="403"/>
      <c r="S284" s="403"/>
      <c r="T284" s="403"/>
      <c r="U284" s="403"/>
      <c r="V284" s="403"/>
      <c r="W284" s="403"/>
    </row>
    <row r="285" spans="1:23">
      <c r="A285" s="57">
        <v>36800</v>
      </c>
      <c r="B285" s="387"/>
      <c r="C285" s="395"/>
      <c r="D285" s="139"/>
      <c r="E285" s="139"/>
      <c r="F285" s="139"/>
      <c r="G285" s="389"/>
      <c r="H285" s="389"/>
      <c r="I285" s="389"/>
      <c r="J285" s="389"/>
      <c r="K285" s="139"/>
      <c r="L285" s="139"/>
      <c r="M285" s="403"/>
      <c r="N285" s="403"/>
      <c r="O285" s="403"/>
      <c r="P285" s="403"/>
      <c r="Q285" s="403"/>
      <c r="R285" s="403"/>
      <c r="S285" s="403"/>
      <c r="T285" s="403"/>
      <c r="U285" s="403"/>
      <c r="V285" s="403"/>
      <c r="W285" s="403"/>
    </row>
    <row r="286" spans="1:23">
      <c r="A286" s="57">
        <v>36801</v>
      </c>
      <c r="B286" s="387"/>
      <c r="C286" s="395"/>
      <c r="D286" s="139"/>
      <c r="E286" s="139"/>
      <c r="F286" s="139"/>
      <c r="G286" s="389"/>
      <c r="H286" s="389"/>
      <c r="I286" s="389"/>
      <c r="J286" s="389"/>
      <c r="K286" s="139"/>
      <c r="L286" s="139"/>
      <c r="M286" s="403"/>
      <c r="N286" s="403"/>
      <c r="O286" s="403"/>
      <c r="P286" s="403"/>
      <c r="Q286" s="403"/>
      <c r="R286" s="403"/>
      <c r="S286" s="403"/>
      <c r="T286" s="403"/>
      <c r="U286" s="403"/>
      <c r="V286" s="403"/>
      <c r="W286" s="403"/>
    </row>
    <row r="287" spans="1:23">
      <c r="A287" s="57">
        <v>36802</v>
      </c>
      <c r="B287" s="387"/>
      <c r="C287" s="395"/>
      <c r="D287" s="139"/>
      <c r="E287" s="139"/>
      <c r="F287" s="139"/>
      <c r="G287" s="389"/>
      <c r="H287" s="389"/>
      <c r="I287" s="389"/>
      <c r="J287" s="389"/>
      <c r="K287" s="139"/>
      <c r="L287" s="139"/>
      <c r="M287" s="403"/>
      <c r="N287" s="403"/>
      <c r="O287" s="403"/>
      <c r="P287" s="403"/>
      <c r="Q287" s="403"/>
      <c r="R287" s="403"/>
      <c r="S287" s="403"/>
      <c r="T287" s="403"/>
      <c r="U287" s="403"/>
      <c r="V287" s="403"/>
      <c r="W287" s="403"/>
    </row>
    <row r="288" spans="1:23">
      <c r="A288" s="57">
        <v>36803</v>
      </c>
      <c r="B288" s="387"/>
      <c r="C288" s="395"/>
      <c r="D288" s="139"/>
      <c r="E288" s="139"/>
      <c r="F288" s="139"/>
      <c r="G288" s="389"/>
      <c r="H288" s="389"/>
      <c r="I288" s="389"/>
      <c r="J288" s="389"/>
      <c r="K288" s="139"/>
      <c r="L288" s="139"/>
      <c r="M288" s="403"/>
      <c r="N288" s="403"/>
      <c r="O288" s="403"/>
      <c r="P288" s="403"/>
      <c r="Q288" s="403"/>
      <c r="R288" s="403"/>
      <c r="S288" s="403"/>
      <c r="T288" s="403"/>
      <c r="U288" s="403"/>
      <c r="V288" s="403"/>
      <c r="W288" s="403"/>
    </row>
    <row r="289" spans="1:23">
      <c r="A289" s="57">
        <v>36804</v>
      </c>
      <c r="B289" s="387"/>
      <c r="C289" s="395"/>
      <c r="D289" s="139"/>
      <c r="E289" s="139"/>
      <c r="F289" s="139"/>
      <c r="G289" s="389"/>
      <c r="H289" s="389"/>
      <c r="I289" s="389"/>
      <c r="J289" s="389"/>
      <c r="K289" s="139"/>
      <c r="L289" s="139"/>
      <c r="M289" s="403"/>
      <c r="N289" s="403"/>
      <c r="O289" s="403"/>
      <c r="P289" s="403"/>
      <c r="Q289" s="403"/>
      <c r="R289" s="403"/>
      <c r="S289" s="403"/>
      <c r="T289" s="403"/>
      <c r="U289" s="403"/>
      <c r="V289" s="403"/>
      <c r="W289" s="403"/>
    </row>
    <row r="290" spans="1:23">
      <c r="A290" s="57">
        <v>36805</v>
      </c>
      <c r="B290" s="387"/>
      <c r="C290" s="395"/>
      <c r="D290" s="139"/>
      <c r="E290" s="139"/>
      <c r="F290" s="139"/>
      <c r="G290" s="389"/>
      <c r="H290" s="389"/>
      <c r="I290" s="389"/>
      <c r="J290" s="389"/>
      <c r="K290" s="139"/>
      <c r="L290" s="139"/>
      <c r="M290" s="403"/>
      <c r="N290" s="403"/>
      <c r="O290" s="403"/>
      <c r="P290" s="403"/>
      <c r="Q290" s="403"/>
      <c r="R290" s="403"/>
      <c r="S290" s="403"/>
      <c r="T290" s="403"/>
      <c r="U290" s="403"/>
      <c r="V290" s="403"/>
      <c r="W290" s="403"/>
    </row>
    <row r="291" spans="1:23">
      <c r="A291" s="57">
        <v>36806</v>
      </c>
      <c r="B291" s="387"/>
      <c r="C291" s="395"/>
      <c r="D291" s="139"/>
      <c r="E291" s="139"/>
      <c r="F291" s="139"/>
      <c r="G291" s="389"/>
      <c r="H291" s="389"/>
      <c r="I291" s="389"/>
      <c r="J291" s="389"/>
      <c r="K291" s="139"/>
      <c r="L291" s="139"/>
      <c r="M291" s="403"/>
      <c r="N291" s="403"/>
      <c r="O291" s="403"/>
      <c r="P291" s="403"/>
      <c r="Q291" s="403"/>
      <c r="R291" s="403"/>
      <c r="S291" s="403"/>
      <c r="T291" s="403"/>
      <c r="U291" s="403"/>
      <c r="V291" s="403"/>
      <c r="W291" s="403"/>
    </row>
    <row r="292" spans="1:23">
      <c r="A292" s="57">
        <v>36807</v>
      </c>
      <c r="B292" s="387"/>
      <c r="C292" s="395"/>
      <c r="D292" s="139"/>
      <c r="E292" s="139"/>
      <c r="F292" s="139"/>
      <c r="G292" s="389"/>
      <c r="H292" s="389"/>
      <c r="I292" s="389"/>
      <c r="J292" s="389"/>
      <c r="K292" s="139"/>
      <c r="L292" s="139"/>
      <c r="M292" s="403"/>
      <c r="N292" s="403"/>
      <c r="O292" s="403"/>
      <c r="P292" s="403"/>
      <c r="Q292" s="403"/>
      <c r="R292" s="403"/>
      <c r="S292" s="403"/>
      <c r="T292" s="403"/>
      <c r="U292" s="403"/>
      <c r="V292" s="403"/>
      <c r="W292" s="403"/>
    </row>
    <row r="293" spans="1:23">
      <c r="A293" s="57">
        <v>36808</v>
      </c>
      <c r="B293" s="387"/>
      <c r="C293" s="395"/>
      <c r="D293" s="139"/>
      <c r="E293" s="139"/>
      <c r="F293" s="139"/>
      <c r="G293" s="389"/>
      <c r="H293" s="389"/>
      <c r="I293" s="389"/>
      <c r="J293" s="389"/>
      <c r="K293" s="139"/>
      <c r="L293" s="139"/>
      <c r="M293" s="403"/>
      <c r="N293" s="403"/>
      <c r="O293" s="403"/>
      <c r="P293" s="403"/>
      <c r="Q293" s="403"/>
      <c r="R293" s="403"/>
      <c r="S293" s="403"/>
      <c r="T293" s="403"/>
      <c r="U293" s="403"/>
      <c r="V293" s="403"/>
      <c r="W293" s="403"/>
    </row>
    <row r="294" spans="1:23">
      <c r="A294" s="57">
        <v>36809</v>
      </c>
      <c r="B294" s="387"/>
      <c r="C294" s="395"/>
      <c r="D294" s="139"/>
      <c r="E294" s="139"/>
      <c r="F294" s="139"/>
      <c r="G294" s="389"/>
      <c r="H294" s="389"/>
      <c r="I294" s="389"/>
      <c r="J294" s="389"/>
      <c r="K294" s="139"/>
      <c r="L294" s="139"/>
      <c r="M294" s="403"/>
      <c r="N294" s="403"/>
      <c r="O294" s="403"/>
      <c r="P294" s="403"/>
      <c r="Q294" s="403"/>
      <c r="R294" s="403"/>
      <c r="S294" s="403"/>
      <c r="T294" s="403"/>
      <c r="U294" s="403"/>
      <c r="V294" s="403"/>
      <c r="W294" s="403"/>
    </row>
    <row r="295" spans="1:23">
      <c r="A295" s="57">
        <v>36810</v>
      </c>
      <c r="B295" s="387"/>
      <c r="C295" s="395"/>
      <c r="D295" s="139"/>
      <c r="E295" s="139"/>
      <c r="F295" s="139"/>
      <c r="G295" s="389"/>
      <c r="H295" s="389"/>
      <c r="I295" s="389"/>
      <c r="J295" s="389"/>
      <c r="K295" s="139"/>
      <c r="L295" s="139"/>
      <c r="M295" s="403"/>
      <c r="N295" s="403"/>
      <c r="O295" s="403"/>
      <c r="P295" s="403"/>
      <c r="Q295" s="403"/>
      <c r="R295" s="403"/>
      <c r="S295" s="403"/>
      <c r="T295" s="403"/>
      <c r="U295" s="403"/>
      <c r="V295" s="403"/>
      <c r="W295" s="403"/>
    </row>
    <row r="296" spans="1:23">
      <c r="A296" s="57">
        <v>36811</v>
      </c>
      <c r="B296" s="387"/>
      <c r="C296" s="395"/>
      <c r="D296" s="139"/>
      <c r="E296" s="139"/>
      <c r="F296" s="139"/>
      <c r="G296" s="389"/>
      <c r="H296" s="389"/>
      <c r="I296" s="389"/>
      <c r="J296" s="389"/>
      <c r="K296" s="139"/>
      <c r="L296" s="139"/>
      <c r="M296" s="403"/>
      <c r="N296" s="403"/>
      <c r="O296" s="403"/>
      <c r="P296" s="403"/>
      <c r="Q296" s="403"/>
      <c r="R296" s="403"/>
      <c r="S296" s="403"/>
      <c r="T296" s="403"/>
      <c r="U296" s="403"/>
      <c r="V296" s="403"/>
      <c r="W296" s="403"/>
    </row>
    <row r="297" spans="1:23">
      <c r="A297" s="57">
        <v>36812</v>
      </c>
      <c r="B297" s="387"/>
      <c r="C297" s="395"/>
      <c r="D297" s="139"/>
      <c r="E297" s="139"/>
      <c r="F297" s="139"/>
      <c r="G297" s="389"/>
      <c r="H297" s="389"/>
      <c r="I297" s="389"/>
      <c r="J297" s="389"/>
      <c r="K297" s="139"/>
      <c r="L297" s="139"/>
      <c r="M297" s="403"/>
      <c r="N297" s="403"/>
      <c r="O297" s="403"/>
      <c r="P297" s="403"/>
      <c r="Q297" s="403"/>
      <c r="R297" s="403"/>
      <c r="S297" s="403"/>
      <c r="T297" s="403"/>
      <c r="U297" s="403"/>
      <c r="V297" s="403"/>
      <c r="W297" s="403"/>
    </row>
    <row r="298" spans="1:23">
      <c r="A298" s="57">
        <v>36813</v>
      </c>
      <c r="B298" s="387"/>
      <c r="C298" s="395"/>
      <c r="D298" s="139"/>
      <c r="E298" s="139"/>
      <c r="F298" s="139"/>
      <c r="G298" s="389"/>
      <c r="H298" s="389"/>
      <c r="I298" s="389"/>
      <c r="J298" s="389"/>
      <c r="K298" s="139"/>
      <c r="L298" s="139"/>
      <c r="M298" s="403"/>
      <c r="N298" s="403"/>
      <c r="O298" s="403"/>
      <c r="P298" s="403"/>
      <c r="Q298" s="403"/>
      <c r="R298" s="403"/>
      <c r="S298" s="403"/>
      <c r="T298" s="403"/>
      <c r="U298" s="403"/>
      <c r="V298" s="403"/>
      <c r="W298" s="403"/>
    </row>
    <row r="299" spans="1:23">
      <c r="A299" s="57">
        <v>36814</v>
      </c>
      <c r="B299" s="387"/>
      <c r="C299" s="395"/>
      <c r="D299" s="139"/>
      <c r="E299" s="139"/>
      <c r="F299" s="139"/>
      <c r="G299" s="389"/>
      <c r="H299" s="389"/>
      <c r="I299" s="389"/>
      <c r="J299" s="389"/>
      <c r="K299" s="139"/>
      <c r="L299" s="139"/>
      <c r="M299" s="403"/>
      <c r="N299" s="403"/>
      <c r="O299" s="403"/>
      <c r="P299" s="403"/>
      <c r="Q299" s="403"/>
      <c r="R299" s="403"/>
      <c r="S299" s="403"/>
      <c r="T299" s="403"/>
      <c r="U299" s="403"/>
      <c r="V299" s="403"/>
      <c r="W299" s="403"/>
    </row>
    <row r="300" spans="1:23">
      <c r="A300" s="57">
        <v>36815</v>
      </c>
      <c r="B300" s="387"/>
      <c r="C300" s="395"/>
      <c r="D300" s="139"/>
      <c r="E300" s="139"/>
      <c r="F300" s="139"/>
      <c r="G300" s="389"/>
      <c r="H300" s="389"/>
      <c r="I300" s="389"/>
      <c r="J300" s="389"/>
      <c r="K300" s="139"/>
      <c r="L300" s="139"/>
      <c r="M300" s="403"/>
      <c r="N300" s="403"/>
      <c r="O300" s="403"/>
      <c r="P300" s="403"/>
      <c r="Q300" s="403"/>
      <c r="R300" s="403"/>
      <c r="S300" s="403"/>
      <c r="T300" s="403"/>
      <c r="U300" s="403"/>
      <c r="V300" s="403"/>
      <c r="W300" s="403"/>
    </row>
    <row r="301" spans="1:23">
      <c r="A301" s="57">
        <v>36816</v>
      </c>
      <c r="B301" s="387"/>
      <c r="C301" s="395"/>
      <c r="D301" s="139"/>
      <c r="E301" s="139"/>
      <c r="F301" s="139"/>
      <c r="G301" s="389"/>
      <c r="H301" s="389"/>
      <c r="I301" s="389"/>
      <c r="J301" s="389"/>
      <c r="K301" s="139"/>
      <c r="L301" s="139"/>
      <c r="M301" s="403"/>
      <c r="N301" s="403"/>
      <c r="O301" s="403"/>
      <c r="P301" s="403"/>
      <c r="Q301" s="403"/>
      <c r="R301" s="403"/>
      <c r="S301" s="403"/>
      <c r="T301" s="403"/>
      <c r="U301" s="403"/>
      <c r="V301" s="403"/>
      <c r="W301" s="403"/>
    </row>
    <row r="302" spans="1:23">
      <c r="A302" s="57">
        <v>36817</v>
      </c>
      <c r="B302" s="387"/>
      <c r="C302" s="395"/>
      <c r="D302" s="139"/>
      <c r="E302" s="139"/>
      <c r="F302" s="139"/>
      <c r="G302" s="389"/>
      <c r="H302" s="389"/>
      <c r="I302" s="389"/>
      <c r="J302" s="389"/>
      <c r="K302" s="139"/>
      <c r="L302" s="139"/>
      <c r="M302" s="403"/>
      <c r="N302" s="403"/>
      <c r="O302" s="403"/>
      <c r="P302" s="403"/>
      <c r="Q302" s="403"/>
      <c r="R302" s="403"/>
      <c r="S302" s="403"/>
      <c r="T302" s="403"/>
      <c r="U302" s="403"/>
      <c r="V302" s="403"/>
      <c r="W302" s="403"/>
    </row>
    <row r="303" spans="1:23">
      <c r="A303" s="57">
        <v>36818</v>
      </c>
      <c r="B303" s="387"/>
      <c r="C303" s="395"/>
      <c r="D303" s="139"/>
      <c r="E303" s="139"/>
      <c r="F303" s="139"/>
      <c r="G303" s="389"/>
      <c r="H303" s="389"/>
      <c r="I303" s="389"/>
      <c r="J303" s="389"/>
      <c r="K303" s="139"/>
      <c r="L303" s="139"/>
      <c r="M303" s="403"/>
      <c r="N303" s="403"/>
      <c r="O303" s="403"/>
      <c r="P303" s="403"/>
      <c r="Q303" s="403"/>
      <c r="R303" s="403"/>
      <c r="S303" s="403"/>
      <c r="T303" s="403"/>
      <c r="U303" s="403"/>
      <c r="V303" s="403"/>
      <c r="W303" s="403"/>
    </row>
    <row r="304" spans="1:23">
      <c r="A304" s="57">
        <v>36819</v>
      </c>
      <c r="B304" s="387"/>
      <c r="C304" s="395"/>
      <c r="D304" s="139"/>
      <c r="E304" s="139"/>
      <c r="F304" s="139"/>
      <c r="G304" s="389"/>
      <c r="H304" s="389"/>
      <c r="I304" s="389"/>
      <c r="J304" s="389"/>
      <c r="K304" s="139"/>
      <c r="L304" s="139"/>
      <c r="M304" s="403"/>
      <c r="N304" s="403"/>
      <c r="O304" s="403"/>
      <c r="P304" s="403"/>
      <c r="Q304" s="403"/>
      <c r="R304" s="403"/>
      <c r="S304" s="403"/>
      <c r="T304" s="403"/>
      <c r="U304" s="403"/>
      <c r="V304" s="403"/>
      <c r="W304" s="403"/>
    </row>
    <row r="305" spans="1:23">
      <c r="A305" s="57">
        <v>36820</v>
      </c>
      <c r="B305" s="387"/>
      <c r="C305" s="395"/>
      <c r="D305" s="139"/>
      <c r="E305" s="139"/>
      <c r="F305" s="139"/>
      <c r="G305" s="389"/>
      <c r="H305" s="389"/>
      <c r="I305" s="389"/>
      <c r="J305" s="389"/>
      <c r="K305" s="139"/>
      <c r="L305" s="139"/>
      <c r="M305" s="403"/>
      <c r="N305" s="403"/>
      <c r="O305" s="403"/>
      <c r="P305" s="403"/>
      <c r="Q305" s="403"/>
      <c r="R305" s="403"/>
      <c r="S305" s="403"/>
      <c r="T305" s="403"/>
      <c r="U305" s="403"/>
      <c r="V305" s="403"/>
      <c r="W305" s="403"/>
    </row>
    <row r="306" spans="1:23">
      <c r="A306" s="57">
        <v>36821</v>
      </c>
      <c r="B306" s="387"/>
      <c r="C306" s="395"/>
      <c r="D306" s="139"/>
      <c r="E306" s="139"/>
      <c r="F306" s="139"/>
      <c r="G306" s="389"/>
      <c r="H306" s="389"/>
      <c r="I306" s="389"/>
      <c r="J306" s="389"/>
      <c r="K306" s="139"/>
      <c r="L306" s="139"/>
      <c r="M306" s="403"/>
      <c r="N306" s="403"/>
      <c r="O306" s="403"/>
      <c r="P306" s="403"/>
      <c r="Q306" s="403"/>
      <c r="R306" s="403"/>
      <c r="S306" s="403"/>
      <c r="T306" s="403"/>
      <c r="U306" s="403"/>
      <c r="V306" s="403"/>
      <c r="W306" s="403"/>
    </row>
    <row r="307" spans="1:23">
      <c r="A307" s="57">
        <v>36822</v>
      </c>
      <c r="B307" s="387"/>
      <c r="C307" s="395"/>
      <c r="D307" s="139"/>
      <c r="E307" s="139"/>
      <c r="F307" s="139"/>
      <c r="G307" s="389"/>
      <c r="H307" s="389"/>
      <c r="I307" s="389"/>
      <c r="J307" s="389"/>
      <c r="K307" s="139"/>
      <c r="L307" s="139"/>
      <c r="M307" s="403"/>
      <c r="N307" s="403"/>
      <c r="O307" s="403"/>
      <c r="P307" s="403"/>
      <c r="Q307" s="403"/>
      <c r="R307" s="403"/>
      <c r="S307" s="403"/>
      <c r="T307" s="403"/>
      <c r="U307" s="403"/>
      <c r="V307" s="403"/>
      <c r="W307" s="403"/>
    </row>
    <row r="308" spans="1:23">
      <c r="A308" s="57">
        <v>36823</v>
      </c>
      <c r="B308" s="387"/>
      <c r="C308" s="395"/>
      <c r="D308" s="139"/>
      <c r="E308" s="139"/>
      <c r="F308" s="139"/>
      <c r="G308" s="389"/>
      <c r="H308" s="389"/>
      <c r="I308" s="389"/>
      <c r="J308" s="389"/>
      <c r="K308" s="139"/>
      <c r="L308" s="139"/>
      <c r="M308" s="403"/>
      <c r="N308" s="403"/>
      <c r="O308" s="403"/>
      <c r="P308" s="403"/>
      <c r="Q308" s="403"/>
      <c r="R308" s="403"/>
      <c r="S308" s="403"/>
      <c r="T308" s="403"/>
      <c r="U308" s="403"/>
      <c r="V308" s="403"/>
      <c r="W308" s="403"/>
    </row>
    <row r="309" spans="1:23">
      <c r="A309" s="57">
        <v>36824</v>
      </c>
      <c r="B309" s="387"/>
      <c r="C309" s="395"/>
      <c r="D309" s="139"/>
      <c r="E309" s="139"/>
      <c r="F309" s="139"/>
      <c r="G309" s="389"/>
      <c r="H309" s="389"/>
      <c r="I309" s="389"/>
      <c r="J309" s="389"/>
      <c r="K309" s="139"/>
      <c r="L309" s="139"/>
      <c r="M309" s="403"/>
      <c r="N309" s="403"/>
      <c r="O309" s="403"/>
      <c r="P309" s="403"/>
      <c r="Q309" s="403"/>
      <c r="R309" s="403"/>
      <c r="S309" s="403"/>
      <c r="T309" s="403"/>
      <c r="U309" s="403"/>
      <c r="V309" s="403"/>
      <c r="W309" s="403"/>
    </row>
    <row r="310" spans="1:23">
      <c r="A310" s="57">
        <v>36825</v>
      </c>
      <c r="B310" s="387"/>
      <c r="C310" s="395"/>
      <c r="D310" s="139"/>
      <c r="E310" s="139"/>
      <c r="F310" s="139"/>
      <c r="G310" s="389"/>
      <c r="H310" s="389"/>
      <c r="I310" s="389"/>
      <c r="J310" s="389"/>
      <c r="K310" s="139"/>
      <c r="L310" s="139"/>
      <c r="M310" s="403"/>
      <c r="N310" s="403"/>
      <c r="O310" s="403"/>
      <c r="P310" s="403"/>
      <c r="Q310" s="403"/>
      <c r="R310" s="403"/>
      <c r="S310" s="403"/>
      <c r="T310" s="403"/>
      <c r="U310" s="403"/>
      <c r="V310" s="403"/>
      <c r="W310" s="403"/>
    </row>
    <row r="311" spans="1:23">
      <c r="A311" s="57">
        <v>36826</v>
      </c>
      <c r="B311" s="387"/>
      <c r="C311" s="395"/>
      <c r="D311" s="139"/>
      <c r="E311" s="139"/>
      <c r="F311" s="139"/>
      <c r="G311" s="389"/>
      <c r="H311" s="389"/>
      <c r="I311" s="389"/>
      <c r="J311" s="389"/>
      <c r="K311" s="139"/>
      <c r="L311" s="139"/>
      <c r="M311" s="403"/>
      <c r="N311" s="403"/>
      <c r="O311" s="403"/>
      <c r="P311" s="403"/>
      <c r="Q311" s="403"/>
      <c r="R311" s="403"/>
      <c r="S311" s="403"/>
      <c r="T311" s="403"/>
      <c r="U311" s="403"/>
      <c r="V311" s="403"/>
      <c r="W311" s="403"/>
    </row>
    <row r="312" spans="1:23">
      <c r="A312" s="57">
        <v>36827</v>
      </c>
      <c r="B312" s="387"/>
      <c r="C312" s="395"/>
      <c r="D312" s="139"/>
      <c r="E312" s="139"/>
      <c r="F312" s="139"/>
      <c r="G312" s="389"/>
      <c r="H312" s="389"/>
      <c r="I312" s="389"/>
      <c r="J312" s="389"/>
      <c r="K312" s="139"/>
      <c r="L312" s="139"/>
      <c r="M312" s="403"/>
      <c r="N312" s="403"/>
      <c r="O312" s="403"/>
      <c r="P312" s="403"/>
      <c r="Q312" s="403"/>
      <c r="R312" s="403"/>
      <c r="S312" s="403"/>
      <c r="T312" s="403"/>
      <c r="U312" s="403"/>
      <c r="V312" s="403"/>
      <c r="W312" s="403"/>
    </row>
    <row r="313" spans="1:23">
      <c r="A313" s="57">
        <v>36828</v>
      </c>
      <c r="B313" s="387"/>
      <c r="C313" s="395"/>
      <c r="D313" s="139"/>
      <c r="E313" s="139"/>
      <c r="F313" s="139"/>
      <c r="G313" s="389"/>
      <c r="H313" s="389"/>
      <c r="I313" s="389"/>
      <c r="J313" s="389"/>
      <c r="K313" s="139"/>
      <c r="L313" s="139"/>
      <c r="M313" s="403"/>
      <c r="N313" s="403"/>
      <c r="O313" s="403"/>
      <c r="P313" s="403"/>
      <c r="Q313" s="403"/>
      <c r="R313" s="403"/>
      <c r="S313" s="403"/>
      <c r="T313" s="403"/>
      <c r="U313" s="403"/>
      <c r="V313" s="403"/>
      <c r="W313" s="403"/>
    </row>
    <row r="314" spans="1:23">
      <c r="A314" s="57">
        <v>36829</v>
      </c>
      <c r="B314" s="387"/>
      <c r="C314" s="395"/>
      <c r="D314" s="139"/>
      <c r="E314" s="139"/>
      <c r="F314" s="139"/>
      <c r="G314" s="389"/>
      <c r="H314" s="389"/>
      <c r="I314" s="389"/>
      <c r="J314" s="389"/>
      <c r="K314" s="139"/>
      <c r="L314" s="139"/>
      <c r="M314" s="403"/>
      <c r="N314" s="403"/>
      <c r="O314" s="403"/>
      <c r="P314" s="403"/>
      <c r="Q314" s="403"/>
      <c r="R314" s="403"/>
      <c r="S314" s="403"/>
      <c r="T314" s="403"/>
      <c r="U314" s="403"/>
      <c r="V314" s="403"/>
      <c r="W314" s="403"/>
    </row>
    <row r="315" spans="1:23">
      <c r="A315" s="57">
        <v>36830</v>
      </c>
      <c r="B315" s="387"/>
      <c r="C315" s="395"/>
      <c r="D315" s="139"/>
      <c r="E315" s="139"/>
      <c r="F315" s="139"/>
      <c r="G315" s="389"/>
      <c r="H315" s="389"/>
      <c r="I315" s="389"/>
      <c r="J315" s="389"/>
      <c r="K315" s="139"/>
      <c r="L315" s="139"/>
      <c r="M315" s="403"/>
      <c r="N315" s="403"/>
      <c r="O315" s="403"/>
      <c r="P315" s="403"/>
      <c r="Q315" s="403"/>
      <c r="R315" s="403"/>
      <c r="S315" s="403"/>
      <c r="T315" s="403"/>
      <c r="U315" s="403"/>
      <c r="V315" s="403"/>
      <c r="W315" s="403"/>
    </row>
    <row r="316" spans="1:23">
      <c r="A316" s="57">
        <v>36831</v>
      </c>
      <c r="B316" s="387"/>
      <c r="C316" s="395"/>
      <c r="D316" s="139"/>
      <c r="E316" s="139"/>
      <c r="F316" s="139"/>
      <c r="G316" s="389"/>
      <c r="H316" s="389"/>
      <c r="I316" s="389"/>
      <c r="J316" s="389"/>
      <c r="K316" s="139"/>
      <c r="L316" s="139"/>
      <c r="M316" s="403"/>
      <c r="N316" s="403"/>
      <c r="O316" s="403"/>
      <c r="P316" s="403"/>
      <c r="Q316" s="403"/>
      <c r="R316" s="403"/>
      <c r="S316" s="403"/>
      <c r="T316" s="403"/>
      <c r="U316" s="403"/>
      <c r="V316" s="403"/>
      <c r="W316" s="403"/>
    </row>
    <row r="317" spans="1:23">
      <c r="A317" s="57">
        <v>36832</v>
      </c>
      <c r="B317" s="387"/>
      <c r="C317" s="395"/>
      <c r="D317" s="139"/>
      <c r="E317" s="139"/>
      <c r="F317" s="139"/>
      <c r="G317" s="389"/>
      <c r="H317" s="389"/>
      <c r="I317" s="389"/>
      <c r="J317" s="389"/>
      <c r="K317" s="139"/>
      <c r="L317" s="139"/>
      <c r="M317" s="403"/>
      <c r="N317" s="403"/>
      <c r="O317" s="403"/>
      <c r="P317" s="403"/>
      <c r="Q317" s="403"/>
      <c r="R317" s="403"/>
      <c r="S317" s="403"/>
      <c r="T317" s="403"/>
      <c r="U317" s="403"/>
      <c r="V317" s="403"/>
      <c r="W317" s="403"/>
    </row>
    <row r="318" spans="1:23">
      <c r="A318" s="57">
        <v>36833</v>
      </c>
      <c r="B318" s="387"/>
      <c r="C318" s="395"/>
      <c r="D318" s="139"/>
      <c r="E318" s="139"/>
      <c r="F318" s="139"/>
      <c r="G318" s="389"/>
      <c r="H318" s="389"/>
      <c r="I318" s="389"/>
      <c r="J318" s="389"/>
      <c r="K318" s="139"/>
      <c r="L318" s="139"/>
      <c r="M318" s="403"/>
      <c r="N318" s="403"/>
      <c r="O318" s="403"/>
      <c r="P318" s="403"/>
      <c r="Q318" s="403"/>
      <c r="R318" s="403"/>
      <c r="S318" s="403"/>
      <c r="T318" s="403"/>
      <c r="U318" s="403"/>
      <c r="V318" s="403"/>
      <c r="W318" s="403"/>
    </row>
    <row r="319" spans="1:23">
      <c r="A319" s="57">
        <v>36834</v>
      </c>
      <c r="B319" s="387"/>
      <c r="C319" s="395"/>
      <c r="D319" s="139"/>
      <c r="E319" s="139"/>
      <c r="F319" s="139"/>
      <c r="G319" s="389"/>
      <c r="H319" s="389"/>
      <c r="I319" s="389"/>
      <c r="J319" s="389"/>
      <c r="K319" s="139"/>
      <c r="L319" s="139"/>
      <c r="M319" s="403"/>
      <c r="N319" s="403"/>
      <c r="O319" s="403"/>
      <c r="P319" s="403"/>
      <c r="Q319" s="403"/>
      <c r="R319" s="403"/>
      <c r="S319" s="403"/>
      <c r="T319" s="403"/>
      <c r="U319" s="403"/>
      <c r="V319" s="403"/>
      <c r="W319" s="403"/>
    </row>
    <row r="320" spans="1:23">
      <c r="A320" s="57">
        <v>36835</v>
      </c>
      <c r="B320" s="387"/>
      <c r="C320" s="395"/>
      <c r="D320" s="139"/>
      <c r="E320" s="139"/>
      <c r="F320" s="139"/>
      <c r="G320" s="389"/>
      <c r="H320" s="389"/>
      <c r="I320" s="389"/>
      <c r="J320" s="389"/>
      <c r="K320" s="139"/>
      <c r="L320" s="139"/>
      <c r="M320" s="403"/>
      <c r="N320" s="403"/>
      <c r="O320" s="403"/>
      <c r="P320" s="403"/>
      <c r="Q320" s="403"/>
      <c r="R320" s="403"/>
      <c r="S320" s="403"/>
      <c r="T320" s="403"/>
      <c r="U320" s="403"/>
      <c r="V320" s="403"/>
      <c r="W320" s="403"/>
    </row>
    <row r="321" spans="1:23">
      <c r="A321" s="57">
        <v>36836</v>
      </c>
      <c r="B321" s="387"/>
      <c r="C321" s="395"/>
      <c r="D321" s="139"/>
      <c r="E321" s="139"/>
      <c r="F321" s="139"/>
      <c r="G321" s="389"/>
      <c r="H321" s="389"/>
      <c r="I321" s="389"/>
      <c r="J321" s="389"/>
      <c r="K321" s="139"/>
      <c r="L321" s="139"/>
      <c r="M321" s="403"/>
      <c r="N321" s="403"/>
      <c r="O321" s="403"/>
      <c r="P321" s="403"/>
      <c r="Q321" s="403"/>
      <c r="R321" s="403"/>
      <c r="S321" s="403"/>
      <c r="T321" s="403"/>
      <c r="U321" s="403"/>
      <c r="V321" s="403"/>
      <c r="W321" s="403"/>
    </row>
    <row r="322" spans="1:23">
      <c r="A322" s="57">
        <v>36837</v>
      </c>
      <c r="B322" s="387"/>
      <c r="C322" s="395"/>
      <c r="D322" s="139"/>
      <c r="E322" s="139"/>
      <c r="F322" s="139"/>
      <c r="G322" s="389"/>
      <c r="H322" s="389"/>
      <c r="I322" s="389"/>
      <c r="J322" s="389"/>
      <c r="K322" s="139"/>
      <c r="L322" s="139"/>
      <c r="M322" s="403"/>
      <c r="N322" s="403"/>
      <c r="O322" s="403"/>
      <c r="P322" s="403"/>
      <c r="Q322" s="403"/>
      <c r="R322" s="403"/>
      <c r="S322" s="403"/>
      <c r="T322" s="403"/>
      <c r="U322" s="403"/>
      <c r="V322" s="403"/>
      <c r="W322" s="403"/>
    </row>
    <row r="323" spans="1:23">
      <c r="A323" s="57">
        <v>36838</v>
      </c>
      <c r="B323" s="387"/>
      <c r="C323" s="395"/>
      <c r="D323" s="139"/>
      <c r="E323" s="139"/>
      <c r="F323" s="139"/>
      <c r="G323" s="389"/>
      <c r="H323" s="389"/>
      <c r="I323" s="389"/>
      <c r="J323" s="389"/>
      <c r="K323" s="139"/>
      <c r="L323" s="139"/>
      <c r="M323" s="403"/>
      <c r="N323" s="403"/>
      <c r="O323" s="403"/>
      <c r="P323" s="403"/>
      <c r="Q323" s="403"/>
      <c r="R323" s="403"/>
      <c r="S323" s="403"/>
      <c r="T323" s="403"/>
      <c r="U323" s="403"/>
      <c r="V323" s="403"/>
      <c r="W323" s="403"/>
    </row>
    <row r="324" spans="1:23">
      <c r="A324" s="57">
        <v>36839</v>
      </c>
      <c r="B324" s="387"/>
      <c r="C324" s="395"/>
      <c r="D324" s="139"/>
      <c r="E324" s="139"/>
      <c r="F324" s="139"/>
      <c r="G324" s="389"/>
      <c r="H324" s="389"/>
      <c r="I324" s="389"/>
      <c r="J324" s="389"/>
      <c r="K324" s="139"/>
      <c r="L324" s="139"/>
      <c r="M324" s="403"/>
      <c r="N324" s="403"/>
      <c r="O324" s="403"/>
      <c r="P324" s="403"/>
      <c r="Q324" s="403"/>
      <c r="R324" s="403"/>
      <c r="S324" s="403"/>
      <c r="T324" s="403"/>
      <c r="U324" s="403"/>
      <c r="V324" s="403"/>
      <c r="W324" s="403"/>
    </row>
    <row r="325" spans="1:23">
      <c r="A325" s="57">
        <v>36840</v>
      </c>
      <c r="B325" s="387"/>
      <c r="C325" s="395"/>
      <c r="D325" s="139"/>
      <c r="E325" s="139"/>
      <c r="F325" s="139"/>
      <c r="G325" s="389"/>
      <c r="H325" s="389"/>
      <c r="I325" s="389"/>
      <c r="J325" s="389"/>
      <c r="K325" s="139"/>
      <c r="L325" s="139"/>
      <c r="M325" s="403"/>
      <c r="N325" s="403"/>
      <c r="O325" s="403"/>
      <c r="P325" s="403"/>
      <c r="Q325" s="403"/>
      <c r="R325" s="403"/>
      <c r="S325" s="403"/>
      <c r="T325" s="403"/>
      <c r="U325" s="403"/>
      <c r="V325" s="403"/>
      <c r="W325" s="403"/>
    </row>
    <row r="326" spans="1:23">
      <c r="A326" s="57">
        <v>36841</v>
      </c>
      <c r="B326" s="387"/>
      <c r="C326" s="395"/>
      <c r="D326" s="139"/>
      <c r="E326" s="139"/>
      <c r="F326" s="139"/>
      <c r="G326" s="389"/>
      <c r="H326" s="389"/>
      <c r="I326" s="389"/>
      <c r="J326" s="389"/>
      <c r="K326" s="139"/>
      <c r="L326" s="139"/>
      <c r="M326" s="403"/>
      <c r="N326" s="403"/>
      <c r="O326" s="403"/>
      <c r="P326" s="403"/>
      <c r="Q326" s="403"/>
      <c r="R326" s="403"/>
      <c r="S326" s="403"/>
      <c r="T326" s="403"/>
      <c r="U326" s="403"/>
      <c r="V326" s="403"/>
      <c r="W326" s="403"/>
    </row>
    <row r="327" spans="1:23">
      <c r="A327" s="57">
        <v>36842</v>
      </c>
      <c r="B327" s="387"/>
      <c r="C327" s="395"/>
      <c r="D327" s="139"/>
      <c r="E327" s="139"/>
      <c r="F327" s="139"/>
      <c r="G327" s="389"/>
      <c r="H327" s="389"/>
      <c r="I327" s="389"/>
      <c r="J327" s="389"/>
      <c r="K327" s="139"/>
      <c r="L327" s="139"/>
      <c r="M327" s="403"/>
      <c r="N327" s="403"/>
      <c r="O327" s="403"/>
      <c r="P327" s="403"/>
      <c r="Q327" s="403"/>
      <c r="R327" s="403"/>
      <c r="S327" s="403"/>
      <c r="T327" s="403"/>
      <c r="U327" s="403"/>
      <c r="V327" s="403"/>
      <c r="W327" s="403"/>
    </row>
    <row r="328" spans="1:23">
      <c r="A328" s="57">
        <v>36843</v>
      </c>
      <c r="B328" s="387"/>
      <c r="C328" s="395"/>
      <c r="D328" s="139"/>
      <c r="E328" s="139"/>
      <c r="F328" s="139"/>
      <c r="G328" s="389"/>
      <c r="H328" s="389"/>
      <c r="I328" s="389"/>
      <c r="J328" s="389"/>
      <c r="K328" s="139"/>
      <c r="L328" s="139"/>
      <c r="M328" s="403"/>
      <c r="N328" s="403"/>
      <c r="O328" s="403"/>
      <c r="P328" s="403"/>
      <c r="Q328" s="403"/>
      <c r="R328" s="403"/>
      <c r="S328" s="403"/>
      <c r="T328" s="403"/>
      <c r="U328" s="403"/>
      <c r="V328" s="403"/>
      <c r="W328" s="403"/>
    </row>
    <row r="329" spans="1:23">
      <c r="A329" s="57">
        <v>36844</v>
      </c>
      <c r="B329" s="387"/>
      <c r="C329" s="395"/>
      <c r="D329" s="139"/>
      <c r="E329" s="139"/>
      <c r="F329" s="139"/>
      <c r="G329" s="389"/>
      <c r="H329" s="389"/>
      <c r="I329" s="389"/>
      <c r="J329" s="389"/>
      <c r="K329" s="139"/>
      <c r="L329" s="139"/>
      <c r="M329" s="403"/>
      <c r="N329" s="403"/>
      <c r="O329" s="403"/>
      <c r="P329" s="403"/>
      <c r="Q329" s="403"/>
      <c r="R329" s="403"/>
      <c r="S329" s="403"/>
      <c r="T329" s="403"/>
      <c r="U329" s="403"/>
      <c r="V329" s="403"/>
      <c r="W329" s="403"/>
    </row>
    <row r="330" spans="1:23">
      <c r="A330" s="57">
        <v>36845</v>
      </c>
      <c r="B330" s="387"/>
      <c r="C330" s="395"/>
      <c r="D330" s="139"/>
      <c r="E330" s="139"/>
      <c r="F330" s="139"/>
      <c r="G330" s="389"/>
      <c r="H330" s="389"/>
      <c r="I330" s="389"/>
      <c r="J330" s="389"/>
      <c r="K330" s="139"/>
      <c r="L330" s="139"/>
      <c r="M330" s="403"/>
      <c r="N330" s="403"/>
      <c r="O330" s="403"/>
      <c r="P330" s="403"/>
      <c r="Q330" s="403"/>
      <c r="R330" s="403"/>
      <c r="S330" s="403"/>
      <c r="T330" s="403"/>
      <c r="U330" s="403"/>
      <c r="V330" s="403"/>
      <c r="W330" s="403"/>
    </row>
    <row r="331" spans="1:23">
      <c r="A331" s="57">
        <v>36846</v>
      </c>
      <c r="B331" s="387"/>
      <c r="C331" s="395"/>
      <c r="D331" s="139"/>
      <c r="E331" s="139"/>
      <c r="F331" s="139"/>
      <c r="G331" s="389"/>
      <c r="H331" s="389"/>
      <c r="I331" s="389"/>
      <c r="J331" s="389"/>
      <c r="K331" s="139"/>
      <c r="L331" s="139"/>
      <c r="M331" s="403"/>
      <c r="N331" s="403"/>
      <c r="O331" s="403"/>
      <c r="P331" s="403"/>
      <c r="Q331" s="403"/>
      <c r="R331" s="403"/>
      <c r="S331" s="403"/>
      <c r="T331" s="403"/>
      <c r="U331" s="403"/>
      <c r="V331" s="403"/>
      <c r="W331" s="403"/>
    </row>
    <row r="332" spans="1:23">
      <c r="A332" s="57">
        <v>36847</v>
      </c>
      <c r="B332" s="387"/>
      <c r="C332" s="395"/>
      <c r="D332" s="139"/>
      <c r="E332" s="139"/>
      <c r="F332" s="139"/>
      <c r="G332" s="389"/>
      <c r="H332" s="389"/>
      <c r="I332" s="389"/>
      <c r="J332" s="389"/>
      <c r="K332" s="139"/>
      <c r="L332" s="139"/>
      <c r="M332" s="403"/>
      <c r="N332" s="403"/>
      <c r="O332" s="403"/>
      <c r="P332" s="403"/>
      <c r="Q332" s="403"/>
      <c r="R332" s="403"/>
      <c r="S332" s="403"/>
      <c r="T332" s="403"/>
      <c r="U332" s="403"/>
      <c r="V332" s="403"/>
      <c r="W332" s="403"/>
    </row>
    <row r="333" spans="1:23">
      <c r="A333" s="57">
        <v>36848</v>
      </c>
      <c r="B333" s="387"/>
      <c r="C333" s="395"/>
      <c r="D333" s="139"/>
      <c r="E333" s="139"/>
      <c r="F333" s="139"/>
      <c r="G333" s="389"/>
      <c r="H333" s="389"/>
      <c r="I333" s="389"/>
      <c r="J333" s="389"/>
      <c r="K333" s="139"/>
      <c r="L333" s="139"/>
      <c r="M333" s="403"/>
      <c r="N333" s="403"/>
      <c r="O333" s="403"/>
      <c r="P333" s="403"/>
      <c r="Q333" s="403"/>
      <c r="R333" s="403"/>
      <c r="S333" s="403"/>
      <c r="T333" s="403"/>
      <c r="U333" s="403"/>
      <c r="V333" s="403"/>
      <c r="W333" s="403"/>
    </row>
    <row r="334" spans="1:23">
      <c r="A334" s="57">
        <v>36849</v>
      </c>
      <c r="B334" s="387"/>
      <c r="C334" s="395"/>
      <c r="D334" s="139"/>
      <c r="E334" s="139"/>
      <c r="F334" s="139"/>
      <c r="G334" s="389"/>
      <c r="H334" s="389"/>
      <c r="I334" s="389"/>
      <c r="J334" s="389"/>
      <c r="K334" s="139"/>
      <c r="L334" s="139"/>
      <c r="M334" s="403"/>
      <c r="N334" s="403"/>
      <c r="O334" s="403"/>
      <c r="P334" s="403"/>
      <c r="Q334" s="403"/>
      <c r="R334" s="403"/>
      <c r="S334" s="403"/>
      <c r="T334" s="403"/>
      <c r="U334" s="403"/>
      <c r="V334" s="403"/>
      <c r="W334" s="403"/>
    </row>
    <row r="335" spans="1:23">
      <c r="A335" s="57">
        <v>36850</v>
      </c>
      <c r="B335" s="387"/>
      <c r="C335" s="395"/>
      <c r="D335" s="139"/>
      <c r="E335" s="139"/>
      <c r="F335" s="139"/>
      <c r="G335" s="389"/>
      <c r="H335" s="389"/>
      <c r="I335" s="389"/>
      <c r="J335" s="389"/>
      <c r="K335" s="139"/>
      <c r="L335" s="139"/>
      <c r="M335" s="403"/>
      <c r="N335" s="403"/>
      <c r="O335" s="403"/>
      <c r="P335" s="403"/>
      <c r="Q335" s="403"/>
      <c r="R335" s="403"/>
      <c r="S335" s="403"/>
      <c r="T335" s="403"/>
      <c r="U335" s="403"/>
      <c r="V335" s="403"/>
      <c r="W335" s="403"/>
    </row>
    <row r="336" spans="1:23">
      <c r="A336" s="57">
        <v>36851</v>
      </c>
      <c r="B336" s="387"/>
      <c r="C336" s="395"/>
      <c r="D336" s="139"/>
      <c r="E336" s="139"/>
      <c r="F336" s="139"/>
      <c r="G336" s="389"/>
      <c r="H336" s="389"/>
      <c r="I336" s="389"/>
      <c r="J336" s="389"/>
      <c r="K336" s="139"/>
      <c r="L336" s="139"/>
      <c r="M336" s="403"/>
      <c r="N336" s="403"/>
      <c r="O336" s="403"/>
      <c r="P336" s="403"/>
      <c r="Q336" s="403"/>
      <c r="R336" s="403"/>
      <c r="S336" s="403"/>
      <c r="T336" s="403"/>
      <c r="U336" s="403"/>
      <c r="V336" s="403"/>
      <c r="W336" s="403"/>
    </row>
    <row r="337" spans="1:23">
      <c r="A337" s="57">
        <v>36852</v>
      </c>
      <c r="B337" s="387"/>
      <c r="C337" s="395"/>
      <c r="D337" s="139"/>
      <c r="E337" s="139"/>
      <c r="F337" s="139"/>
      <c r="G337" s="389"/>
      <c r="H337" s="389"/>
      <c r="I337" s="389"/>
      <c r="J337" s="389"/>
      <c r="K337" s="139"/>
      <c r="L337" s="139"/>
      <c r="M337" s="403"/>
      <c r="N337" s="403"/>
      <c r="O337" s="403"/>
      <c r="P337" s="403"/>
      <c r="Q337" s="403"/>
      <c r="R337" s="403"/>
      <c r="S337" s="403"/>
      <c r="T337" s="403"/>
      <c r="U337" s="403"/>
      <c r="V337" s="403"/>
      <c r="W337" s="403"/>
    </row>
    <row r="338" spans="1:23">
      <c r="A338" s="57">
        <v>36853</v>
      </c>
      <c r="B338" s="387"/>
      <c r="C338" s="395"/>
      <c r="D338" s="139"/>
      <c r="E338" s="139"/>
      <c r="F338" s="139"/>
      <c r="G338" s="389"/>
      <c r="H338" s="389"/>
      <c r="I338" s="389"/>
      <c r="J338" s="389"/>
      <c r="K338" s="139"/>
      <c r="L338" s="139"/>
      <c r="M338" s="403"/>
      <c r="N338" s="403"/>
      <c r="O338" s="403"/>
      <c r="P338" s="403"/>
      <c r="Q338" s="403"/>
      <c r="R338" s="403"/>
      <c r="S338" s="403"/>
      <c r="T338" s="403"/>
      <c r="U338" s="403"/>
      <c r="V338" s="403"/>
      <c r="W338" s="403"/>
    </row>
    <row r="339" spans="1:23">
      <c r="A339" s="57">
        <v>36854</v>
      </c>
      <c r="B339" s="387"/>
      <c r="C339" s="395"/>
      <c r="D339" s="139"/>
      <c r="E339" s="139"/>
      <c r="F339" s="139"/>
      <c r="G339" s="389"/>
      <c r="H339" s="389"/>
      <c r="I339" s="389"/>
      <c r="J339" s="389"/>
      <c r="K339" s="139"/>
      <c r="L339" s="139"/>
      <c r="M339" s="403"/>
      <c r="N339" s="403"/>
      <c r="O339" s="403"/>
      <c r="P339" s="403"/>
      <c r="Q339" s="403"/>
      <c r="R339" s="403"/>
      <c r="S339" s="403"/>
      <c r="T339" s="403"/>
      <c r="U339" s="403"/>
      <c r="V339" s="403"/>
      <c r="W339" s="403"/>
    </row>
    <row r="340" spans="1:23">
      <c r="A340" s="57">
        <v>36855</v>
      </c>
      <c r="B340" s="387"/>
      <c r="C340" s="395"/>
      <c r="D340" s="139"/>
      <c r="E340" s="139"/>
      <c r="F340" s="139"/>
      <c r="G340" s="389"/>
      <c r="H340" s="389"/>
      <c r="I340" s="389"/>
      <c r="J340" s="389"/>
      <c r="K340" s="139"/>
      <c r="L340" s="139"/>
      <c r="M340" s="403"/>
      <c r="N340" s="403"/>
      <c r="O340" s="403"/>
      <c r="P340" s="403"/>
      <c r="Q340" s="403"/>
      <c r="R340" s="403"/>
      <c r="S340" s="403"/>
      <c r="T340" s="403"/>
      <c r="U340" s="403"/>
      <c r="V340" s="403"/>
      <c r="W340" s="403"/>
    </row>
    <row r="341" spans="1:23">
      <c r="A341" s="57">
        <v>36856</v>
      </c>
      <c r="B341" s="387"/>
      <c r="C341" s="395"/>
      <c r="D341" s="139"/>
      <c r="E341" s="139"/>
      <c r="F341" s="139"/>
      <c r="G341" s="389"/>
      <c r="H341" s="389"/>
      <c r="I341" s="389"/>
      <c r="J341" s="389"/>
      <c r="K341" s="139"/>
      <c r="L341" s="139"/>
      <c r="M341" s="403"/>
      <c r="N341" s="403"/>
      <c r="O341" s="403"/>
      <c r="P341" s="403"/>
      <c r="Q341" s="403"/>
      <c r="R341" s="403"/>
      <c r="S341" s="403"/>
      <c r="T341" s="403"/>
      <c r="U341" s="403"/>
      <c r="V341" s="403"/>
      <c r="W341" s="403"/>
    </row>
    <row r="342" spans="1:23">
      <c r="A342" s="57">
        <v>36857</v>
      </c>
      <c r="B342" s="387"/>
      <c r="C342" s="395"/>
      <c r="D342" s="139"/>
      <c r="E342" s="139"/>
      <c r="F342" s="139"/>
      <c r="G342" s="389"/>
      <c r="H342" s="389"/>
      <c r="I342" s="389"/>
      <c r="J342" s="389"/>
      <c r="K342" s="139"/>
      <c r="L342" s="139"/>
      <c r="M342" s="403"/>
      <c r="N342" s="403"/>
      <c r="O342" s="403"/>
      <c r="P342" s="403"/>
      <c r="Q342" s="403"/>
      <c r="R342" s="403"/>
      <c r="S342" s="403"/>
      <c r="T342" s="403"/>
      <c r="U342" s="403"/>
      <c r="V342" s="403"/>
      <c r="W342" s="403"/>
    </row>
    <row r="343" spans="1:23">
      <c r="A343" s="57">
        <v>36858</v>
      </c>
      <c r="B343" s="387"/>
      <c r="C343" s="395"/>
      <c r="D343" s="139"/>
      <c r="E343" s="139"/>
      <c r="F343" s="139"/>
      <c r="G343" s="389"/>
      <c r="H343" s="389"/>
      <c r="I343" s="389"/>
      <c r="J343" s="389"/>
      <c r="K343" s="139"/>
      <c r="L343" s="139"/>
      <c r="M343" s="403"/>
      <c r="N343" s="403"/>
      <c r="O343" s="403"/>
      <c r="P343" s="403"/>
      <c r="Q343" s="403"/>
      <c r="R343" s="403"/>
      <c r="S343" s="403"/>
      <c r="T343" s="403"/>
      <c r="U343" s="403"/>
      <c r="V343" s="403"/>
      <c r="W343" s="403"/>
    </row>
    <row r="344" spans="1:23">
      <c r="A344" s="57">
        <v>36859</v>
      </c>
      <c r="B344" s="387"/>
      <c r="C344" s="395"/>
      <c r="D344" s="139"/>
      <c r="E344" s="139"/>
      <c r="F344" s="139"/>
      <c r="G344" s="389"/>
      <c r="H344" s="389"/>
      <c r="I344" s="389"/>
      <c r="J344" s="389"/>
      <c r="K344" s="139"/>
      <c r="L344" s="139"/>
      <c r="M344" s="403"/>
      <c r="N344" s="403"/>
      <c r="O344" s="403"/>
      <c r="P344" s="403"/>
      <c r="Q344" s="403"/>
      <c r="R344" s="403"/>
      <c r="S344" s="403"/>
      <c r="T344" s="403"/>
      <c r="U344" s="403"/>
      <c r="V344" s="403"/>
      <c r="W344" s="403"/>
    </row>
    <row r="345" spans="1:23">
      <c r="A345" s="57">
        <v>36860</v>
      </c>
      <c r="B345" s="387"/>
      <c r="C345" s="395"/>
      <c r="D345" s="139"/>
      <c r="E345" s="139"/>
      <c r="F345" s="139"/>
      <c r="G345" s="389"/>
      <c r="H345" s="389"/>
      <c r="I345" s="389"/>
      <c r="J345" s="389"/>
      <c r="K345" s="139"/>
      <c r="L345" s="139"/>
      <c r="M345" s="403"/>
      <c r="N345" s="403"/>
      <c r="O345" s="403"/>
      <c r="P345" s="403"/>
      <c r="Q345" s="403"/>
      <c r="R345" s="403"/>
      <c r="S345" s="403"/>
      <c r="T345" s="403"/>
      <c r="U345" s="403"/>
      <c r="V345" s="403"/>
      <c r="W345" s="403"/>
    </row>
    <row r="346" spans="1:23">
      <c r="A346" s="57">
        <v>36861</v>
      </c>
      <c r="B346" s="387"/>
      <c r="C346" s="395"/>
      <c r="D346" s="139"/>
      <c r="E346" s="139"/>
      <c r="F346" s="139"/>
      <c r="G346" s="389"/>
      <c r="H346" s="389"/>
      <c r="I346" s="389"/>
      <c r="J346" s="389"/>
      <c r="K346" s="139"/>
      <c r="L346" s="139"/>
      <c r="M346" s="403"/>
      <c r="N346" s="403"/>
      <c r="O346" s="403"/>
      <c r="P346" s="403"/>
      <c r="Q346" s="403"/>
      <c r="R346" s="403"/>
      <c r="S346" s="403"/>
      <c r="T346" s="403"/>
      <c r="U346" s="403"/>
      <c r="V346" s="403"/>
      <c r="W346" s="403"/>
    </row>
    <row r="347" spans="1:23">
      <c r="A347" s="57">
        <v>36862</v>
      </c>
      <c r="B347" s="387"/>
      <c r="C347" s="395"/>
      <c r="D347" s="139"/>
      <c r="E347" s="139"/>
      <c r="F347" s="139"/>
      <c r="G347" s="389"/>
      <c r="H347" s="389"/>
      <c r="I347" s="389"/>
      <c r="J347" s="389"/>
      <c r="K347" s="139"/>
      <c r="L347" s="139"/>
      <c r="M347" s="403"/>
      <c r="N347" s="403"/>
      <c r="O347" s="403"/>
      <c r="P347" s="403"/>
      <c r="Q347" s="403"/>
      <c r="R347" s="403"/>
      <c r="S347" s="403"/>
      <c r="T347" s="403"/>
      <c r="U347" s="403"/>
      <c r="V347" s="403"/>
      <c r="W347" s="403"/>
    </row>
    <row r="348" spans="1:23">
      <c r="A348" s="57">
        <v>36863</v>
      </c>
      <c r="B348" s="387"/>
      <c r="C348" s="395"/>
      <c r="D348" s="139"/>
      <c r="E348" s="139"/>
      <c r="F348" s="139"/>
      <c r="G348" s="389"/>
      <c r="H348" s="389"/>
      <c r="I348" s="389"/>
      <c r="J348" s="389"/>
      <c r="K348" s="139"/>
      <c r="L348" s="139"/>
      <c r="M348" s="403"/>
      <c r="N348" s="403"/>
      <c r="O348" s="403"/>
      <c r="P348" s="403"/>
      <c r="Q348" s="403"/>
      <c r="R348" s="403"/>
      <c r="S348" s="403"/>
      <c r="T348" s="403"/>
      <c r="U348" s="403"/>
      <c r="V348" s="403"/>
      <c r="W348" s="403"/>
    </row>
    <row r="349" spans="1:23">
      <c r="A349" s="57">
        <v>36864</v>
      </c>
      <c r="B349" s="387"/>
      <c r="C349" s="395"/>
      <c r="D349" s="139"/>
      <c r="E349" s="139"/>
      <c r="F349" s="139"/>
      <c r="G349" s="389"/>
      <c r="H349" s="389"/>
      <c r="I349" s="389"/>
      <c r="J349" s="389"/>
      <c r="K349" s="139"/>
      <c r="L349" s="139"/>
      <c r="M349" s="403"/>
      <c r="N349" s="403"/>
      <c r="O349" s="403"/>
      <c r="P349" s="403"/>
      <c r="Q349" s="403"/>
      <c r="R349" s="403"/>
      <c r="S349" s="403"/>
      <c r="T349" s="403"/>
      <c r="U349" s="403"/>
      <c r="V349" s="403"/>
      <c r="W349" s="403"/>
    </row>
    <row r="350" spans="1:23">
      <c r="A350" s="57">
        <v>36865</v>
      </c>
      <c r="B350" s="387"/>
      <c r="C350" s="395"/>
      <c r="D350" s="139"/>
      <c r="E350" s="139"/>
      <c r="F350" s="139"/>
      <c r="G350" s="389"/>
      <c r="H350" s="389"/>
      <c r="I350" s="389"/>
      <c r="J350" s="389"/>
      <c r="K350" s="139"/>
      <c r="L350" s="139"/>
      <c r="M350" s="403"/>
      <c r="N350" s="403"/>
      <c r="O350" s="403"/>
      <c r="P350" s="403"/>
      <c r="Q350" s="403"/>
      <c r="R350" s="403"/>
      <c r="S350" s="403"/>
      <c r="T350" s="403"/>
      <c r="U350" s="403"/>
      <c r="V350" s="403"/>
      <c r="W350" s="403"/>
    </row>
    <row r="351" spans="1:23">
      <c r="A351" s="57">
        <v>36866</v>
      </c>
      <c r="B351" s="387"/>
      <c r="C351" s="395"/>
      <c r="D351" s="139"/>
      <c r="E351" s="139"/>
      <c r="F351" s="139"/>
      <c r="G351" s="389"/>
      <c r="H351" s="389"/>
      <c r="I351" s="389"/>
      <c r="J351" s="389"/>
      <c r="K351" s="139"/>
      <c r="L351" s="139"/>
      <c r="M351" s="403"/>
      <c r="N351" s="403"/>
      <c r="O351" s="403"/>
      <c r="P351" s="403"/>
      <c r="Q351" s="403"/>
      <c r="R351" s="403"/>
      <c r="S351" s="403"/>
      <c r="T351" s="403"/>
      <c r="U351" s="403"/>
      <c r="V351" s="403"/>
      <c r="W351" s="403"/>
    </row>
    <row r="352" spans="1:23">
      <c r="A352" s="57">
        <v>36867</v>
      </c>
      <c r="B352" s="387"/>
      <c r="C352" s="395"/>
      <c r="D352" s="139"/>
      <c r="E352" s="139"/>
      <c r="F352" s="139"/>
      <c r="G352" s="389"/>
      <c r="H352" s="389"/>
      <c r="I352" s="389"/>
      <c r="J352" s="389"/>
      <c r="K352" s="139"/>
      <c r="L352" s="139"/>
      <c r="M352" s="403"/>
      <c r="N352" s="403"/>
      <c r="O352" s="403"/>
      <c r="P352" s="403"/>
      <c r="Q352" s="403"/>
      <c r="R352" s="403"/>
      <c r="S352" s="403"/>
      <c r="T352" s="403"/>
      <c r="U352" s="403"/>
      <c r="V352" s="403"/>
      <c r="W352" s="403"/>
    </row>
    <row r="353" spans="1:23">
      <c r="A353" s="57">
        <v>36868</v>
      </c>
      <c r="B353" s="387"/>
      <c r="C353" s="395"/>
      <c r="D353" s="139"/>
      <c r="E353" s="139"/>
      <c r="F353" s="139"/>
      <c r="G353" s="389"/>
      <c r="H353" s="389"/>
      <c r="I353" s="389"/>
      <c r="J353" s="389"/>
      <c r="K353" s="139"/>
      <c r="L353" s="139"/>
      <c r="M353" s="403"/>
      <c r="N353" s="403"/>
      <c r="O353" s="403"/>
      <c r="P353" s="403"/>
      <c r="Q353" s="403"/>
      <c r="R353" s="403"/>
      <c r="S353" s="403"/>
      <c r="T353" s="403"/>
      <c r="U353" s="403"/>
      <c r="V353" s="403"/>
      <c r="W353" s="403"/>
    </row>
    <row r="354" spans="1:23">
      <c r="A354" s="57">
        <v>36869</v>
      </c>
      <c r="B354" s="387"/>
      <c r="C354" s="395"/>
      <c r="D354" s="139"/>
      <c r="E354" s="139"/>
      <c r="F354" s="139"/>
      <c r="G354" s="389"/>
      <c r="H354" s="389"/>
      <c r="I354" s="389"/>
      <c r="J354" s="389"/>
      <c r="K354" s="139"/>
      <c r="L354" s="139"/>
      <c r="M354" s="403"/>
      <c r="N354" s="403"/>
      <c r="O354" s="403"/>
      <c r="P354" s="403"/>
      <c r="Q354" s="403"/>
      <c r="R354" s="403"/>
      <c r="S354" s="403"/>
      <c r="T354" s="403"/>
      <c r="U354" s="403"/>
      <c r="V354" s="403"/>
      <c r="W354" s="403"/>
    </row>
    <row r="355" spans="1:23">
      <c r="A355" s="57">
        <v>36870</v>
      </c>
      <c r="B355" s="387"/>
      <c r="C355" s="395"/>
      <c r="D355" s="139"/>
      <c r="E355" s="139"/>
      <c r="F355" s="139"/>
      <c r="G355" s="389"/>
      <c r="H355" s="389"/>
      <c r="I355" s="389"/>
      <c r="J355" s="389"/>
      <c r="K355" s="139"/>
      <c r="L355" s="139"/>
      <c r="M355" s="403"/>
      <c r="N355" s="403"/>
      <c r="O355" s="403"/>
      <c r="P355" s="403"/>
      <c r="Q355" s="403"/>
      <c r="R355" s="403"/>
      <c r="S355" s="403"/>
      <c r="T355" s="403"/>
      <c r="U355" s="403"/>
      <c r="V355" s="403"/>
      <c r="W355" s="403"/>
    </row>
    <row r="356" spans="1:23">
      <c r="A356" s="57">
        <v>36871</v>
      </c>
      <c r="B356" s="387"/>
      <c r="C356" s="395"/>
      <c r="D356" s="139"/>
      <c r="E356" s="139"/>
      <c r="F356" s="139"/>
      <c r="G356" s="389"/>
      <c r="H356" s="389"/>
      <c r="I356" s="389"/>
      <c r="J356" s="389"/>
      <c r="K356" s="139"/>
      <c r="L356" s="139"/>
      <c r="M356" s="403"/>
      <c r="N356" s="403"/>
      <c r="O356" s="403"/>
      <c r="P356" s="403"/>
      <c r="Q356" s="403"/>
      <c r="R356" s="403"/>
      <c r="S356" s="403"/>
      <c r="T356" s="403"/>
      <c r="U356" s="403"/>
      <c r="V356" s="403"/>
      <c r="W356" s="403"/>
    </row>
    <row r="357" spans="1:23">
      <c r="A357" s="57">
        <v>36872</v>
      </c>
      <c r="B357" s="387"/>
      <c r="C357" s="395"/>
      <c r="D357" s="139"/>
      <c r="E357" s="139"/>
      <c r="F357" s="139"/>
      <c r="G357" s="389"/>
      <c r="H357" s="389"/>
      <c r="I357" s="389"/>
      <c r="J357" s="389"/>
      <c r="K357" s="139"/>
      <c r="L357" s="139"/>
      <c r="M357" s="403"/>
      <c r="N357" s="403"/>
      <c r="O357" s="403"/>
      <c r="P357" s="403"/>
      <c r="Q357" s="403"/>
      <c r="R357" s="403"/>
      <c r="S357" s="403"/>
      <c r="T357" s="403"/>
      <c r="U357" s="403"/>
      <c r="V357" s="403"/>
      <c r="W357" s="403"/>
    </row>
    <row r="358" spans="1:23">
      <c r="A358" s="57">
        <v>36873</v>
      </c>
      <c r="B358" s="387"/>
      <c r="C358" s="395"/>
      <c r="D358" s="139"/>
      <c r="E358" s="139"/>
      <c r="F358" s="139"/>
      <c r="G358" s="389"/>
      <c r="H358" s="389"/>
      <c r="I358" s="389"/>
      <c r="J358" s="389"/>
      <c r="K358" s="139"/>
      <c r="L358" s="139"/>
      <c r="M358" s="403"/>
      <c r="N358" s="403"/>
      <c r="O358" s="403"/>
      <c r="P358" s="403"/>
      <c r="Q358" s="403"/>
      <c r="R358" s="403"/>
      <c r="S358" s="403"/>
      <c r="T358" s="403"/>
      <c r="U358" s="403"/>
      <c r="V358" s="403"/>
      <c r="W358" s="403"/>
    </row>
    <row r="359" spans="1:23">
      <c r="A359" s="57">
        <v>36874</v>
      </c>
      <c r="B359" s="387"/>
      <c r="C359" s="395"/>
      <c r="D359" s="139"/>
      <c r="E359" s="139"/>
      <c r="F359" s="139"/>
      <c r="G359" s="389"/>
      <c r="H359" s="389"/>
      <c r="I359" s="389"/>
      <c r="J359" s="389"/>
      <c r="K359" s="139"/>
      <c r="L359" s="139"/>
      <c r="M359" s="403"/>
      <c r="N359" s="403"/>
      <c r="O359" s="403"/>
      <c r="P359" s="403"/>
      <c r="Q359" s="403"/>
      <c r="R359" s="403"/>
      <c r="S359" s="403"/>
      <c r="T359" s="403"/>
      <c r="U359" s="403"/>
      <c r="V359" s="403"/>
      <c r="W359" s="403"/>
    </row>
    <row r="360" spans="1:23">
      <c r="A360" s="57">
        <v>36875</v>
      </c>
      <c r="B360" s="387"/>
      <c r="C360" s="395"/>
      <c r="D360" s="139"/>
      <c r="E360" s="139"/>
      <c r="F360" s="139"/>
      <c r="G360" s="389"/>
      <c r="H360" s="389"/>
      <c r="I360" s="389"/>
      <c r="J360" s="389"/>
      <c r="K360" s="139"/>
      <c r="L360" s="139"/>
      <c r="M360" s="403"/>
      <c r="N360" s="403"/>
      <c r="O360" s="403"/>
      <c r="P360" s="403"/>
      <c r="Q360" s="403"/>
      <c r="R360" s="403"/>
      <c r="S360" s="403"/>
      <c r="T360" s="403"/>
      <c r="U360" s="403"/>
      <c r="V360" s="403"/>
      <c r="W360" s="403"/>
    </row>
    <row r="361" spans="1:23">
      <c r="A361" s="57">
        <v>36876</v>
      </c>
      <c r="B361" s="387"/>
      <c r="C361" s="395"/>
      <c r="D361" s="139"/>
      <c r="E361" s="139"/>
      <c r="F361" s="139"/>
      <c r="G361" s="389"/>
      <c r="H361" s="389"/>
      <c r="I361" s="389"/>
      <c r="J361" s="389"/>
      <c r="K361" s="139"/>
      <c r="L361" s="139"/>
      <c r="M361" s="403"/>
      <c r="N361" s="403"/>
      <c r="O361" s="403"/>
      <c r="P361" s="403"/>
      <c r="Q361" s="403"/>
      <c r="R361" s="403"/>
      <c r="S361" s="403"/>
      <c r="T361" s="403"/>
      <c r="U361" s="403"/>
      <c r="V361" s="403"/>
      <c r="W361" s="403"/>
    </row>
    <row r="362" spans="1:23">
      <c r="A362" s="57">
        <v>36877</v>
      </c>
      <c r="B362" s="387"/>
      <c r="C362" s="395"/>
      <c r="D362" s="139"/>
      <c r="E362" s="139"/>
      <c r="F362" s="139"/>
      <c r="G362" s="389"/>
      <c r="H362" s="389"/>
      <c r="I362" s="389"/>
      <c r="J362" s="389"/>
      <c r="K362" s="139"/>
      <c r="L362" s="139"/>
      <c r="M362" s="403"/>
      <c r="N362" s="403"/>
      <c r="O362" s="403"/>
      <c r="P362" s="403"/>
      <c r="Q362" s="403"/>
      <c r="R362" s="403"/>
      <c r="S362" s="403"/>
      <c r="T362" s="403"/>
      <c r="U362" s="403"/>
      <c r="V362" s="403"/>
      <c r="W362" s="403"/>
    </row>
    <row r="363" spans="1:23">
      <c r="A363" s="57">
        <v>36878</v>
      </c>
      <c r="B363" s="387"/>
      <c r="C363" s="395"/>
      <c r="D363" s="139"/>
      <c r="E363" s="139"/>
      <c r="F363" s="139"/>
      <c r="G363" s="389"/>
      <c r="H363" s="389"/>
      <c r="I363" s="389"/>
      <c r="J363" s="389"/>
      <c r="K363" s="139"/>
      <c r="L363" s="139"/>
      <c r="M363" s="403"/>
      <c r="N363" s="403"/>
      <c r="O363" s="403"/>
      <c r="P363" s="403"/>
      <c r="Q363" s="403"/>
      <c r="R363" s="403"/>
      <c r="S363" s="403"/>
      <c r="T363" s="403"/>
      <c r="U363" s="403"/>
      <c r="V363" s="403"/>
      <c r="W363" s="403"/>
    </row>
    <row r="364" spans="1:23">
      <c r="A364" s="57">
        <v>36879</v>
      </c>
      <c r="B364" s="387"/>
      <c r="C364" s="395"/>
      <c r="D364" s="139"/>
      <c r="E364" s="139"/>
      <c r="F364" s="139"/>
      <c r="G364" s="389"/>
      <c r="H364" s="389"/>
      <c r="I364" s="389"/>
      <c r="J364" s="389"/>
      <c r="K364" s="139"/>
      <c r="L364" s="139"/>
      <c r="M364" s="403"/>
      <c r="N364" s="403"/>
      <c r="O364" s="403"/>
      <c r="P364" s="403"/>
      <c r="Q364" s="403"/>
      <c r="R364" s="403"/>
      <c r="S364" s="403"/>
      <c r="T364" s="403"/>
      <c r="U364" s="403"/>
      <c r="V364" s="403"/>
      <c r="W364" s="403"/>
    </row>
    <row r="365" spans="1:23">
      <c r="A365" s="57">
        <v>36880</v>
      </c>
      <c r="B365" s="387"/>
      <c r="C365" s="395"/>
      <c r="D365" s="139"/>
      <c r="E365" s="139"/>
      <c r="F365" s="139"/>
      <c r="G365" s="389"/>
      <c r="H365" s="389"/>
      <c r="I365" s="389"/>
      <c r="J365" s="389"/>
      <c r="K365" s="139"/>
      <c r="L365" s="139"/>
      <c r="M365" s="403"/>
      <c r="N365" s="403"/>
      <c r="O365" s="403"/>
      <c r="P365" s="403"/>
      <c r="Q365" s="403"/>
      <c r="R365" s="403"/>
      <c r="S365" s="403"/>
      <c r="T365" s="403"/>
      <c r="U365" s="403"/>
      <c r="V365" s="403"/>
      <c r="W365" s="403"/>
    </row>
    <row r="366" spans="1:23">
      <c r="A366" s="57">
        <v>36881</v>
      </c>
      <c r="B366" s="387"/>
      <c r="C366" s="395"/>
      <c r="D366" s="139"/>
      <c r="E366" s="139"/>
      <c r="F366" s="139"/>
      <c r="G366" s="389"/>
      <c r="H366" s="389"/>
      <c r="I366" s="389"/>
      <c r="J366" s="389"/>
      <c r="K366" s="139"/>
      <c r="L366" s="139"/>
      <c r="M366" s="403"/>
      <c r="N366" s="403"/>
      <c r="O366" s="403"/>
      <c r="P366" s="403"/>
      <c r="Q366" s="403"/>
      <c r="R366" s="403"/>
      <c r="S366" s="403"/>
      <c r="T366" s="403"/>
      <c r="U366" s="403"/>
      <c r="V366" s="403"/>
      <c r="W366" s="403"/>
    </row>
    <row r="367" spans="1:23">
      <c r="A367" s="57">
        <v>36882</v>
      </c>
      <c r="B367" s="387"/>
      <c r="C367" s="395"/>
      <c r="D367" s="139"/>
      <c r="E367" s="139"/>
      <c r="F367" s="139"/>
      <c r="G367" s="389"/>
      <c r="H367" s="389"/>
      <c r="I367" s="389"/>
      <c r="J367" s="389"/>
      <c r="K367" s="139"/>
      <c r="L367" s="139"/>
      <c r="M367" s="403"/>
      <c r="N367" s="403"/>
      <c r="O367" s="403"/>
      <c r="P367" s="403"/>
      <c r="Q367" s="403"/>
      <c r="R367" s="403"/>
      <c r="S367" s="403"/>
      <c r="T367" s="403"/>
      <c r="U367" s="403"/>
      <c r="V367" s="403"/>
      <c r="W367" s="403"/>
    </row>
    <row r="368" spans="1:23">
      <c r="A368" s="57">
        <v>36883</v>
      </c>
      <c r="B368" s="387"/>
      <c r="C368" s="395"/>
      <c r="D368" s="139"/>
      <c r="E368" s="139"/>
      <c r="F368" s="139"/>
      <c r="G368" s="389"/>
      <c r="H368" s="389"/>
      <c r="I368" s="389"/>
      <c r="J368" s="389"/>
      <c r="K368" s="139"/>
      <c r="L368" s="139"/>
      <c r="M368" s="403"/>
      <c r="N368" s="403"/>
      <c r="O368" s="403"/>
      <c r="P368" s="403"/>
      <c r="Q368" s="403"/>
      <c r="R368" s="403"/>
      <c r="S368" s="403"/>
      <c r="T368" s="403"/>
      <c r="U368" s="403"/>
      <c r="V368" s="403"/>
      <c r="W368" s="403"/>
    </row>
    <row r="369" spans="1:23">
      <c r="A369" s="57">
        <v>36884</v>
      </c>
      <c r="B369" s="387"/>
      <c r="C369" s="395"/>
      <c r="D369" s="139"/>
      <c r="E369" s="139"/>
      <c r="F369" s="139"/>
      <c r="G369" s="389"/>
      <c r="H369" s="389"/>
      <c r="I369" s="389"/>
      <c r="J369" s="389"/>
      <c r="K369" s="139"/>
      <c r="L369" s="139"/>
      <c r="M369" s="403"/>
      <c r="N369" s="403"/>
      <c r="O369" s="403"/>
      <c r="P369" s="403"/>
      <c r="Q369" s="403"/>
      <c r="R369" s="403"/>
      <c r="S369" s="403"/>
      <c r="T369" s="403"/>
      <c r="U369" s="403"/>
      <c r="V369" s="403"/>
      <c r="W369" s="403"/>
    </row>
    <row r="370" spans="1:23">
      <c r="A370" s="57">
        <v>36885</v>
      </c>
      <c r="B370" s="387"/>
      <c r="C370" s="395"/>
      <c r="D370" s="139"/>
      <c r="E370" s="139"/>
      <c r="F370" s="139"/>
      <c r="G370" s="389"/>
      <c r="H370" s="389"/>
      <c r="I370" s="389"/>
      <c r="J370" s="389"/>
      <c r="K370" s="139"/>
      <c r="L370" s="139"/>
      <c r="M370" s="403"/>
      <c r="N370" s="403"/>
      <c r="O370" s="403"/>
      <c r="P370" s="403"/>
      <c r="Q370" s="403"/>
      <c r="R370" s="403"/>
      <c r="S370" s="403"/>
      <c r="T370" s="403"/>
      <c r="U370" s="403"/>
      <c r="V370" s="403"/>
      <c r="W370" s="403"/>
    </row>
    <row r="371" spans="1:23">
      <c r="A371" s="57">
        <v>36886</v>
      </c>
      <c r="B371" s="387"/>
      <c r="C371" s="395"/>
      <c r="D371" s="139"/>
      <c r="E371" s="139"/>
      <c r="F371" s="139"/>
      <c r="G371" s="389"/>
      <c r="H371" s="389"/>
      <c r="I371" s="389"/>
      <c r="J371" s="389"/>
      <c r="K371" s="139"/>
      <c r="L371" s="139"/>
      <c r="M371" s="403"/>
      <c r="N371" s="403"/>
      <c r="O371" s="403"/>
      <c r="P371" s="403"/>
      <c r="Q371" s="403"/>
      <c r="R371" s="403"/>
      <c r="S371" s="403"/>
      <c r="T371" s="403"/>
      <c r="U371" s="403"/>
      <c r="V371" s="403"/>
      <c r="W371" s="403"/>
    </row>
    <row r="372" spans="1:23">
      <c r="A372" s="57">
        <v>36887</v>
      </c>
      <c r="B372" s="387"/>
      <c r="C372" s="395"/>
      <c r="D372" s="139"/>
      <c r="E372" s="139"/>
      <c r="F372" s="139"/>
      <c r="G372" s="389"/>
      <c r="H372" s="389"/>
      <c r="I372" s="389"/>
      <c r="J372" s="389"/>
      <c r="K372" s="139"/>
      <c r="L372" s="139"/>
      <c r="M372" s="403"/>
      <c r="N372" s="403"/>
      <c r="O372" s="403"/>
      <c r="P372" s="403"/>
      <c r="Q372" s="403"/>
      <c r="R372" s="403"/>
      <c r="S372" s="403"/>
      <c r="T372" s="403"/>
      <c r="U372" s="403"/>
      <c r="V372" s="403"/>
      <c r="W372" s="403"/>
    </row>
    <row r="373" spans="1:23">
      <c r="A373" s="57">
        <v>36888</v>
      </c>
      <c r="B373" s="387"/>
      <c r="C373" s="395"/>
      <c r="D373" s="139"/>
      <c r="E373" s="139"/>
      <c r="F373" s="139"/>
      <c r="G373" s="389"/>
      <c r="H373" s="389"/>
      <c r="I373" s="389"/>
      <c r="J373" s="389"/>
      <c r="K373" s="139"/>
      <c r="L373" s="139"/>
      <c r="M373" s="403"/>
      <c r="N373" s="403"/>
      <c r="O373" s="403"/>
      <c r="P373" s="403"/>
      <c r="Q373" s="403"/>
      <c r="R373" s="403"/>
      <c r="S373" s="403"/>
      <c r="T373" s="403"/>
      <c r="U373" s="403"/>
      <c r="V373" s="403"/>
      <c r="W373" s="403"/>
    </row>
    <row r="374" spans="1:23">
      <c r="A374" s="57">
        <v>36889</v>
      </c>
      <c r="B374" s="387"/>
      <c r="C374" s="395"/>
      <c r="D374" s="139"/>
      <c r="E374" s="139"/>
      <c r="F374" s="139"/>
      <c r="G374" s="389"/>
      <c r="H374" s="389"/>
      <c r="I374" s="389"/>
      <c r="J374" s="389"/>
      <c r="K374" s="139"/>
      <c r="L374" s="139"/>
      <c r="M374" s="403"/>
      <c r="N374" s="403"/>
      <c r="O374" s="403"/>
      <c r="P374" s="403"/>
      <c r="Q374" s="403"/>
      <c r="R374" s="403"/>
      <c r="S374" s="403"/>
      <c r="T374" s="403"/>
      <c r="U374" s="403"/>
      <c r="V374" s="403"/>
      <c r="W374" s="403"/>
    </row>
    <row r="375" spans="1:23">
      <c r="A375" s="57">
        <v>36890</v>
      </c>
      <c r="B375" s="387"/>
      <c r="C375" s="395"/>
      <c r="D375" s="139"/>
      <c r="E375" s="139"/>
      <c r="F375" s="139"/>
      <c r="G375" s="389"/>
      <c r="H375" s="389"/>
      <c r="I375" s="389"/>
      <c r="J375" s="389"/>
      <c r="K375" s="139"/>
      <c r="L375" s="139"/>
      <c r="M375" s="403"/>
      <c r="N375" s="403"/>
      <c r="O375" s="403"/>
      <c r="P375" s="403"/>
      <c r="Q375" s="403"/>
      <c r="R375" s="403"/>
      <c r="S375" s="403"/>
      <c r="T375" s="403"/>
      <c r="U375" s="403"/>
      <c r="V375" s="403"/>
      <c r="W375" s="403"/>
    </row>
    <row r="376" spans="1:23">
      <c r="A376" s="57">
        <v>36891</v>
      </c>
      <c r="B376" s="387"/>
      <c r="C376" s="395"/>
      <c r="D376" s="139"/>
      <c r="E376" s="139"/>
      <c r="F376" s="139"/>
      <c r="G376" s="389"/>
      <c r="H376" s="389"/>
      <c r="I376" s="389"/>
      <c r="J376" s="389"/>
      <c r="K376" s="139"/>
      <c r="L376" s="139"/>
      <c r="M376" s="403"/>
      <c r="N376" s="403"/>
      <c r="O376" s="403"/>
      <c r="P376" s="403"/>
      <c r="Q376" s="403"/>
      <c r="R376" s="403"/>
      <c r="S376" s="403"/>
      <c r="T376" s="403"/>
      <c r="U376" s="403"/>
      <c r="V376" s="403"/>
      <c r="W376" s="403"/>
    </row>
    <row r="377" spans="1:23">
      <c r="A377" s="57">
        <v>36892</v>
      </c>
      <c r="B377" s="387"/>
      <c r="C377" s="395"/>
      <c r="D377" s="139"/>
      <c r="E377" s="139"/>
      <c r="F377" s="139"/>
      <c r="G377" s="389"/>
      <c r="H377" s="389"/>
      <c r="I377" s="389"/>
      <c r="J377" s="389"/>
      <c r="K377" s="139"/>
      <c r="L377" s="139"/>
      <c r="M377" s="403"/>
      <c r="N377" s="403"/>
      <c r="O377" s="403"/>
      <c r="P377" s="403"/>
      <c r="Q377" s="403"/>
      <c r="R377" s="403"/>
      <c r="S377" s="403"/>
      <c r="T377" s="403"/>
      <c r="U377" s="403"/>
      <c r="V377" s="403"/>
      <c r="W377" s="403"/>
    </row>
    <row r="378" spans="1:23">
      <c r="A378" s="57">
        <v>36893</v>
      </c>
      <c r="B378" s="387"/>
      <c r="C378" s="395"/>
      <c r="D378" s="139"/>
      <c r="E378" s="139"/>
      <c r="F378" s="139"/>
      <c r="G378" s="389"/>
      <c r="H378" s="389"/>
      <c r="I378" s="389"/>
      <c r="J378" s="389"/>
      <c r="K378" s="139"/>
      <c r="L378" s="139"/>
      <c r="M378" s="403"/>
      <c r="N378" s="403"/>
      <c r="O378" s="403"/>
      <c r="P378" s="403"/>
      <c r="Q378" s="403"/>
      <c r="R378" s="403"/>
      <c r="S378" s="403"/>
      <c r="T378" s="403"/>
      <c r="U378" s="403"/>
      <c r="V378" s="403"/>
      <c r="W378" s="403"/>
    </row>
    <row r="379" spans="1:23">
      <c r="A379" s="57">
        <v>36894</v>
      </c>
      <c r="B379" s="387"/>
      <c r="C379" s="395"/>
      <c r="D379" s="139"/>
      <c r="E379" s="139"/>
      <c r="F379" s="139"/>
      <c r="G379" s="389"/>
      <c r="H379" s="389"/>
      <c r="I379" s="389"/>
      <c r="J379" s="389"/>
      <c r="K379" s="139"/>
      <c r="L379" s="139"/>
      <c r="M379" s="403"/>
      <c r="N379" s="403"/>
      <c r="O379" s="403"/>
      <c r="P379" s="403"/>
      <c r="Q379" s="403"/>
      <c r="R379" s="403"/>
      <c r="S379" s="403"/>
      <c r="T379" s="403"/>
      <c r="U379" s="403"/>
      <c r="V379" s="403"/>
      <c r="W379" s="403"/>
    </row>
    <row r="380" spans="1:23">
      <c r="A380" s="57">
        <v>36895</v>
      </c>
      <c r="B380" s="387"/>
      <c r="C380" s="395"/>
      <c r="D380" s="139"/>
      <c r="E380" s="139"/>
      <c r="F380" s="139"/>
      <c r="G380" s="389"/>
      <c r="H380" s="389"/>
      <c r="I380" s="389"/>
      <c r="J380" s="389"/>
      <c r="K380" s="139"/>
      <c r="L380" s="139"/>
      <c r="M380" s="403"/>
      <c r="N380" s="403"/>
      <c r="O380" s="403"/>
      <c r="P380" s="403"/>
      <c r="Q380" s="403"/>
      <c r="R380" s="403"/>
      <c r="S380" s="403"/>
      <c r="T380" s="403"/>
      <c r="U380" s="403"/>
      <c r="V380" s="403"/>
      <c r="W380" s="403"/>
    </row>
    <row r="381" spans="1:23">
      <c r="A381" s="57">
        <v>36896</v>
      </c>
      <c r="B381" s="387"/>
      <c r="C381" s="395"/>
      <c r="D381" s="139"/>
      <c r="E381" s="139"/>
      <c r="F381" s="139"/>
      <c r="G381" s="389"/>
      <c r="H381" s="389"/>
      <c r="I381" s="389"/>
      <c r="J381" s="389"/>
      <c r="K381" s="139"/>
      <c r="L381" s="139"/>
      <c r="M381" s="403"/>
      <c r="N381" s="403"/>
      <c r="O381" s="403"/>
      <c r="P381" s="403"/>
      <c r="Q381" s="403"/>
      <c r="R381" s="403"/>
      <c r="S381" s="403"/>
      <c r="T381" s="403"/>
      <c r="U381" s="403"/>
      <c r="V381" s="403"/>
      <c r="W381" s="403"/>
    </row>
    <row r="382" spans="1:23">
      <c r="A382" s="57">
        <v>36897</v>
      </c>
      <c r="B382" s="387"/>
      <c r="C382" s="395"/>
      <c r="D382" s="139"/>
      <c r="E382" s="139"/>
      <c r="F382" s="139"/>
      <c r="G382" s="389"/>
      <c r="H382" s="389"/>
      <c r="I382" s="389"/>
      <c r="J382" s="389"/>
      <c r="K382" s="139"/>
      <c r="L382" s="139"/>
      <c r="M382" s="403"/>
      <c r="N382" s="403"/>
      <c r="O382" s="403"/>
      <c r="P382" s="403"/>
      <c r="Q382" s="403"/>
      <c r="R382" s="403"/>
      <c r="S382" s="403"/>
      <c r="T382" s="403"/>
      <c r="U382" s="403"/>
      <c r="V382" s="403"/>
      <c r="W382" s="403"/>
    </row>
    <row r="383" spans="1:23">
      <c r="A383" s="57">
        <v>36898</v>
      </c>
      <c r="B383" s="387"/>
      <c r="C383" s="395"/>
      <c r="D383" s="139"/>
      <c r="E383" s="139"/>
      <c r="F383" s="139"/>
      <c r="G383" s="389"/>
      <c r="H383" s="389"/>
      <c r="I383" s="389"/>
      <c r="J383" s="389"/>
      <c r="K383" s="139"/>
      <c r="L383" s="139"/>
      <c r="M383" s="403"/>
      <c r="N383" s="403"/>
      <c r="O383" s="403"/>
      <c r="P383" s="403"/>
      <c r="Q383" s="403"/>
      <c r="R383" s="403"/>
      <c r="S383" s="403"/>
      <c r="T383" s="403"/>
      <c r="U383" s="403"/>
      <c r="V383" s="403"/>
      <c r="W383" s="403"/>
    </row>
    <row r="384" spans="1:23">
      <c r="A384" s="57">
        <v>36899</v>
      </c>
      <c r="B384" s="387"/>
      <c r="C384" s="395"/>
      <c r="D384" s="139"/>
      <c r="E384" s="139"/>
      <c r="F384" s="139"/>
      <c r="G384" s="389"/>
      <c r="H384" s="389"/>
      <c r="I384" s="389"/>
      <c r="J384" s="389"/>
      <c r="K384" s="139"/>
      <c r="L384" s="139"/>
      <c r="M384" s="403"/>
      <c r="N384" s="403"/>
      <c r="O384" s="403"/>
      <c r="P384" s="403"/>
      <c r="Q384" s="403"/>
      <c r="R384" s="403"/>
      <c r="S384" s="403"/>
      <c r="T384" s="403"/>
      <c r="U384" s="403"/>
      <c r="V384" s="403"/>
      <c r="W384" s="403"/>
    </row>
    <row r="385" spans="1:23">
      <c r="A385" s="57">
        <v>36900</v>
      </c>
      <c r="B385" s="387"/>
      <c r="C385" s="395"/>
      <c r="D385" s="139"/>
      <c r="E385" s="139"/>
      <c r="F385" s="139"/>
      <c r="G385" s="389"/>
      <c r="H385" s="389"/>
      <c r="I385" s="389"/>
      <c r="J385" s="389"/>
      <c r="K385" s="139"/>
      <c r="L385" s="139"/>
      <c r="M385" s="403"/>
      <c r="N385" s="403"/>
      <c r="O385" s="403"/>
      <c r="P385" s="403"/>
      <c r="Q385" s="403"/>
      <c r="R385" s="403"/>
      <c r="S385" s="403"/>
      <c r="T385" s="403"/>
      <c r="U385" s="403"/>
      <c r="V385" s="403"/>
      <c r="W385" s="403"/>
    </row>
    <row r="386" spans="1:23">
      <c r="A386" s="57">
        <v>36901</v>
      </c>
      <c r="B386" s="387"/>
      <c r="C386" s="395"/>
      <c r="D386" s="139"/>
      <c r="E386" s="139"/>
      <c r="F386" s="139"/>
      <c r="G386" s="389"/>
      <c r="H386" s="389"/>
      <c r="I386" s="389"/>
      <c r="J386" s="389"/>
      <c r="K386" s="139"/>
      <c r="L386" s="139"/>
      <c r="M386" s="403"/>
      <c r="N386" s="403"/>
      <c r="O386" s="403"/>
      <c r="P386" s="403"/>
      <c r="Q386" s="403"/>
      <c r="R386" s="403"/>
      <c r="S386" s="403"/>
      <c r="T386" s="403"/>
      <c r="U386" s="403"/>
      <c r="V386" s="403"/>
      <c r="W386" s="403"/>
    </row>
    <row r="387" spans="1:23">
      <c r="A387" s="57">
        <v>36902</v>
      </c>
      <c r="B387" s="387"/>
      <c r="C387" s="395"/>
      <c r="D387" s="139"/>
      <c r="E387" s="139"/>
      <c r="F387" s="139"/>
      <c r="G387" s="389"/>
      <c r="H387" s="389"/>
      <c r="I387" s="389"/>
      <c r="J387" s="389"/>
      <c r="K387" s="139"/>
      <c r="L387" s="139"/>
      <c r="M387" s="403"/>
      <c r="N387" s="403"/>
      <c r="O387" s="403"/>
      <c r="P387" s="403"/>
      <c r="Q387" s="403"/>
      <c r="R387" s="403"/>
      <c r="S387" s="403"/>
      <c r="T387" s="403"/>
      <c r="U387" s="403"/>
      <c r="V387" s="403"/>
      <c r="W387" s="403"/>
    </row>
    <row r="388" spans="1:23">
      <c r="A388" s="57">
        <v>36903</v>
      </c>
      <c r="B388" s="387"/>
      <c r="C388" s="395"/>
      <c r="D388" s="139"/>
      <c r="E388" s="139"/>
      <c r="F388" s="139"/>
      <c r="G388" s="389"/>
      <c r="H388" s="389"/>
      <c r="I388" s="389"/>
      <c r="J388" s="389"/>
      <c r="K388" s="139"/>
      <c r="L388" s="139"/>
      <c r="M388" s="403"/>
      <c r="N388" s="403"/>
      <c r="O388" s="403"/>
      <c r="P388" s="403"/>
      <c r="Q388" s="403"/>
      <c r="R388" s="403"/>
      <c r="S388" s="403"/>
      <c r="T388" s="403"/>
      <c r="U388" s="403"/>
      <c r="V388" s="403"/>
      <c r="W388" s="403"/>
    </row>
    <row r="389" spans="1:23">
      <c r="A389" s="57">
        <v>36904</v>
      </c>
      <c r="B389" s="387"/>
      <c r="C389" s="395"/>
      <c r="D389" s="139"/>
      <c r="E389" s="139"/>
      <c r="F389" s="139"/>
      <c r="G389" s="389"/>
      <c r="H389" s="389"/>
      <c r="I389" s="389"/>
      <c r="J389" s="389"/>
      <c r="K389" s="139"/>
      <c r="L389" s="139"/>
      <c r="M389" s="403"/>
      <c r="N389" s="403"/>
      <c r="O389" s="403"/>
      <c r="P389" s="403"/>
      <c r="Q389" s="403"/>
      <c r="R389" s="403"/>
      <c r="S389" s="403"/>
      <c r="T389" s="403"/>
      <c r="U389" s="403"/>
      <c r="V389" s="403"/>
      <c r="W389" s="403"/>
    </row>
    <row r="390" spans="1:23">
      <c r="A390" s="57">
        <v>36905</v>
      </c>
      <c r="B390" s="387"/>
      <c r="C390" s="395"/>
      <c r="D390" s="139"/>
      <c r="E390" s="139"/>
      <c r="F390" s="139"/>
      <c r="G390" s="389"/>
      <c r="H390" s="389"/>
      <c r="I390" s="389"/>
      <c r="J390" s="389"/>
      <c r="K390" s="139"/>
      <c r="L390" s="139"/>
      <c r="M390" s="403"/>
      <c r="N390" s="403"/>
      <c r="O390" s="403"/>
      <c r="P390" s="403"/>
      <c r="Q390" s="403"/>
      <c r="R390" s="403"/>
      <c r="S390" s="403"/>
      <c r="T390" s="403"/>
      <c r="U390" s="403"/>
      <c r="V390" s="403"/>
      <c r="W390" s="403"/>
    </row>
    <row r="391" spans="1:23">
      <c r="A391" s="57">
        <v>36906</v>
      </c>
      <c r="B391" s="387"/>
      <c r="C391" s="395"/>
      <c r="D391" s="139"/>
      <c r="E391" s="139"/>
      <c r="F391" s="139"/>
      <c r="G391" s="389"/>
      <c r="H391" s="389"/>
      <c r="I391" s="389"/>
      <c r="J391" s="389"/>
      <c r="K391" s="139"/>
      <c r="L391" s="139"/>
      <c r="M391" s="403"/>
      <c r="N391" s="403"/>
      <c r="O391" s="403"/>
      <c r="P391" s="403"/>
      <c r="Q391" s="403"/>
      <c r="R391" s="403"/>
      <c r="S391" s="403"/>
      <c r="T391" s="403"/>
      <c r="U391" s="403"/>
      <c r="V391" s="403"/>
      <c r="W391" s="403"/>
    </row>
    <row r="392" spans="1:23">
      <c r="A392" s="57">
        <v>36907</v>
      </c>
      <c r="B392" s="387"/>
      <c r="C392" s="395"/>
      <c r="D392" s="139"/>
      <c r="E392" s="139"/>
      <c r="F392" s="139"/>
      <c r="G392" s="389"/>
      <c r="H392" s="389"/>
      <c r="I392" s="389"/>
      <c r="J392" s="389"/>
      <c r="K392" s="139"/>
      <c r="L392" s="139"/>
      <c r="M392" s="403"/>
      <c r="N392" s="403"/>
      <c r="O392" s="403"/>
      <c r="P392" s="403"/>
      <c r="Q392" s="403"/>
      <c r="R392" s="403"/>
      <c r="S392" s="403"/>
      <c r="T392" s="403"/>
      <c r="U392" s="403"/>
      <c r="V392" s="403"/>
      <c r="W392" s="403"/>
    </row>
    <row r="393" spans="1:23">
      <c r="A393" s="57">
        <v>36908</v>
      </c>
      <c r="B393" s="387"/>
      <c r="C393" s="395"/>
      <c r="D393" s="139"/>
      <c r="E393" s="139"/>
      <c r="F393" s="139"/>
      <c r="G393" s="389"/>
      <c r="H393" s="389"/>
      <c r="I393" s="389"/>
      <c r="J393" s="389"/>
      <c r="K393" s="139"/>
      <c r="L393" s="139"/>
      <c r="M393" s="403"/>
      <c r="N393" s="403"/>
      <c r="O393" s="403"/>
      <c r="P393" s="403"/>
      <c r="Q393" s="403"/>
      <c r="R393" s="403"/>
      <c r="S393" s="403"/>
      <c r="T393" s="403"/>
      <c r="U393" s="403"/>
      <c r="V393" s="403"/>
      <c r="W393" s="403"/>
    </row>
    <row r="394" spans="1:23">
      <c r="A394" s="57">
        <v>36909</v>
      </c>
      <c r="B394" s="387"/>
      <c r="C394" s="395"/>
      <c r="D394" s="139"/>
      <c r="E394" s="139"/>
      <c r="F394" s="139"/>
      <c r="G394" s="389"/>
      <c r="H394" s="389"/>
      <c r="I394" s="389"/>
      <c r="J394" s="389"/>
      <c r="K394" s="139"/>
      <c r="L394" s="139"/>
      <c r="M394" s="403"/>
      <c r="N394" s="403"/>
      <c r="O394" s="403"/>
      <c r="P394" s="403"/>
      <c r="Q394" s="403"/>
      <c r="R394" s="403"/>
      <c r="S394" s="403"/>
      <c r="T394" s="403"/>
      <c r="U394" s="403"/>
      <c r="V394" s="403"/>
      <c r="W394" s="403"/>
    </row>
    <row r="395" spans="1:23">
      <c r="A395" s="57">
        <v>36910</v>
      </c>
      <c r="B395" s="387"/>
      <c r="C395" s="395"/>
      <c r="D395" s="139"/>
      <c r="E395" s="139"/>
      <c r="F395" s="139"/>
      <c r="G395" s="389"/>
      <c r="H395" s="389"/>
      <c r="I395" s="389"/>
      <c r="J395" s="389"/>
      <c r="K395" s="139"/>
      <c r="L395" s="139"/>
      <c r="M395" s="403"/>
      <c r="N395" s="403"/>
      <c r="O395" s="403"/>
      <c r="P395" s="403"/>
      <c r="Q395" s="403"/>
      <c r="R395" s="403"/>
      <c r="S395" s="403"/>
      <c r="T395" s="403"/>
      <c r="U395" s="403"/>
      <c r="V395" s="403"/>
      <c r="W395" s="403"/>
    </row>
    <row r="396" spans="1:23">
      <c r="A396" s="57">
        <v>36911</v>
      </c>
      <c r="B396" s="387"/>
      <c r="C396" s="395"/>
      <c r="D396" s="139"/>
      <c r="E396" s="139"/>
      <c r="F396" s="139"/>
      <c r="G396" s="389"/>
      <c r="H396" s="389"/>
      <c r="I396" s="389"/>
      <c r="J396" s="389"/>
      <c r="K396" s="139"/>
      <c r="L396" s="139"/>
      <c r="M396" s="403"/>
      <c r="N396" s="403"/>
      <c r="O396" s="403"/>
      <c r="P396" s="403"/>
      <c r="Q396" s="403"/>
      <c r="R396" s="403"/>
      <c r="S396" s="403"/>
      <c r="T396" s="403"/>
      <c r="U396" s="403"/>
      <c r="V396" s="403"/>
      <c r="W396" s="403"/>
    </row>
    <row r="397" spans="1:23">
      <c r="A397" s="57">
        <v>36912</v>
      </c>
      <c r="B397" s="387"/>
      <c r="C397" s="395"/>
      <c r="D397" s="139"/>
      <c r="E397" s="139"/>
      <c r="F397" s="139"/>
      <c r="G397" s="389"/>
      <c r="H397" s="389"/>
      <c r="I397" s="389"/>
      <c r="J397" s="389"/>
      <c r="K397" s="139"/>
      <c r="L397" s="139"/>
      <c r="M397" s="403"/>
      <c r="N397" s="403"/>
      <c r="O397" s="403"/>
      <c r="P397" s="403"/>
      <c r="Q397" s="403"/>
      <c r="R397" s="403"/>
      <c r="S397" s="403"/>
      <c r="T397" s="403"/>
      <c r="U397" s="403"/>
      <c r="V397" s="403"/>
      <c r="W397" s="403"/>
    </row>
    <row r="398" spans="1:23">
      <c r="A398" s="57">
        <v>36913</v>
      </c>
      <c r="B398" s="387"/>
      <c r="C398" s="395"/>
      <c r="D398" s="139"/>
      <c r="E398" s="139"/>
      <c r="F398" s="139"/>
      <c r="G398" s="389"/>
      <c r="H398" s="389"/>
      <c r="I398" s="389"/>
      <c r="J398" s="389"/>
      <c r="K398" s="139"/>
      <c r="L398" s="139"/>
      <c r="M398" s="403"/>
      <c r="N398" s="403"/>
      <c r="O398" s="403"/>
      <c r="P398" s="403"/>
      <c r="Q398" s="403"/>
      <c r="R398" s="403"/>
      <c r="S398" s="403"/>
      <c r="T398" s="403"/>
      <c r="U398" s="403"/>
      <c r="V398" s="403"/>
      <c r="W398" s="403"/>
    </row>
    <row r="399" spans="1:23">
      <c r="A399" s="57">
        <v>36914</v>
      </c>
      <c r="B399" s="387"/>
      <c r="C399" s="395"/>
      <c r="D399" s="139"/>
      <c r="E399" s="139"/>
      <c r="F399" s="139"/>
      <c r="G399" s="389"/>
      <c r="H399" s="389"/>
      <c r="I399" s="389"/>
      <c r="J399" s="389"/>
      <c r="K399" s="139"/>
      <c r="L399" s="139"/>
      <c r="M399" s="403"/>
      <c r="N399" s="403"/>
      <c r="O399" s="403"/>
      <c r="P399" s="403"/>
      <c r="Q399" s="403"/>
      <c r="R399" s="403"/>
      <c r="S399" s="403"/>
      <c r="T399" s="403"/>
      <c r="U399" s="403"/>
      <c r="V399" s="403"/>
      <c r="W399" s="403"/>
    </row>
    <row r="400" spans="1:23">
      <c r="A400" s="57">
        <v>36915</v>
      </c>
      <c r="B400" s="387"/>
      <c r="C400" s="395"/>
      <c r="D400" s="139"/>
      <c r="E400" s="139"/>
      <c r="F400" s="139"/>
      <c r="G400" s="389"/>
      <c r="H400" s="389"/>
      <c r="I400" s="389"/>
      <c r="J400" s="389"/>
      <c r="K400" s="139"/>
      <c r="L400" s="139"/>
      <c r="M400" s="403"/>
      <c r="N400" s="403"/>
      <c r="O400" s="403"/>
      <c r="P400" s="403"/>
      <c r="Q400" s="403"/>
      <c r="R400" s="403"/>
      <c r="S400" s="403"/>
      <c r="T400" s="403"/>
      <c r="U400" s="403"/>
      <c r="V400" s="403"/>
      <c r="W400" s="403"/>
    </row>
    <row r="401" spans="1:23">
      <c r="A401" s="57">
        <v>36916</v>
      </c>
      <c r="B401" s="387"/>
      <c r="C401" s="395"/>
      <c r="D401" s="139"/>
      <c r="E401" s="139"/>
      <c r="F401" s="139"/>
      <c r="G401" s="389"/>
      <c r="H401" s="389"/>
      <c r="I401" s="389"/>
      <c r="J401" s="389"/>
      <c r="K401" s="139"/>
      <c r="L401" s="139"/>
      <c r="M401" s="403"/>
      <c r="N401" s="403"/>
      <c r="O401" s="403"/>
      <c r="P401" s="403"/>
      <c r="Q401" s="403"/>
      <c r="R401" s="403"/>
      <c r="S401" s="403"/>
      <c r="T401" s="403"/>
      <c r="U401" s="403"/>
      <c r="V401" s="403"/>
      <c r="W401" s="403"/>
    </row>
    <row r="402" spans="1:23">
      <c r="A402" s="57">
        <v>36917</v>
      </c>
      <c r="B402" s="387"/>
      <c r="C402" s="395"/>
      <c r="D402" s="139"/>
      <c r="E402" s="139"/>
      <c r="F402" s="139"/>
      <c r="G402" s="389"/>
      <c r="H402" s="389"/>
      <c r="I402" s="389"/>
      <c r="J402" s="389"/>
      <c r="K402" s="139"/>
      <c r="L402" s="139"/>
      <c r="M402" s="403"/>
      <c r="N402" s="403"/>
      <c r="O402" s="403"/>
      <c r="P402" s="403"/>
      <c r="Q402" s="403"/>
      <c r="R402" s="403"/>
      <c r="S402" s="403"/>
      <c r="T402" s="403"/>
      <c r="U402" s="403"/>
      <c r="V402" s="403"/>
      <c r="W402" s="403"/>
    </row>
    <row r="403" spans="1:23">
      <c r="A403" s="57">
        <v>36918</v>
      </c>
      <c r="B403" s="387"/>
      <c r="C403" s="395"/>
      <c r="D403" s="139"/>
      <c r="E403" s="139"/>
      <c r="F403" s="139"/>
      <c r="G403" s="389"/>
      <c r="H403" s="389"/>
      <c r="I403" s="389"/>
      <c r="J403" s="389"/>
      <c r="K403" s="139"/>
      <c r="L403" s="139"/>
      <c r="M403" s="403"/>
      <c r="N403" s="403"/>
      <c r="O403" s="403"/>
      <c r="P403" s="403"/>
      <c r="Q403" s="403"/>
      <c r="R403" s="403"/>
      <c r="S403" s="403"/>
      <c r="T403" s="403"/>
      <c r="U403" s="403"/>
      <c r="V403" s="403"/>
      <c r="W403" s="403"/>
    </row>
    <row r="404" spans="1:23">
      <c r="A404" s="57">
        <v>36919</v>
      </c>
      <c r="B404" s="387"/>
      <c r="C404" s="395"/>
      <c r="D404" s="139"/>
      <c r="E404" s="139"/>
      <c r="F404" s="139"/>
      <c r="G404" s="389"/>
      <c r="H404" s="389"/>
      <c r="I404" s="389"/>
      <c r="J404" s="389"/>
      <c r="K404" s="139"/>
      <c r="L404" s="139"/>
      <c r="M404" s="403"/>
      <c r="N404" s="403"/>
      <c r="O404" s="403"/>
      <c r="P404" s="403"/>
      <c r="Q404" s="403"/>
      <c r="R404" s="403"/>
      <c r="S404" s="403"/>
      <c r="T404" s="403"/>
      <c r="U404" s="403"/>
      <c r="V404" s="403"/>
      <c r="W404" s="403"/>
    </row>
    <row r="405" spans="1:23">
      <c r="A405" s="57">
        <v>36920</v>
      </c>
      <c r="B405" s="387"/>
      <c r="C405" s="395"/>
      <c r="D405" s="139"/>
      <c r="E405" s="139"/>
      <c r="F405" s="139"/>
      <c r="G405" s="389"/>
      <c r="H405" s="389"/>
      <c r="I405" s="389"/>
      <c r="J405" s="389"/>
      <c r="K405" s="139"/>
      <c r="L405" s="139"/>
      <c r="M405" s="403"/>
      <c r="N405" s="403"/>
      <c r="O405" s="403"/>
      <c r="P405" s="403"/>
      <c r="Q405" s="403"/>
      <c r="R405" s="403"/>
      <c r="S405" s="403"/>
      <c r="T405" s="403"/>
      <c r="U405" s="403"/>
      <c r="V405" s="403"/>
      <c r="W405" s="403"/>
    </row>
    <row r="406" spans="1:23">
      <c r="A406" s="57">
        <v>36921</v>
      </c>
      <c r="B406" s="387"/>
      <c r="C406" s="395"/>
      <c r="D406" s="139"/>
      <c r="E406" s="139"/>
      <c r="F406" s="139"/>
      <c r="G406" s="389"/>
      <c r="H406" s="389"/>
      <c r="I406" s="389"/>
      <c r="J406" s="389"/>
      <c r="K406" s="139"/>
      <c r="L406" s="139"/>
      <c r="M406" s="403"/>
      <c r="N406" s="403"/>
      <c r="O406" s="403"/>
      <c r="P406" s="403"/>
      <c r="Q406" s="403"/>
      <c r="R406" s="403"/>
      <c r="S406" s="403"/>
      <c r="T406" s="403"/>
      <c r="U406" s="403"/>
      <c r="V406" s="403"/>
      <c r="W406" s="403"/>
    </row>
    <row r="407" spans="1:23">
      <c r="A407" s="57">
        <v>36922</v>
      </c>
      <c r="B407" s="387"/>
      <c r="C407" s="395"/>
      <c r="D407" s="139"/>
      <c r="E407" s="139"/>
      <c r="F407" s="139"/>
      <c r="G407" s="389"/>
      <c r="H407" s="389"/>
      <c r="I407" s="389"/>
      <c r="J407" s="389"/>
      <c r="K407" s="139"/>
      <c r="L407" s="139"/>
      <c r="M407" s="403"/>
      <c r="N407" s="403"/>
      <c r="O407" s="403"/>
      <c r="P407" s="403"/>
      <c r="Q407" s="403"/>
      <c r="R407" s="403"/>
      <c r="S407" s="403"/>
      <c r="T407" s="403"/>
      <c r="U407" s="403"/>
      <c r="V407" s="403"/>
      <c r="W407" s="403"/>
    </row>
    <row r="408" spans="1:23">
      <c r="A408" s="57">
        <v>36923</v>
      </c>
      <c r="B408" s="387"/>
      <c r="C408" s="395"/>
      <c r="D408" s="139"/>
      <c r="E408" s="139"/>
      <c r="F408" s="139"/>
      <c r="G408" s="389"/>
      <c r="H408" s="389"/>
      <c r="I408" s="389"/>
      <c r="J408" s="389"/>
      <c r="K408" s="139"/>
      <c r="L408" s="139"/>
      <c r="M408" s="403"/>
      <c r="N408" s="403"/>
      <c r="O408" s="403"/>
      <c r="P408" s="403"/>
      <c r="Q408" s="403"/>
      <c r="R408" s="403"/>
      <c r="S408" s="403"/>
      <c r="T408" s="403"/>
      <c r="U408" s="403"/>
      <c r="V408" s="403"/>
      <c r="W408" s="403"/>
    </row>
    <row r="409" spans="1:23">
      <c r="A409" s="57">
        <v>36924</v>
      </c>
      <c r="B409" s="387"/>
      <c r="C409" s="395"/>
      <c r="D409" s="139"/>
      <c r="E409" s="139"/>
      <c r="F409" s="139"/>
      <c r="G409" s="389"/>
      <c r="H409" s="389"/>
      <c r="I409" s="389"/>
      <c r="J409" s="389"/>
      <c r="K409" s="139"/>
      <c r="L409" s="139"/>
      <c r="M409" s="403"/>
      <c r="N409" s="403"/>
      <c r="O409" s="403"/>
      <c r="P409" s="403"/>
      <c r="Q409" s="403"/>
      <c r="R409" s="403"/>
      <c r="S409" s="403"/>
      <c r="T409" s="403"/>
      <c r="U409" s="403"/>
      <c r="V409" s="403"/>
      <c r="W409" s="403"/>
    </row>
    <row r="410" spans="1:23">
      <c r="A410" s="57">
        <v>36925</v>
      </c>
      <c r="B410" s="387"/>
      <c r="C410" s="395"/>
      <c r="D410" s="139"/>
      <c r="E410" s="139"/>
      <c r="F410" s="139"/>
      <c r="G410" s="389"/>
      <c r="H410" s="389"/>
      <c r="I410" s="389"/>
      <c r="J410" s="389"/>
      <c r="K410" s="139"/>
      <c r="L410" s="139"/>
      <c r="M410" s="403"/>
      <c r="N410" s="403"/>
      <c r="O410" s="403"/>
      <c r="P410" s="403"/>
      <c r="Q410" s="403"/>
      <c r="R410" s="403"/>
      <c r="S410" s="403"/>
      <c r="T410" s="403"/>
      <c r="U410" s="403"/>
      <c r="V410" s="403"/>
      <c r="W410" s="403"/>
    </row>
    <row r="411" spans="1:23">
      <c r="A411" s="57">
        <v>36926</v>
      </c>
      <c r="B411" s="387"/>
      <c r="C411" s="395"/>
      <c r="D411" s="139"/>
      <c r="E411" s="139"/>
      <c r="F411" s="139"/>
      <c r="G411" s="389"/>
      <c r="H411" s="389"/>
      <c r="I411" s="389"/>
      <c r="J411" s="389"/>
      <c r="K411" s="139"/>
      <c r="L411" s="139"/>
      <c r="M411" s="403"/>
      <c r="N411" s="403"/>
      <c r="O411" s="403"/>
      <c r="P411" s="403"/>
      <c r="Q411" s="403"/>
      <c r="R411" s="403"/>
      <c r="S411" s="403"/>
      <c r="T411" s="403"/>
      <c r="U411" s="403"/>
      <c r="V411" s="403"/>
      <c r="W411" s="403"/>
    </row>
    <row r="412" spans="1:23">
      <c r="A412" s="57">
        <v>36927</v>
      </c>
      <c r="B412" s="387"/>
      <c r="C412" s="395"/>
      <c r="D412" s="139"/>
      <c r="E412" s="139"/>
      <c r="F412" s="139"/>
      <c r="G412" s="389"/>
      <c r="H412" s="389"/>
      <c r="I412" s="389"/>
      <c r="J412" s="389"/>
      <c r="K412" s="139"/>
      <c r="L412" s="139"/>
      <c r="M412" s="403"/>
      <c r="N412" s="403"/>
      <c r="O412" s="403"/>
      <c r="P412" s="403"/>
      <c r="Q412" s="403"/>
      <c r="R412" s="403"/>
      <c r="S412" s="403"/>
      <c r="T412" s="403"/>
      <c r="U412" s="403"/>
      <c r="V412" s="403"/>
      <c r="W412" s="403"/>
    </row>
    <row r="413" spans="1:23">
      <c r="A413" s="57">
        <v>36928</v>
      </c>
      <c r="B413" s="387"/>
      <c r="C413" s="395"/>
      <c r="D413" s="139"/>
      <c r="E413" s="139"/>
      <c r="F413" s="139"/>
      <c r="G413" s="389"/>
      <c r="H413" s="389"/>
      <c r="I413" s="389"/>
      <c r="J413" s="389"/>
      <c r="K413" s="139"/>
      <c r="L413" s="139"/>
      <c r="M413" s="403"/>
      <c r="N413" s="403"/>
      <c r="O413" s="403"/>
      <c r="P413" s="403"/>
      <c r="Q413" s="403"/>
      <c r="R413" s="403"/>
      <c r="S413" s="403"/>
      <c r="T413" s="403"/>
      <c r="U413" s="403"/>
      <c r="V413" s="403"/>
      <c r="W413" s="403"/>
    </row>
    <row r="414" spans="1:23">
      <c r="A414" s="57">
        <v>36929</v>
      </c>
      <c r="B414" s="387"/>
      <c r="C414" s="395"/>
      <c r="D414" s="139"/>
      <c r="E414" s="139"/>
      <c r="F414" s="139"/>
      <c r="G414" s="389"/>
      <c r="H414" s="389"/>
      <c r="I414" s="389"/>
      <c r="J414" s="389"/>
      <c r="K414" s="139"/>
      <c r="L414" s="139"/>
      <c r="M414" s="403"/>
      <c r="N414" s="403"/>
      <c r="O414" s="403"/>
      <c r="P414" s="403"/>
      <c r="Q414" s="403"/>
      <c r="R414" s="403"/>
      <c r="S414" s="403"/>
      <c r="T414" s="403"/>
      <c r="U414" s="403"/>
      <c r="V414" s="403"/>
      <c r="W414" s="403"/>
    </row>
    <row r="415" spans="1:23">
      <c r="A415" s="57">
        <v>36930</v>
      </c>
      <c r="B415" s="387"/>
      <c r="C415" s="395"/>
      <c r="D415" s="139"/>
      <c r="E415" s="139"/>
      <c r="F415" s="139"/>
      <c r="G415" s="389"/>
      <c r="H415" s="389"/>
      <c r="I415" s="389"/>
      <c r="J415" s="389"/>
      <c r="K415" s="139"/>
      <c r="L415" s="139"/>
      <c r="M415" s="403"/>
      <c r="N415" s="403"/>
      <c r="O415" s="403"/>
      <c r="P415" s="403"/>
      <c r="Q415" s="403"/>
      <c r="R415" s="403"/>
      <c r="S415" s="403"/>
      <c r="T415" s="403"/>
      <c r="U415" s="403"/>
      <c r="V415" s="403"/>
      <c r="W415" s="403"/>
    </row>
    <row r="416" spans="1:23">
      <c r="A416" s="57">
        <v>36931</v>
      </c>
      <c r="B416" s="387"/>
      <c r="C416" s="395"/>
      <c r="D416" s="139"/>
      <c r="E416" s="139"/>
      <c r="F416" s="139"/>
      <c r="G416" s="389"/>
      <c r="H416" s="389"/>
      <c r="I416" s="389"/>
      <c r="J416" s="389"/>
      <c r="K416" s="139"/>
      <c r="L416" s="139"/>
      <c r="M416" s="403"/>
      <c r="N416" s="403"/>
      <c r="O416" s="403"/>
      <c r="P416" s="403"/>
      <c r="Q416" s="403"/>
      <c r="R416" s="403"/>
      <c r="S416" s="403"/>
      <c r="T416" s="403"/>
      <c r="U416" s="403"/>
      <c r="V416" s="403"/>
      <c r="W416" s="403"/>
    </row>
    <row r="417" spans="1:23">
      <c r="A417" s="57">
        <v>36932</v>
      </c>
      <c r="B417" s="387"/>
      <c r="C417" s="395"/>
      <c r="D417" s="139"/>
      <c r="E417" s="139"/>
      <c r="F417" s="139"/>
      <c r="G417" s="389"/>
      <c r="H417" s="389"/>
      <c r="I417" s="389"/>
      <c r="J417" s="389"/>
      <c r="K417" s="139"/>
      <c r="L417" s="139"/>
      <c r="M417" s="403"/>
      <c r="N417" s="403"/>
      <c r="O417" s="403"/>
      <c r="P417" s="403"/>
      <c r="Q417" s="403"/>
      <c r="R417" s="403"/>
      <c r="S417" s="403"/>
      <c r="T417" s="403"/>
      <c r="U417" s="403"/>
      <c r="V417" s="403"/>
      <c r="W417" s="403"/>
    </row>
    <row r="418" spans="1:23">
      <c r="A418" s="57">
        <v>36933</v>
      </c>
      <c r="B418" s="387"/>
      <c r="C418" s="395"/>
      <c r="D418" s="139"/>
      <c r="E418" s="139"/>
      <c r="F418" s="139"/>
      <c r="G418" s="389"/>
      <c r="H418" s="389"/>
      <c r="I418" s="389"/>
      <c r="J418" s="389"/>
      <c r="K418" s="139"/>
      <c r="L418" s="139"/>
      <c r="M418" s="403"/>
      <c r="N418" s="403"/>
      <c r="O418" s="403"/>
      <c r="P418" s="403"/>
      <c r="Q418" s="403"/>
      <c r="R418" s="403"/>
      <c r="S418" s="403"/>
      <c r="T418" s="403"/>
      <c r="U418" s="403"/>
      <c r="V418" s="403"/>
      <c r="W418" s="403"/>
    </row>
    <row r="419" spans="1:23">
      <c r="A419" s="57">
        <v>36934</v>
      </c>
      <c r="B419" s="387"/>
      <c r="C419" s="395"/>
      <c r="D419" s="139"/>
      <c r="E419" s="139"/>
      <c r="F419" s="139"/>
      <c r="G419" s="389"/>
      <c r="H419" s="389"/>
      <c r="I419" s="389"/>
      <c r="J419" s="389"/>
      <c r="K419" s="139"/>
      <c r="L419" s="139"/>
      <c r="M419" s="403"/>
      <c r="N419" s="403"/>
      <c r="O419" s="403"/>
      <c r="P419" s="403"/>
      <c r="Q419" s="403"/>
      <c r="R419" s="403"/>
      <c r="S419" s="403"/>
      <c r="T419" s="403"/>
      <c r="U419" s="403"/>
      <c r="V419" s="403"/>
      <c r="W419" s="403"/>
    </row>
    <row r="420" spans="1:23">
      <c r="A420" s="57">
        <v>36935</v>
      </c>
      <c r="B420" s="387"/>
      <c r="C420" s="395"/>
      <c r="D420" s="139"/>
      <c r="E420" s="139"/>
      <c r="F420" s="139"/>
      <c r="G420" s="389"/>
      <c r="H420" s="389"/>
      <c r="I420" s="389"/>
      <c r="J420" s="389"/>
      <c r="K420" s="139"/>
      <c r="L420" s="139"/>
      <c r="M420" s="403"/>
      <c r="N420" s="403"/>
      <c r="O420" s="403"/>
      <c r="P420" s="403"/>
      <c r="Q420" s="403"/>
      <c r="R420" s="403"/>
      <c r="S420" s="403"/>
      <c r="T420" s="403"/>
      <c r="U420" s="403"/>
      <c r="V420" s="403"/>
      <c r="W420" s="403"/>
    </row>
    <row r="421" spans="1:23">
      <c r="A421" s="57">
        <v>36936</v>
      </c>
      <c r="B421" s="387"/>
      <c r="C421" s="395"/>
      <c r="D421" s="139"/>
      <c r="E421" s="139"/>
      <c r="F421" s="139"/>
      <c r="G421" s="389"/>
      <c r="H421" s="389"/>
      <c r="I421" s="389"/>
      <c r="J421" s="389"/>
      <c r="K421" s="139"/>
      <c r="L421" s="139"/>
      <c r="M421" s="403"/>
      <c r="N421" s="403"/>
      <c r="O421" s="403"/>
      <c r="P421" s="403"/>
      <c r="Q421" s="403"/>
      <c r="R421" s="403"/>
      <c r="S421" s="403"/>
      <c r="T421" s="403"/>
      <c r="U421" s="403"/>
      <c r="V421" s="403"/>
      <c r="W421" s="403"/>
    </row>
    <row r="422" spans="1:23">
      <c r="A422" s="57">
        <v>36937</v>
      </c>
      <c r="B422" s="387"/>
      <c r="C422" s="395"/>
      <c r="D422" s="139"/>
      <c r="E422" s="139"/>
      <c r="F422" s="139"/>
      <c r="G422" s="389"/>
      <c r="H422" s="389"/>
      <c r="I422" s="389"/>
      <c r="J422" s="389"/>
      <c r="K422" s="139"/>
      <c r="L422" s="139"/>
      <c r="M422" s="403"/>
      <c r="N422" s="403"/>
      <c r="O422" s="403"/>
      <c r="P422" s="403"/>
      <c r="Q422" s="403"/>
      <c r="R422" s="403"/>
      <c r="S422" s="403"/>
      <c r="T422" s="403"/>
      <c r="U422" s="403"/>
      <c r="V422" s="403"/>
      <c r="W422" s="403"/>
    </row>
    <row r="423" spans="1:23">
      <c r="A423" s="57">
        <v>36938</v>
      </c>
      <c r="B423" s="387"/>
      <c r="C423" s="395"/>
      <c r="D423" s="139"/>
      <c r="E423" s="139"/>
      <c r="F423" s="139"/>
      <c r="G423" s="389"/>
      <c r="H423" s="389"/>
      <c r="I423" s="389"/>
      <c r="J423" s="389"/>
      <c r="K423" s="139"/>
      <c r="L423" s="139"/>
      <c r="M423" s="403"/>
      <c r="N423" s="403"/>
      <c r="O423" s="403"/>
      <c r="P423" s="403"/>
      <c r="Q423" s="403"/>
      <c r="R423" s="403"/>
      <c r="S423" s="403"/>
      <c r="T423" s="403"/>
      <c r="U423" s="403"/>
      <c r="V423" s="403"/>
      <c r="W423" s="403"/>
    </row>
    <row r="424" spans="1:23">
      <c r="A424" s="57">
        <v>36939</v>
      </c>
      <c r="B424" s="387"/>
      <c r="C424" s="395"/>
      <c r="D424" s="139"/>
      <c r="E424" s="139"/>
      <c r="F424" s="139"/>
      <c r="G424" s="389"/>
      <c r="H424" s="389"/>
      <c r="I424" s="389"/>
      <c r="J424" s="389"/>
      <c r="K424" s="139"/>
      <c r="L424" s="139"/>
      <c r="M424" s="403"/>
      <c r="N424" s="403"/>
      <c r="O424" s="403"/>
      <c r="P424" s="403"/>
      <c r="Q424" s="403"/>
      <c r="R424" s="403"/>
      <c r="S424" s="403"/>
      <c r="T424" s="403"/>
      <c r="U424" s="403"/>
      <c r="V424" s="403"/>
      <c r="W424" s="403"/>
    </row>
    <row r="425" spans="1:23">
      <c r="A425" s="57">
        <v>36940</v>
      </c>
      <c r="B425" s="387"/>
      <c r="C425" s="395"/>
      <c r="D425" s="139"/>
      <c r="E425" s="139"/>
      <c r="F425" s="139"/>
      <c r="G425" s="389"/>
      <c r="H425" s="389"/>
      <c r="I425" s="389"/>
      <c r="J425" s="389"/>
      <c r="K425" s="139"/>
      <c r="L425" s="139"/>
      <c r="M425" s="403"/>
      <c r="N425" s="403"/>
      <c r="O425" s="403"/>
      <c r="P425" s="403"/>
      <c r="Q425" s="403"/>
      <c r="R425" s="403"/>
      <c r="S425" s="403"/>
      <c r="T425" s="403"/>
      <c r="U425" s="403"/>
      <c r="V425" s="403"/>
      <c r="W425" s="403"/>
    </row>
    <row r="426" spans="1:23">
      <c r="A426" s="57">
        <v>36941</v>
      </c>
      <c r="B426" s="387"/>
      <c r="C426" s="395"/>
      <c r="D426" s="139"/>
      <c r="E426" s="139"/>
      <c r="F426" s="139"/>
      <c r="G426" s="389"/>
      <c r="H426" s="389"/>
      <c r="I426" s="389"/>
      <c r="J426" s="389"/>
      <c r="K426" s="139"/>
      <c r="L426" s="139"/>
      <c r="M426" s="403"/>
      <c r="N426" s="403"/>
      <c r="O426" s="403"/>
      <c r="P426" s="403"/>
      <c r="Q426" s="403"/>
      <c r="R426" s="403"/>
      <c r="S426" s="403"/>
      <c r="T426" s="403"/>
      <c r="U426" s="403"/>
      <c r="V426" s="403"/>
      <c r="W426" s="403"/>
    </row>
    <row r="427" spans="1:23">
      <c r="A427" s="57">
        <v>36942</v>
      </c>
      <c r="B427" s="387"/>
      <c r="C427" s="395"/>
      <c r="D427" s="139"/>
      <c r="E427" s="139"/>
      <c r="F427" s="139"/>
      <c r="G427" s="389"/>
      <c r="H427" s="389"/>
      <c r="I427" s="389"/>
      <c r="J427" s="389"/>
      <c r="K427" s="139"/>
      <c r="L427" s="139"/>
      <c r="M427" s="403"/>
      <c r="N427" s="403"/>
      <c r="O427" s="403"/>
      <c r="P427" s="403"/>
      <c r="Q427" s="403"/>
      <c r="R427" s="403"/>
      <c r="S427" s="403"/>
      <c r="T427" s="403"/>
      <c r="U427" s="403"/>
      <c r="V427" s="403"/>
      <c r="W427" s="403"/>
    </row>
    <row r="428" spans="1:23">
      <c r="A428" s="57">
        <v>36943</v>
      </c>
      <c r="B428" s="387"/>
      <c r="C428" s="395"/>
      <c r="D428" s="139"/>
      <c r="E428" s="139"/>
      <c r="F428" s="139"/>
      <c r="G428" s="389"/>
      <c r="H428" s="389"/>
      <c r="I428" s="389"/>
      <c r="J428" s="389"/>
      <c r="K428" s="139"/>
      <c r="L428" s="139"/>
      <c r="M428" s="403"/>
      <c r="N428" s="403"/>
      <c r="O428" s="403"/>
      <c r="P428" s="403"/>
      <c r="Q428" s="403"/>
      <c r="R428" s="403"/>
      <c r="S428" s="403"/>
      <c r="T428" s="403"/>
      <c r="U428" s="403"/>
      <c r="V428" s="403"/>
      <c r="W428" s="403"/>
    </row>
    <row r="429" spans="1:23">
      <c r="A429" s="57">
        <v>36944</v>
      </c>
      <c r="B429" s="387"/>
      <c r="C429" s="395"/>
      <c r="D429" s="139"/>
      <c r="E429" s="139"/>
      <c r="F429" s="139"/>
      <c r="G429" s="389"/>
      <c r="H429" s="389"/>
      <c r="I429" s="389"/>
      <c r="J429" s="389"/>
      <c r="K429" s="139"/>
      <c r="L429" s="139"/>
      <c r="M429" s="403"/>
      <c r="N429" s="403"/>
      <c r="O429" s="403"/>
      <c r="P429" s="403"/>
      <c r="Q429" s="403"/>
      <c r="R429" s="403"/>
      <c r="S429" s="403"/>
      <c r="T429" s="403"/>
      <c r="U429" s="403"/>
      <c r="V429" s="403"/>
      <c r="W429" s="403"/>
    </row>
    <row r="430" spans="1:23">
      <c r="A430" s="57">
        <v>36945</v>
      </c>
      <c r="B430" s="387"/>
      <c r="C430" s="395"/>
      <c r="D430" s="139"/>
      <c r="E430" s="139"/>
      <c r="F430" s="139"/>
      <c r="G430" s="389"/>
      <c r="H430" s="389"/>
      <c r="I430" s="389"/>
      <c r="J430" s="389"/>
      <c r="K430" s="139"/>
      <c r="L430" s="139"/>
      <c r="M430" s="403"/>
      <c r="N430" s="403"/>
      <c r="O430" s="403"/>
      <c r="P430" s="403"/>
      <c r="Q430" s="403"/>
      <c r="R430" s="403"/>
      <c r="S430" s="403"/>
      <c r="T430" s="403"/>
      <c r="U430" s="403"/>
      <c r="V430" s="403"/>
      <c r="W430" s="403"/>
    </row>
    <row r="431" spans="1:23">
      <c r="A431" s="57">
        <v>36946</v>
      </c>
      <c r="B431" s="387"/>
      <c r="C431" s="395"/>
      <c r="D431" s="139"/>
      <c r="E431" s="139"/>
      <c r="F431" s="139"/>
      <c r="G431" s="389"/>
      <c r="H431" s="389"/>
      <c r="I431" s="389"/>
      <c r="J431" s="389"/>
      <c r="K431" s="139"/>
      <c r="L431" s="139"/>
      <c r="M431" s="403"/>
      <c r="N431" s="403"/>
      <c r="O431" s="403"/>
      <c r="P431" s="403"/>
      <c r="Q431" s="403"/>
      <c r="R431" s="403"/>
      <c r="S431" s="403"/>
      <c r="T431" s="403"/>
      <c r="U431" s="403"/>
      <c r="V431" s="403"/>
      <c r="W431" s="403"/>
    </row>
    <row r="432" spans="1:23">
      <c r="A432" s="57">
        <v>36947</v>
      </c>
      <c r="B432" s="387"/>
      <c r="C432" s="395"/>
      <c r="D432" s="139"/>
      <c r="E432" s="139"/>
      <c r="F432" s="139"/>
      <c r="G432" s="389"/>
      <c r="H432" s="389"/>
      <c r="I432" s="389"/>
      <c r="J432" s="389"/>
      <c r="K432" s="139"/>
      <c r="L432" s="139"/>
      <c r="M432" s="403"/>
      <c r="N432" s="403"/>
      <c r="O432" s="403"/>
      <c r="P432" s="403"/>
      <c r="Q432" s="403"/>
      <c r="R432" s="403"/>
      <c r="S432" s="403"/>
      <c r="T432" s="403"/>
      <c r="U432" s="403"/>
      <c r="V432" s="403"/>
      <c r="W432" s="403"/>
    </row>
    <row r="433" spans="1:23">
      <c r="A433" s="57">
        <v>36948</v>
      </c>
      <c r="B433" s="387"/>
      <c r="C433" s="395"/>
      <c r="D433" s="139"/>
      <c r="E433" s="139"/>
      <c r="F433" s="139"/>
      <c r="G433" s="389"/>
      <c r="H433" s="389"/>
      <c r="I433" s="389"/>
      <c r="J433" s="389"/>
      <c r="K433" s="139"/>
      <c r="L433" s="139"/>
      <c r="M433" s="403"/>
      <c r="N433" s="403"/>
      <c r="O433" s="403"/>
      <c r="P433" s="403"/>
      <c r="Q433" s="403"/>
      <c r="R433" s="403"/>
      <c r="S433" s="403"/>
      <c r="T433" s="403"/>
      <c r="U433" s="403"/>
      <c r="V433" s="403"/>
      <c r="W433" s="403"/>
    </row>
    <row r="434" spans="1:23">
      <c r="A434" s="57">
        <v>36949</v>
      </c>
      <c r="B434" s="387"/>
      <c r="C434" s="395"/>
      <c r="D434" s="139"/>
      <c r="E434" s="139"/>
      <c r="F434" s="139"/>
      <c r="G434" s="389"/>
      <c r="H434" s="389"/>
      <c r="I434" s="389"/>
      <c r="J434" s="389"/>
      <c r="K434" s="139"/>
      <c r="L434" s="139"/>
      <c r="M434" s="403"/>
      <c r="N434" s="403"/>
      <c r="O434" s="403"/>
      <c r="P434" s="403"/>
      <c r="Q434" s="403"/>
      <c r="R434" s="403"/>
      <c r="S434" s="403"/>
      <c r="T434" s="403"/>
      <c r="U434" s="403"/>
      <c r="V434" s="403"/>
      <c r="W434" s="403"/>
    </row>
    <row r="435" spans="1:23">
      <c r="A435" s="57">
        <v>36950</v>
      </c>
      <c r="B435" s="387"/>
      <c r="C435" s="395"/>
      <c r="D435" s="139"/>
      <c r="E435" s="139"/>
      <c r="F435" s="139"/>
      <c r="G435" s="389"/>
      <c r="H435" s="389"/>
      <c r="I435" s="389"/>
      <c r="J435" s="389"/>
      <c r="K435" s="139"/>
      <c r="L435" s="139"/>
      <c r="M435" s="403"/>
      <c r="N435" s="403"/>
      <c r="O435" s="403"/>
      <c r="P435" s="403"/>
      <c r="Q435" s="403"/>
      <c r="R435" s="403"/>
      <c r="S435" s="403"/>
      <c r="T435" s="403"/>
      <c r="U435" s="403"/>
      <c r="V435" s="403"/>
      <c r="W435" s="403"/>
    </row>
    <row r="436" spans="1:23">
      <c r="A436" s="57">
        <v>36951</v>
      </c>
      <c r="B436" s="387"/>
      <c r="C436" s="395"/>
      <c r="D436" s="139"/>
      <c r="E436" s="139"/>
      <c r="F436" s="139"/>
      <c r="G436" s="389"/>
      <c r="H436" s="389"/>
      <c r="I436" s="389"/>
      <c r="J436" s="389"/>
      <c r="K436" s="139"/>
      <c r="L436" s="139"/>
      <c r="M436" s="403"/>
      <c r="N436" s="403"/>
      <c r="O436" s="403"/>
      <c r="P436" s="403"/>
      <c r="Q436" s="403"/>
      <c r="R436" s="403"/>
      <c r="S436" s="403"/>
      <c r="T436" s="403"/>
      <c r="U436" s="403"/>
      <c r="V436" s="403"/>
      <c r="W436" s="403"/>
    </row>
    <row r="437" spans="1:23">
      <c r="A437" s="57">
        <v>36952</v>
      </c>
      <c r="B437" s="387"/>
      <c r="C437" s="395"/>
      <c r="D437" s="139"/>
      <c r="E437" s="139"/>
      <c r="F437" s="139"/>
      <c r="G437" s="389"/>
      <c r="H437" s="389"/>
      <c r="I437" s="389"/>
      <c r="J437" s="389"/>
      <c r="K437" s="139"/>
      <c r="L437" s="139"/>
      <c r="M437" s="403"/>
      <c r="N437" s="403"/>
      <c r="O437" s="403"/>
      <c r="P437" s="403"/>
      <c r="Q437" s="403"/>
      <c r="R437" s="403"/>
      <c r="S437" s="403"/>
      <c r="T437" s="403"/>
      <c r="U437" s="403"/>
      <c r="V437" s="403"/>
      <c r="W437" s="403"/>
    </row>
    <row r="438" spans="1:23">
      <c r="A438" s="57">
        <v>36953</v>
      </c>
      <c r="B438" s="387"/>
      <c r="C438" s="395"/>
      <c r="D438" s="139"/>
      <c r="E438" s="139"/>
      <c r="F438" s="139"/>
      <c r="G438" s="389"/>
      <c r="H438" s="389"/>
      <c r="I438" s="389"/>
      <c r="J438" s="389"/>
      <c r="K438" s="139"/>
      <c r="L438" s="139"/>
      <c r="M438" s="403"/>
      <c r="N438" s="403"/>
      <c r="O438" s="403"/>
      <c r="P438" s="403"/>
      <c r="Q438" s="403"/>
      <c r="R438" s="403"/>
      <c r="S438" s="403"/>
      <c r="T438" s="403"/>
      <c r="U438" s="403"/>
      <c r="V438" s="403"/>
      <c r="W438" s="403"/>
    </row>
    <row r="439" spans="1:23">
      <c r="A439" s="57">
        <v>36954</v>
      </c>
      <c r="B439" s="387"/>
      <c r="C439" s="395"/>
      <c r="D439" s="139"/>
      <c r="E439" s="139"/>
      <c r="F439" s="139"/>
      <c r="G439" s="389"/>
      <c r="H439" s="389"/>
      <c r="I439" s="389"/>
      <c r="J439" s="389"/>
      <c r="K439" s="139"/>
      <c r="L439" s="139"/>
      <c r="M439" s="403"/>
      <c r="N439" s="403"/>
      <c r="O439" s="403"/>
      <c r="P439" s="403"/>
      <c r="Q439" s="403"/>
      <c r="R439" s="403"/>
      <c r="S439" s="403"/>
      <c r="T439" s="403"/>
      <c r="U439" s="403"/>
      <c r="V439" s="403"/>
      <c r="W439" s="403"/>
    </row>
    <row r="440" spans="1:23">
      <c r="A440" s="57">
        <v>36955</v>
      </c>
      <c r="B440" s="387"/>
      <c r="C440" s="395"/>
      <c r="D440" s="139"/>
      <c r="E440" s="139"/>
      <c r="F440" s="139"/>
      <c r="G440" s="389"/>
      <c r="H440" s="389"/>
      <c r="I440" s="389"/>
      <c r="J440" s="389"/>
      <c r="K440" s="139"/>
      <c r="L440" s="139"/>
      <c r="M440" s="403"/>
      <c r="N440" s="403"/>
      <c r="O440" s="403"/>
      <c r="P440" s="403"/>
      <c r="Q440" s="403"/>
      <c r="R440" s="403"/>
      <c r="S440" s="403"/>
      <c r="T440" s="403"/>
      <c r="U440" s="403"/>
      <c r="V440" s="403"/>
      <c r="W440" s="403"/>
    </row>
    <row r="441" spans="1:23">
      <c r="A441" s="57">
        <v>36956</v>
      </c>
      <c r="B441" s="387"/>
      <c r="C441" s="395"/>
      <c r="D441" s="139"/>
      <c r="E441" s="139"/>
      <c r="F441" s="139"/>
      <c r="G441" s="389"/>
      <c r="H441" s="389"/>
      <c r="I441" s="389"/>
      <c r="J441" s="389"/>
      <c r="K441" s="139"/>
      <c r="L441" s="139"/>
      <c r="M441" s="403"/>
      <c r="N441" s="403"/>
      <c r="O441" s="403"/>
      <c r="P441" s="403"/>
      <c r="Q441" s="403"/>
      <c r="R441" s="403"/>
      <c r="S441" s="403"/>
      <c r="T441" s="403"/>
      <c r="U441" s="403"/>
      <c r="V441" s="403"/>
      <c r="W441" s="403"/>
    </row>
    <row r="442" spans="1:23">
      <c r="A442" s="57">
        <v>36957</v>
      </c>
      <c r="B442" s="387"/>
      <c r="C442" s="395"/>
      <c r="D442" s="139"/>
      <c r="E442" s="139"/>
      <c r="F442" s="139"/>
      <c r="G442" s="389"/>
      <c r="H442" s="389"/>
      <c r="I442" s="389"/>
      <c r="J442" s="389"/>
      <c r="K442" s="139"/>
      <c r="L442" s="139"/>
      <c r="M442" s="403"/>
      <c r="N442" s="403"/>
      <c r="O442" s="403"/>
      <c r="P442" s="403"/>
      <c r="Q442" s="403"/>
      <c r="R442" s="403"/>
      <c r="S442" s="403"/>
      <c r="T442" s="403"/>
      <c r="U442" s="403"/>
      <c r="V442" s="403"/>
      <c r="W442" s="403"/>
    </row>
    <row r="443" spans="1:23">
      <c r="A443" s="57">
        <v>36958</v>
      </c>
      <c r="B443" s="387"/>
      <c r="C443" s="395"/>
      <c r="D443" s="139"/>
      <c r="E443" s="139"/>
      <c r="F443" s="139"/>
      <c r="G443" s="389"/>
      <c r="H443" s="389"/>
      <c r="I443" s="389"/>
      <c r="J443" s="389"/>
      <c r="K443" s="139"/>
      <c r="L443" s="139"/>
      <c r="M443" s="403"/>
      <c r="N443" s="403"/>
      <c r="O443" s="403"/>
      <c r="P443" s="403"/>
      <c r="Q443" s="403"/>
      <c r="R443" s="403"/>
      <c r="S443" s="403"/>
      <c r="T443" s="403"/>
      <c r="U443" s="403"/>
      <c r="V443" s="403"/>
      <c r="W443" s="403"/>
    </row>
    <row r="444" spans="1:23">
      <c r="A444" s="57">
        <v>36959</v>
      </c>
      <c r="B444" s="387"/>
      <c r="C444" s="395"/>
      <c r="D444" s="139"/>
      <c r="E444" s="139"/>
      <c r="F444" s="139"/>
      <c r="G444" s="389"/>
      <c r="H444" s="389"/>
      <c r="I444" s="389"/>
      <c r="J444" s="389"/>
      <c r="K444" s="139"/>
      <c r="L444" s="139"/>
      <c r="M444" s="403"/>
      <c r="N444" s="403"/>
      <c r="O444" s="403"/>
      <c r="P444" s="403"/>
      <c r="Q444" s="403"/>
      <c r="R444" s="403"/>
      <c r="S444" s="403"/>
      <c r="T444" s="403"/>
      <c r="U444" s="403"/>
      <c r="V444" s="403"/>
      <c r="W444" s="403"/>
    </row>
    <row r="445" spans="1:23">
      <c r="A445" s="57">
        <v>36960</v>
      </c>
      <c r="B445" s="387"/>
      <c r="C445" s="395"/>
      <c r="D445" s="139"/>
      <c r="E445" s="139"/>
      <c r="F445" s="139"/>
      <c r="G445" s="389"/>
      <c r="H445" s="389"/>
      <c r="I445" s="389"/>
      <c r="J445" s="389"/>
      <c r="K445" s="139"/>
      <c r="L445" s="139"/>
      <c r="M445" s="403"/>
      <c r="N445" s="403"/>
      <c r="O445" s="403"/>
      <c r="P445" s="403"/>
      <c r="Q445" s="403"/>
      <c r="R445" s="403"/>
      <c r="S445" s="403"/>
      <c r="T445" s="403"/>
      <c r="U445" s="403"/>
      <c r="V445" s="403"/>
      <c r="W445" s="403"/>
    </row>
    <row r="446" spans="1:23">
      <c r="A446" s="57">
        <v>36961</v>
      </c>
      <c r="B446" s="387"/>
      <c r="C446" s="395"/>
      <c r="D446" s="139"/>
      <c r="E446" s="139"/>
      <c r="F446" s="139"/>
      <c r="G446" s="389"/>
      <c r="H446" s="389"/>
      <c r="I446" s="389"/>
      <c r="J446" s="389"/>
      <c r="K446" s="139"/>
      <c r="L446" s="139"/>
      <c r="M446" s="403"/>
      <c r="N446" s="403"/>
      <c r="O446" s="403"/>
      <c r="P446" s="403"/>
      <c r="Q446" s="403"/>
      <c r="R446" s="403"/>
      <c r="S446" s="403"/>
      <c r="T446" s="403"/>
      <c r="U446" s="403"/>
      <c r="V446" s="403"/>
      <c r="W446" s="403"/>
    </row>
    <row r="447" spans="1:23">
      <c r="A447" s="57">
        <v>36962</v>
      </c>
      <c r="B447" s="387"/>
      <c r="C447" s="395"/>
      <c r="D447" s="139"/>
      <c r="E447" s="139"/>
      <c r="F447" s="139"/>
      <c r="G447" s="389"/>
      <c r="H447" s="389"/>
      <c r="I447" s="389"/>
      <c r="J447" s="389"/>
      <c r="K447" s="139"/>
      <c r="L447" s="139"/>
      <c r="M447" s="403"/>
      <c r="N447" s="403"/>
      <c r="O447" s="403"/>
      <c r="P447" s="403"/>
      <c r="Q447" s="403"/>
      <c r="R447" s="403"/>
      <c r="S447" s="403"/>
      <c r="T447" s="403"/>
      <c r="U447" s="403"/>
      <c r="V447" s="403"/>
      <c r="W447" s="403"/>
    </row>
    <row r="448" spans="1:23">
      <c r="A448" s="57">
        <v>36963</v>
      </c>
      <c r="B448" s="387"/>
      <c r="C448" s="395"/>
      <c r="D448" s="139"/>
      <c r="E448" s="139"/>
      <c r="F448" s="139"/>
      <c r="G448" s="389"/>
      <c r="H448" s="389"/>
      <c r="I448" s="389"/>
      <c r="J448" s="389"/>
      <c r="K448" s="139"/>
      <c r="L448" s="139"/>
      <c r="M448" s="403"/>
      <c r="N448" s="403"/>
      <c r="O448" s="403"/>
      <c r="P448" s="403"/>
      <c r="Q448" s="403"/>
      <c r="R448" s="403"/>
      <c r="S448" s="403"/>
      <c r="T448" s="403"/>
      <c r="U448" s="403"/>
      <c r="V448" s="403"/>
      <c r="W448" s="403"/>
    </row>
    <row r="449" spans="1:23">
      <c r="A449" s="57">
        <v>36964</v>
      </c>
      <c r="B449" s="387"/>
      <c r="C449" s="395"/>
      <c r="D449" s="139"/>
      <c r="E449" s="139"/>
      <c r="F449" s="139"/>
      <c r="G449" s="389"/>
      <c r="H449" s="389"/>
      <c r="I449" s="389"/>
      <c r="J449" s="389"/>
      <c r="K449" s="139"/>
      <c r="L449" s="139"/>
      <c r="M449" s="403"/>
      <c r="N449" s="403"/>
      <c r="O449" s="403"/>
      <c r="P449" s="403"/>
      <c r="Q449" s="403"/>
      <c r="R449" s="403"/>
      <c r="S449" s="403"/>
      <c r="T449" s="403"/>
      <c r="U449" s="403"/>
      <c r="V449" s="403"/>
      <c r="W449" s="403"/>
    </row>
    <row r="450" spans="1:23">
      <c r="A450" s="57">
        <v>36965</v>
      </c>
      <c r="B450" s="387"/>
      <c r="C450" s="395"/>
      <c r="D450" s="139"/>
      <c r="E450" s="139"/>
      <c r="F450" s="139"/>
      <c r="G450" s="389"/>
      <c r="H450" s="389"/>
      <c r="I450" s="389"/>
      <c r="J450" s="389"/>
      <c r="K450" s="139"/>
      <c r="L450" s="139"/>
      <c r="M450" s="403"/>
      <c r="N450" s="403"/>
      <c r="O450" s="403"/>
      <c r="P450" s="403"/>
      <c r="Q450" s="403"/>
      <c r="R450" s="403"/>
      <c r="S450" s="403"/>
      <c r="T450" s="403"/>
      <c r="U450" s="403"/>
      <c r="V450" s="403"/>
      <c r="W450" s="403"/>
    </row>
    <row r="451" spans="1:23">
      <c r="A451" s="57">
        <v>36966</v>
      </c>
      <c r="B451" s="387"/>
      <c r="C451" s="395"/>
      <c r="D451" s="139"/>
      <c r="E451" s="139"/>
      <c r="F451" s="139"/>
      <c r="G451" s="389"/>
      <c r="H451" s="389"/>
      <c r="I451" s="389"/>
      <c r="J451" s="389"/>
      <c r="K451" s="139"/>
      <c r="L451" s="139"/>
      <c r="M451" s="403"/>
      <c r="N451" s="403"/>
      <c r="O451" s="403"/>
      <c r="P451" s="403"/>
      <c r="Q451" s="403"/>
      <c r="R451" s="403"/>
      <c r="S451" s="403"/>
      <c r="T451" s="403"/>
      <c r="U451" s="403"/>
      <c r="V451" s="403"/>
      <c r="W451" s="403"/>
    </row>
    <row r="452" spans="1:23">
      <c r="A452" s="57">
        <v>36967</v>
      </c>
      <c r="B452" s="387"/>
      <c r="C452" s="395"/>
      <c r="D452" s="139"/>
      <c r="E452" s="139"/>
      <c r="F452" s="139"/>
      <c r="G452" s="389"/>
      <c r="H452" s="389"/>
      <c r="I452" s="389"/>
      <c r="J452" s="389"/>
      <c r="K452" s="139"/>
      <c r="L452" s="139"/>
      <c r="M452" s="403"/>
      <c r="N452" s="403"/>
      <c r="O452" s="403"/>
      <c r="P452" s="403"/>
      <c r="Q452" s="403"/>
      <c r="R452" s="403"/>
      <c r="S452" s="403"/>
      <c r="T452" s="403"/>
      <c r="U452" s="403"/>
      <c r="V452" s="403"/>
      <c r="W452" s="403"/>
    </row>
    <row r="453" spans="1:23">
      <c r="A453" s="57">
        <v>36968</v>
      </c>
      <c r="B453" s="387"/>
      <c r="C453" s="395"/>
      <c r="D453" s="139"/>
      <c r="E453" s="139"/>
      <c r="F453" s="139"/>
      <c r="G453" s="389"/>
      <c r="H453" s="389"/>
      <c r="I453" s="389"/>
      <c r="J453" s="389"/>
      <c r="K453" s="139"/>
      <c r="L453" s="139"/>
      <c r="M453" s="403"/>
      <c r="N453" s="403"/>
      <c r="O453" s="403"/>
      <c r="P453" s="403"/>
      <c r="Q453" s="403"/>
      <c r="R453" s="403"/>
      <c r="S453" s="403"/>
      <c r="T453" s="403"/>
      <c r="U453" s="403"/>
      <c r="V453" s="403"/>
      <c r="W453" s="403"/>
    </row>
    <row r="454" spans="1:23">
      <c r="A454" s="57">
        <v>36969</v>
      </c>
      <c r="B454" s="387"/>
      <c r="C454" s="395"/>
      <c r="D454" s="139"/>
      <c r="E454" s="139"/>
      <c r="F454" s="139"/>
      <c r="G454" s="389"/>
      <c r="H454" s="389"/>
      <c r="I454" s="389"/>
      <c r="J454" s="389"/>
      <c r="K454" s="139"/>
      <c r="L454" s="139"/>
      <c r="M454" s="403"/>
      <c r="N454" s="403"/>
      <c r="O454" s="403"/>
      <c r="P454" s="403"/>
      <c r="Q454" s="403"/>
      <c r="R454" s="403"/>
      <c r="S454" s="403"/>
      <c r="T454" s="403"/>
      <c r="U454" s="403"/>
      <c r="V454" s="403"/>
      <c r="W454" s="403"/>
    </row>
    <row r="455" spans="1:23">
      <c r="A455" s="57">
        <v>36970</v>
      </c>
      <c r="B455" s="387"/>
      <c r="C455" s="395"/>
      <c r="D455" s="139"/>
      <c r="E455" s="139"/>
      <c r="F455" s="139"/>
      <c r="G455" s="389"/>
      <c r="H455" s="389"/>
      <c r="I455" s="389"/>
      <c r="J455" s="389"/>
      <c r="K455" s="139"/>
      <c r="L455" s="139"/>
      <c r="M455" s="403"/>
      <c r="N455" s="403"/>
      <c r="O455" s="403"/>
      <c r="P455" s="403"/>
      <c r="Q455" s="403"/>
      <c r="R455" s="403"/>
      <c r="S455" s="403"/>
      <c r="T455" s="403"/>
      <c r="U455" s="403"/>
      <c r="V455" s="403"/>
      <c r="W455" s="403"/>
    </row>
    <row r="456" spans="1:23">
      <c r="A456" s="57">
        <v>36971</v>
      </c>
      <c r="B456" s="387"/>
      <c r="C456" s="395"/>
      <c r="D456" s="139"/>
      <c r="E456" s="139"/>
      <c r="F456" s="139"/>
      <c r="G456" s="389"/>
      <c r="H456" s="389"/>
      <c r="I456" s="389"/>
      <c r="J456" s="389"/>
      <c r="K456" s="139"/>
      <c r="L456" s="139"/>
      <c r="M456" s="403"/>
      <c r="N456" s="403"/>
      <c r="O456" s="403"/>
      <c r="P456" s="403"/>
      <c r="Q456" s="403"/>
      <c r="R456" s="403"/>
      <c r="S456" s="403"/>
      <c r="T456" s="403"/>
      <c r="U456" s="403"/>
      <c r="V456" s="403"/>
      <c r="W456" s="403"/>
    </row>
    <row r="457" spans="1:23">
      <c r="A457" s="57">
        <v>36972</v>
      </c>
      <c r="B457" s="387"/>
      <c r="C457" s="395"/>
      <c r="D457" s="139"/>
      <c r="E457" s="139"/>
      <c r="F457" s="139"/>
      <c r="G457" s="389"/>
      <c r="H457" s="389"/>
      <c r="I457" s="389"/>
      <c r="J457" s="389"/>
      <c r="K457" s="139"/>
      <c r="L457" s="139"/>
      <c r="M457" s="403"/>
      <c r="N457" s="403"/>
      <c r="O457" s="403"/>
      <c r="P457" s="403"/>
      <c r="Q457" s="403"/>
      <c r="R457" s="403"/>
      <c r="S457" s="403"/>
      <c r="T457" s="403"/>
      <c r="U457" s="403"/>
      <c r="V457" s="403"/>
      <c r="W457" s="403"/>
    </row>
    <row r="458" spans="1:23">
      <c r="A458" s="57">
        <v>36973</v>
      </c>
      <c r="B458" s="387"/>
      <c r="C458" s="395"/>
      <c r="D458" s="139"/>
      <c r="E458" s="139"/>
      <c r="F458" s="139"/>
      <c r="G458" s="389"/>
      <c r="H458" s="389"/>
      <c r="I458" s="389"/>
      <c r="J458" s="389"/>
      <c r="K458" s="139"/>
      <c r="L458" s="139"/>
      <c r="M458" s="403"/>
      <c r="N458" s="403"/>
      <c r="O458" s="403"/>
      <c r="P458" s="403"/>
      <c r="Q458" s="403"/>
      <c r="R458" s="403"/>
      <c r="S458" s="403"/>
      <c r="T458" s="403"/>
      <c r="U458" s="403"/>
      <c r="V458" s="403"/>
      <c r="W458" s="403"/>
    </row>
    <row r="459" spans="1:23">
      <c r="A459" s="57">
        <v>36974</v>
      </c>
      <c r="B459" s="387"/>
      <c r="C459" s="395"/>
      <c r="D459" s="139"/>
      <c r="E459" s="139"/>
      <c r="F459" s="139"/>
      <c r="G459" s="389"/>
      <c r="H459" s="389"/>
      <c r="I459" s="389"/>
      <c r="J459" s="389"/>
      <c r="K459" s="139"/>
      <c r="L459" s="139"/>
      <c r="M459" s="403"/>
      <c r="N459" s="403"/>
      <c r="O459" s="403"/>
      <c r="P459" s="403"/>
      <c r="Q459" s="403"/>
      <c r="R459" s="403"/>
      <c r="S459" s="403"/>
      <c r="T459" s="403"/>
      <c r="U459" s="403"/>
      <c r="V459" s="403"/>
      <c r="W459" s="403"/>
    </row>
    <row r="460" spans="1:23">
      <c r="A460" s="57">
        <v>36975</v>
      </c>
      <c r="B460" s="387"/>
      <c r="C460" s="395"/>
      <c r="D460" s="139"/>
      <c r="E460" s="139"/>
      <c r="F460" s="139"/>
      <c r="G460" s="389"/>
      <c r="H460" s="389"/>
      <c r="I460" s="389"/>
      <c r="J460" s="389"/>
      <c r="K460" s="139"/>
      <c r="L460" s="139"/>
      <c r="M460" s="403"/>
      <c r="N460" s="403"/>
      <c r="O460" s="403"/>
      <c r="P460" s="403"/>
      <c r="Q460" s="403"/>
      <c r="R460" s="403"/>
      <c r="S460" s="403"/>
      <c r="T460" s="403"/>
      <c r="U460" s="403"/>
      <c r="V460" s="403"/>
      <c r="W460" s="403"/>
    </row>
    <row r="461" spans="1:23">
      <c r="A461" s="57">
        <v>36976</v>
      </c>
      <c r="B461" s="387"/>
      <c r="C461" s="395"/>
      <c r="D461" s="139"/>
      <c r="E461" s="139"/>
      <c r="F461" s="139"/>
      <c r="G461" s="389"/>
      <c r="H461" s="389"/>
      <c r="I461" s="389"/>
      <c r="J461" s="389"/>
      <c r="K461" s="139"/>
      <c r="L461" s="139"/>
      <c r="M461" s="403"/>
      <c r="N461" s="403"/>
      <c r="O461" s="403"/>
      <c r="P461" s="403"/>
      <c r="Q461" s="403"/>
      <c r="R461" s="403"/>
      <c r="S461" s="403"/>
      <c r="T461" s="403"/>
      <c r="U461" s="403"/>
      <c r="V461" s="403"/>
      <c r="W461" s="403"/>
    </row>
    <row r="462" spans="1:23">
      <c r="A462" s="57">
        <v>36977</v>
      </c>
      <c r="B462" s="387"/>
      <c r="C462" s="395"/>
      <c r="D462" s="139"/>
      <c r="E462" s="139"/>
      <c r="F462" s="139"/>
      <c r="G462" s="389"/>
      <c r="H462" s="389"/>
      <c r="I462" s="389"/>
      <c r="J462" s="389"/>
      <c r="K462" s="139"/>
      <c r="L462" s="139"/>
      <c r="M462" s="403"/>
      <c r="N462" s="403"/>
      <c r="O462" s="403"/>
      <c r="P462" s="403"/>
      <c r="Q462" s="403"/>
      <c r="R462" s="403"/>
      <c r="S462" s="403"/>
      <c r="T462" s="403"/>
      <c r="U462" s="403"/>
      <c r="V462" s="403"/>
      <c r="W462" s="403"/>
    </row>
    <row r="463" spans="1:23">
      <c r="A463" s="57">
        <v>36978</v>
      </c>
      <c r="B463" s="387"/>
      <c r="C463" s="395"/>
      <c r="D463" s="139"/>
      <c r="E463" s="139"/>
      <c r="F463" s="139"/>
      <c r="G463" s="389"/>
      <c r="H463" s="389"/>
      <c r="I463" s="389"/>
      <c r="J463" s="389"/>
      <c r="K463" s="139"/>
      <c r="L463" s="139"/>
      <c r="M463" s="403"/>
      <c r="N463" s="403"/>
      <c r="O463" s="403"/>
      <c r="P463" s="403"/>
      <c r="Q463" s="403"/>
      <c r="R463" s="403"/>
      <c r="S463" s="403"/>
      <c r="T463" s="403"/>
      <c r="U463" s="403"/>
      <c r="V463" s="403"/>
      <c r="W463" s="403"/>
    </row>
    <row r="464" spans="1:23">
      <c r="A464" s="57">
        <v>36979</v>
      </c>
      <c r="B464" s="387"/>
      <c r="C464" s="395"/>
      <c r="D464" s="139"/>
      <c r="E464" s="139"/>
      <c r="F464" s="139"/>
      <c r="G464" s="389"/>
      <c r="H464" s="389"/>
      <c r="I464" s="389"/>
      <c r="J464" s="389"/>
      <c r="K464" s="139"/>
      <c r="L464" s="139"/>
      <c r="M464" s="403"/>
      <c r="N464" s="403"/>
      <c r="O464" s="403"/>
      <c r="P464" s="403"/>
      <c r="Q464" s="403"/>
      <c r="R464" s="403"/>
      <c r="S464" s="403"/>
      <c r="T464" s="403"/>
      <c r="U464" s="403"/>
      <c r="V464" s="403"/>
      <c r="W464" s="403"/>
    </row>
    <row r="465" spans="1:23">
      <c r="A465" s="57">
        <v>36980</v>
      </c>
      <c r="B465" s="387"/>
      <c r="C465" s="395"/>
      <c r="D465" s="139"/>
      <c r="E465" s="139"/>
      <c r="F465" s="139"/>
      <c r="G465" s="389"/>
      <c r="H465" s="389"/>
      <c r="I465" s="389"/>
      <c r="J465" s="389"/>
      <c r="K465" s="139"/>
      <c r="L465" s="139"/>
      <c r="M465" s="403"/>
      <c r="N465" s="403"/>
      <c r="O465" s="403"/>
      <c r="P465" s="403"/>
      <c r="Q465" s="403"/>
      <c r="R465" s="403"/>
      <c r="S465" s="403"/>
      <c r="T465" s="403"/>
      <c r="U465" s="403"/>
      <c r="V465" s="403"/>
      <c r="W465" s="403"/>
    </row>
    <row r="466" spans="1:23">
      <c r="A466" s="57">
        <v>36981</v>
      </c>
      <c r="B466" s="387"/>
      <c r="C466" s="395"/>
      <c r="D466" s="139"/>
      <c r="E466" s="139"/>
      <c r="F466" s="139"/>
      <c r="G466" s="389"/>
      <c r="H466" s="389"/>
      <c r="I466" s="389"/>
      <c r="J466" s="389"/>
      <c r="K466" s="139"/>
      <c r="L466" s="139"/>
      <c r="M466" s="403"/>
      <c r="N466" s="403"/>
      <c r="O466" s="403"/>
      <c r="P466" s="403"/>
      <c r="Q466" s="403"/>
      <c r="R466" s="403"/>
      <c r="S466" s="403"/>
      <c r="T466" s="403"/>
      <c r="U466" s="403"/>
      <c r="V466" s="403"/>
      <c r="W466" s="403"/>
    </row>
    <row r="467" spans="1:23">
      <c r="A467" s="57">
        <v>36982</v>
      </c>
      <c r="B467" s="387"/>
      <c r="C467" s="395"/>
      <c r="D467" s="139"/>
      <c r="E467" s="139"/>
      <c r="F467" s="139"/>
      <c r="G467" s="389"/>
      <c r="H467" s="389"/>
      <c r="I467" s="389"/>
      <c r="J467" s="389"/>
      <c r="K467" s="139"/>
      <c r="L467" s="139"/>
      <c r="M467" s="403"/>
      <c r="N467" s="403"/>
      <c r="O467" s="403"/>
      <c r="P467" s="403"/>
      <c r="Q467" s="403"/>
      <c r="R467" s="403"/>
      <c r="S467" s="403"/>
      <c r="T467" s="403"/>
      <c r="U467" s="403"/>
      <c r="V467" s="403"/>
      <c r="W467" s="403"/>
    </row>
    <row r="468" spans="1:23">
      <c r="A468" s="57">
        <v>36983</v>
      </c>
      <c r="B468" s="387"/>
      <c r="C468" s="395"/>
      <c r="D468" s="139"/>
      <c r="E468" s="139"/>
      <c r="F468" s="139"/>
      <c r="G468" s="389"/>
      <c r="H468" s="389"/>
      <c r="I468" s="389"/>
      <c r="J468" s="389"/>
      <c r="K468" s="139"/>
      <c r="L468" s="139"/>
      <c r="M468" s="403"/>
      <c r="N468" s="403"/>
      <c r="O468" s="403"/>
      <c r="P468" s="403"/>
      <c r="Q468" s="403"/>
      <c r="R468" s="403"/>
      <c r="S468" s="403"/>
      <c r="T468" s="403"/>
      <c r="U468" s="403"/>
      <c r="V468" s="403"/>
      <c r="W468" s="403"/>
    </row>
    <row r="469" spans="1:23">
      <c r="A469" s="57">
        <v>36984</v>
      </c>
      <c r="B469" s="387"/>
      <c r="C469" s="395"/>
      <c r="D469" s="139"/>
      <c r="E469" s="139"/>
      <c r="F469" s="139"/>
      <c r="G469" s="389"/>
      <c r="H469" s="389"/>
      <c r="I469" s="389"/>
      <c r="J469" s="389"/>
      <c r="K469" s="139"/>
      <c r="L469" s="139"/>
      <c r="M469" s="403"/>
      <c r="N469" s="403"/>
      <c r="O469" s="403"/>
      <c r="P469" s="403"/>
      <c r="Q469" s="403"/>
      <c r="R469" s="403"/>
      <c r="S469" s="403"/>
      <c r="T469" s="403"/>
      <c r="U469" s="403"/>
      <c r="V469" s="403"/>
      <c r="W469" s="403"/>
    </row>
    <row r="470" spans="1:23">
      <c r="A470" s="57">
        <v>36985</v>
      </c>
      <c r="B470" s="387"/>
      <c r="C470" s="395"/>
      <c r="D470" s="139"/>
      <c r="E470" s="139"/>
      <c r="F470" s="139"/>
      <c r="G470" s="389"/>
      <c r="H470" s="389"/>
      <c r="I470" s="389"/>
      <c r="J470" s="389"/>
      <c r="K470" s="139"/>
      <c r="L470" s="139"/>
      <c r="M470" s="403"/>
      <c r="N470" s="403"/>
      <c r="O470" s="403"/>
      <c r="P470" s="403"/>
      <c r="Q470" s="403"/>
      <c r="R470" s="403"/>
      <c r="S470" s="403"/>
      <c r="T470" s="403"/>
      <c r="U470" s="403"/>
      <c r="V470" s="403"/>
      <c r="W470" s="403"/>
    </row>
    <row r="471" spans="1:23">
      <c r="A471" s="57">
        <v>36986</v>
      </c>
      <c r="B471" s="387"/>
      <c r="C471" s="395"/>
      <c r="D471" s="139"/>
      <c r="E471" s="139"/>
      <c r="F471" s="139"/>
      <c r="G471" s="389"/>
      <c r="H471" s="389"/>
      <c r="I471" s="389"/>
      <c r="J471" s="389"/>
      <c r="K471" s="139"/>
      <c r="L471" s="139"/>
      <c r="M471" s="403"/>
      <c r="N471" s="403"/>
      <c r="O471" s="403"/>
      <c r="P471" s="403"/>
      <c r="Q471" s="403"/>
      <c r="R471" s="403"/>
      <c r="S471" s="403"/>
      <c r="T471" s="403"/>
      <c r="U471" s="403"/>
      <c r="V471" s="403"/>
      <c r="W471" s="403"/>
    </row>
    <row r="472" spans="1:23">
      <c r="A472" s="57">
        <v>36987</v>
      </c>
      <c r="B472" s="387"/>
      <c r="C472" s="395"/>
      <c r="D472" s="139"/>
      <c r="E472" s="139"/>
      <c r="F472" s="139"/>
      <c r="G472" s="389"/>
      <c r="H472" s="389"/>
      <c r="I472" s="389"/>
      <c r="J472" s="389"/>
      <c r="K472" s="139"/>
      <c r="L472" s="139"/>
      <c r="M472" s="403"/>
      <c r="N472" s="403"/>
      <c r="O472" s="403"/>
      <c r="P472" s="403"/>
      <c r="Q472" s="403"/>
      <c r="R472" s="403"/>
      <c r="S472" s="403"/>
      <c r="T472" s="403"/>
      <c r="U472" s="403"/>
      <c r="V472" s="403"/>
      <c r="W472" s="403"/>
    </row>
    <row r="473" spans="1:23">
      <c r="A473" s="57">
        <v>36988</v>
      </c>
      <c r="B473" s="387"/>
      <c r="C473" s="395"/>
      <c r="D473" s="139"/>
      <c r="E473" s="139"/>
      <c r="F473" s="139"/>
      <c r="G473" s="389"/>
      <c r="H473" s="389"/>
      <c r="I473" s="389"/>
      <c r="J473" s="389"/>
      <c r="K473" s="139"/>
      <c r="L473" s="139"/>
      <c r="M473" s="403"/>
      <c r="N473" s="403"/>
      <c r="O473" s="403"/>
      <c r="P473" s="403"/>
      <c r="Q473" s="403"/>
      <c r="R473" s="403"/>
      <c r="S473" s="403"/>
      <c r="T473" s="403"/>
      <c r="U473" s="403"/>
      <c r="V473" s="403"/>
      <c r="W473" s="403"/>
    </row>
    <row r="474" spans="1:23">
      <c r="A474" s="57">
        <v>36989</v>
      </c>
      <c r="B474" s="387"/>
      <c r="C474" s="395"/>
      <c r="D474" s="139"/>
      <c r="E474" s="139"/>
      <c r="F474" s="139"/>
      <c r="G474" s="389"/>
      <c r="H474" s="389"/>
      <c r="I474" s="389"/>
      <c r="J474" s="389"/>
      <c r="K474" s="139"/>
      <c r="L474" s="139"/>
      <c r="M474" s="403"/>
      <c r="N474" s="403"/>
      <c r="O474" s="403"/>
      <c r="P474" s="403"/>
      <c r="Q474" s="403"/>
      <c r="R474" s="403"/>
      <c r="S474" s="403"/>
      <c r="T474" s="403"/>
      <c r="U474" s="403"/>
      <c r="V474" s="403"/>
      <c r="W474" s="403"/>
    </row>
    <row r="475" spans="1:23">
      <c r="A475" s="57">
        <v>36990</v>
      </c>
      <c r="B475" s="387"/>
      <c r="C475" s="395"/>
      <c r="D475" s="139"/>
      <c r="E475" s="139"/>
      <c r="F475" s="139"/>
      <c r="G475" s="389"/>
      <c r="H475" s="389"/>
      <c r="I475" s="389"/>
      <c r="J475" s="389"/>
      <c r="K475" s="139"/>
      <c r="L475" s="139"/>
      <c r="M475" s="403"/>
      <c r="N475" s="403"/>
      <c r="O475" s="403"/>
      <c r="P475" s="403"/>
      <c r="Q475" s="403"/>
      <c r="R475" s="403"/>
      <c r="S475" s="403"/>
      <c r="T475" s="403"/>
      <c r="U475" s="403"/>
      <c r="V475" s="403"/>
      <c r="W475" s="403"/>
    </row>
    <row r="476" spans="1:23">
      <c r="A476" s="57">
        <v>36991</v>
      </c>
      <c r="B476" s="387"/>
      <c r="C476" s="395"/>
      <c r="D476" s="139"/>
      <c r="E476" s="139"/>
      <c r="F476" s="139"/>
      <c r="G476" s="389"/>
      <c r="H476" s="389"/>
      <c r="I476" s="389"/>
      <c r="J476" s="389"/>
      <c r="K476" s="139"/>
      <c r="L476" s="139"/>
      <c r="M476" s="403"/>
      <c r="N476" s="403"/>
      <c r="O476" s="403"/>
      <c r="P476" s="403"/>
      <c r="Q476" s="403"/>
      <c r="R476" s="403"/>
      <c r="S476" s="403"/>
      <c r="T476" s="403"/>
      <c r="U476" s="403"/>
      <c r="V476" s="403"/>
      <c r="W476" s="403"/>
    </row>
    <row r="477" spans="1:23">
      <c r="A477" s="57">
        <v>36992</v>
      </c>
      <c r="B477" s="387"/>
      <c r="C477" s="395"/>
      <c r="D477" s="139"/>
      <c r="E477" s="139"/>
      <c r="F477" s="139"/>
      <c r="G477" s="389"/>
      <c r="H477" s="389"/>
      <c r="I477" s="389"/>
      <c r="J477" s="389"/>
      <c r="K477" s="139"/>
      <c r="L477" s="139"/>
      <c r="M477" s="403"/>
      <c r="N477" s="403"/>
      <c r="O477" s="403"/>
      <c r="P477" s="403"/>
      <c r="Q477" s="403"/>
      <c r="R477" s="403"/>
      <c r="S477" s="403"/>
      <c r="T477" s="403"/>
      <c r="U477" s="403"/>
      <c r="V477" s="403"/>
      <c r="W477" s="403"/>
    </row>
    <row r="478" spans="1:23">
      <c r="A478" s="57">
        <v>36993</v>
      </c>
      <c r="B478" s="387"/>
      <c r="C478" s="395"/>
      <c r="D478" s="139"/>
      <c r="E478" s="139"/>
      <c r="F478" s="139"/>
      <c r="G478" s="389"/>
      <c r="H478" s="389"/>
      <c r="I478" s="389"/>
      <c r="J478" s="389"/>
      <c r="K478" s="139"/>
      <c r="L478" s="139"/>
      <c r="M478" s="403"/>
      <c r="N478" s="403"/>
      <c r="O478" s="403"/>
      <c r="P478" s="403"/>
      <c r="Q478" s="403"/>
      <c r="R478" s="403"/>
      <c r="S478" s="403"/>
      <c r="T478" s="403"/>
      <c r="U478" s="403"/>
      <c r="V478" s="403"/>
      <c r="W478" s="403"/>
    </row>
    <row r="479" spans="1:23">
      <c r="A479" s="57">
        <v>36994</v>
      </c>
      <c r="B479" s="387"/>
      <c r="C479" s="395"/>
      <c r="D479" s="139"/>
      <c r="E479" s="139"/>
      <c r="F479" s="139"/>
      <c r="G479" s="389"/>
      <c r="H479" s="389"/>
      <c r="I479" s="389"/>
      <c r="J479" s="389"/>
      <c r="K479" s="139"/>
      <c r="L479" s="139"/>
      <c r="M479" s="403"/>
      <c r="N479" s="403"/>
      <c r="O479" s="403"/>
      <c r="P479" s="403"/>
      <c r="Q479" s="403"/>
      <c r="R479" s="403"/>
      <c r="S479" s="403"/>
      <c r="T479" s="403"/>
      <c r="U479" s="403"/>
      <c r="V479" s="403"/>
      <c r="W479" s="403"/>
    </row>
    <row r="480" spans="1:23">
      <c r="A480" s="57">
        <v>36995</v>
      </c>
      <c r="B480" s="387"/>
      <c r="C480" s="395"/>
      <c r="D480" s="139"/>
      <c r="E480" s="139"/>
      <c r="F480" s="139"/>
      <c r="G480" s="389"/>
      <c r="H480" s="389"/>
      <c r="I480" s="389"/>
      <c r="J480" s="389"/>
      <c r="K480" s="139"/>
      <c r="L480" s="139"/>
      <c r="M480" s="403"/>
      <c r="N480" s="403"/>
      <c r="O480" s="403"/>
      <c r="P480" s="403"/>
      <c r="Q480" s="403"/>
      <c r="R480" s="403"/>
      <c r="S480" s="403"/>
      <c r="T480" s="403"/>
      <c r="U480" s="403"/>
      <c r="V480" s="403"/>
      <c r="W480" s="403"/>
    </row>
    <row r="481" spans="1:23">
      <c r="A481" s="57">
        <v>36996</v>
      </c>
      <c r="B481" s="387"/>
      <c r="C481" s="395"/>
      <c r="D481" s="139"/>
      <c r="E481" s="139"/>
      <c r="F481" s="139"/>
      <c r="G481" s="389"/>
      <c r="H481" s="389"/>
      <c r="I481" s="389"/>
      <c r="J481" s="389"/>
      <c r="K481" s="139"/>
      <c r="L481" s="139"/>
      <c r="M481" s="403"/>
      <c r="N481" s="403"/>
      <c r="O481" s="403"/>
      <c r="P481" s="403"/>
      <c r="Q481" s="403"/>
      <c r="R481" s="403"/>
      <c r="S481" s="403"/>
      <c r="T481" s="403"/>
      <c r="U481" s="403"/>
      <c r="V481" s="403"/>
      <c r="W481" s="403"/>
    </row>
    <row r="482" spans="1:23">
      <c r="A482" s="57">
        <v>36997</v>
      </c>
      <c r="B482" s="387"/>
      <c r="C482" s="395"/>
      <c r="D482" s="139"/>
      <c r="E482" s="139"/>
      <c r="F482" s="139"/>
      <c r="G482" s="389"/>
      <c r="H482" s="389"/>
      <c r="I482" s="389"/>
      <c r="J482" s="389"/>
      <c r="K482" s="139"/>
      <c r="L482" s="139"/>
      <c r="M482" s="403"/>
      <c r="N482" s="403"/>
      <c r="O482" s="403"/>
      <c r="P482" s="403"/>
      <c r="Q482" s="403"/>
      <c r="R482" s="403"/>
      <c r="S482" s="403"/>
      <c r="T482" s="403"/>
      <c r="U482" s="403"/>
      <c r="V482" s="403"/>
      <c r="W482" s="403"/>
    </row>
    <row r="483" spans="1:23">
      <c r="A483" s="57">
        <v>36998</v>
      </c>
      <c r="B483" s="387"/>
      <c r="C483" s="395"/>
      <c r="D483" s="139"/>
      <c r="E483" s="139"/>
      <c r="F483" s="139"/>
      <c r="G483" s="389"/>
      <c r="H483" s="389"/>
      <c r="I483" s="389"/>
      <c r="J483" s="389"/>
      <c r="K483" s="139"/>
      <c r="L483" s="139"/>
      <c r="M483" s="403"/>
      <c r="N483" s="403"/>
      <c r="O483" s="403"/>
      <c r="P483" s="403"/>
      <c r="Q483" s="403"/>
      <c r="R483" s="403"/>
      <c r="S483" s="403"/>
      <c r="T483" s="403"/>
      <c r="U483" s="403"/>
      <c r="V483" s="403"/>
      <c r="W483" s="403"/>
    </row>
    <row r="484" spans="1:23">
      <c r="A484" s="57">
        <v>36999</v>
      </c>
      <c r="B484" s="387"/>
      <c r="C484" s="395"/>
      <c r="D484" s="139"/>
      <c r="E484" s="139"/>
      <c r="F484" s="139"/>
      <c r="G484" s="389"/>
      <c r="H484" s="389"/>
      <c r="I484" s="389"/>
      <c r="J484" s="389"/>
      <c r="K484" s="139"/>
      <c r="L484" s="139"/>
      <c r="M484" s="403"/>
      <c r="N484" s="403"/>
      <c r="O484" s="403"/>
      <c r="P484" s="403"/>
      <c r="Q484" s="403"/>
      <c r="R484" s="403"/>
      <c r="S484" s="403"/>
      <c r="T484" s="403"/>
      <c r="U484" s="403"/>
      <c r="V484" s="403"/>
      <c r="W484" s="403"/>
    </row>
    <row r="485" spans="1:23">
      <c r="A485" s="57">
        <v>37000</v>
      </c>
      <c r="B485" s="387"/>
      <c r="C485" s="395"/>
      <c r="D485" s="139"/>
      <c r="E485" s="139"/>
      <c r="F485" s="139"/>
      <c r="G485" s="389"/>
      <c r="H485" s="389"/>
      <c r="I485" s="389"/>
      <c r="J485" s="389"/>
      <c r="K485" s="139"/>
      <c r="L485" s="139"/>
      <c r="M485" s="403"/>
      <c r="N485" s="403"/>
      <c r="O485" s="403"/>
      <c r="P485" s="403"/>
      <c r="Q485" s="403"/>
      <c r="R485" s="403"/>
      <c r="S485" s="403"/>
      <c r="T485" s="403"/>
      <c r="U485" s="403"/>
      <c r="V485" s="403"/>
      <c r="W485" s="403"/>
    </row>
    <row r="486" spans="1:23">
      <c r="A486" s="57">
        <v>37001</v>
      </c>
      <c r="B486" s="387"/>
      <c r="C486" s="395"/>
      <c r="D486" s="139"/>
      <c r="E486" s="139"/>
      <c r="F486" s="139"/>
      <c r="G486" s="389"/>
      <c r="H486" s="389"/>
      <c r="I486" s="389"/>
      <c r="J486" s="389"/>
      <c r="K486" s="139"/>
      <c r="L486" s="139"/>
      <c r="M486" s="403"/>
      <c r="N486" s="403"/>
      <c r="O486" s="403"/>
      <c r="P486" s="403"/>
      <c r="Q486" s="403"/>
      <c r="R486" s="403"/>
      <c r="S486" s="403"/>
      <c r="T486" s="403"/>
      <c r="U486" s="403"/>
      <c r="V486" s="403"/>
      <c r="W486" s="403"/>
    </row>
    <row r="487" spans="1:23">
      <c r="A487" s="57">
        <v>37002</v>
      </c>
      <c r="B487" s="387"/>
      <c r="C487" s="395"/>
      <c r="D487" s="139"/>
      <c r="E487" s="139"/>
      <c r="F487" s="139"/>
      <c r="G487" s="389"/>
      <c r="H487" s="389"/>
      <c r="I487" s="389"/>
      <c r="J487" s="389"/>
      <c r="K487" s="139"/>
      <c r="L487" s="139"/>
      <c r="M487" s="403"/>
      <c r="N487" s="403"/>
      <c r="O487" s="403"/>
      <c r="P487" s="403"/>
      <c r="Q487" s="403"/>
      <c r="R487" s="403"/>
      <c r="S487" s="403"/>
      <c r="T487" s="403"/>
      <c r="U487" s="403"/>
      <c r="V487" s="403"/>
      <c r="W487" s="403"/>
    </row>
    <row r="488" spans="1:23">
      <c r="A488" s="57">
        <v>37003</v>
      </c>
      <c r="B488" s="387"/>
      <c r="C488" s="395"/>
      <c r="D488" s="139"/>
      <c r="E488" s="139"/>
      <c r="F488" s="139"/>
      <c r="G488" s="389"/>
      <c r="H488" s="389"/>
      <c r="I488" s="389"/>
      <c r="J488" s="389"/>
      <c r="K488" s="139"/>
      <c r="L488" s="139"/>
      <c r="M488" s="403"/>
      <c r="N488" s="403"/>
      <c r="O488" s="403"/>
      <c r="P488" s="403"/>
      <c r="Q488" s="403"/>
      <c r="R488" s="403"/>
      <c r="S488" s="403"/>
      <c r="T488" s="403"/>
      <c r="U488" s="403"/>
      <c r="V488" s="403"/>
      <c r="W488" s="403"/>
    </row>
    <row r="489" spans="1:23">
      <c r="A489" s="57">
        <v>37004</v>
      </c>
      <c r="B489" s="387"/>
      <c r="C489" s="395"/>
      <c r="D489" s="139"/>
      <c r="E489" s="139"/>
      <c r="F489" s="139"/>
      <c r="G489" s="389"/>
      <c r="H489" s="389"/>
      <c r="I489" s="389"/>
      <c r="J489" s="389"/>
      <c r="K489" s="139"/>
      <c r="L489" s="139"/>
      <c r="M489" s="403"/>
      <c r="N489" s="403"/>
      <c r="O489" s="403"/>
      <c r="P489" s="403"/>
      <c r="Q489" s="403"/>
      <c r="R489" s="403"/>
      <c r="S489" s="403"/>
      <c r="T489" s="403"/>
      <c r="U489" s="403"/>
      <c r="V489" s="403"/>
      <c r="W489" s="403"/>
    </row>
    <row r="490" spans="1:23">
      <c r="A490" s="57">
        <v>37005</v>
      </c>
      <c r="B490" s="387"/>
      <c r="C490" s="395"/>
      <c r="D490" s="139"/>
      <c r="E490" s="139"/>
      <c r="F490" s="139"/>
      <c r="G490" s="389"/>
      <c r="H490" s="389"/>
      <c r="I490" s="389"/>
      <c r="J490" s="389"/>
      <c r="K490" s="139"/>
      <c r="L490" s="139"/>
      <c r="M490" s="403"/>
      <c r="N490" s="403"/>
      <c r="O490" s="403"/>
      <c r="P490" s="403"/>
      <c r="Q490" s="403"/>
      <c r="R490" s="403"/>
      <c r="S490" s="403"/>
      <c r="T490" s="403"/>
      <c r="U490" s="403"/>
      <c r="V490" s="403"/>
      <c r="W490" s="403"/>
    </row>
    <row r="491" spans="1:23">
      <c r="A491" s="57">
        <v>37006</v>
      </c>
      <c r="B491" s="387"/>
      <c r="C491" s="395"/>
      <c r="D491" s="139"/>
      <c r="E491" s="139"/>
      <c r="F491" s="139"/>
      <c r="G491" s="389"/>
      <c r="H491" s="389"/>
      <c r="I491" s="389"/>
      <c r="J491" s="389"/>
      <c r="K491" s="139"/>
      <c r="L491" s="139"/>
      <c r="M491" s="403"/>
      <c r="N491" s="403"/>
      <c r="O491" s="403"/>
      <c r="P491" s="403"/>
      <c r="Q491" s="403"/>
      <c r="R491" s="403"/>
      <c r="S491" s="403"/>
      <c r="T491" s="403"/>
      <c r="U491" s="403"/>
      <c r="V491" s="403"/>
      <c r="W491" s="403"/>
    </row>
    <row r="492" spans="1:23">
      <c r="A492" s="57">
        <v>37007</v>
      </c>
      <c r="B492" s="387"/>
      <c r="C492" s="395"/>
      <c r="D492" s="139"/>
      <c r="E492" s="139"/>
      <c r="F492" s="139"/>
      <c r="G492" s="389"/>
      <c r="H492" s="389"/>
      <c r="I492" s="389"/>
      <c r="J492" s="389"/>
      <c r="K492" s="139"/>
      <c r="L492" s="139"/>
      <c r="M492" s="403"/>
      <c r="N492" s="403"/>
      <c r="O492" s="403"/>
      <c r="P492" s="403"/>
      <c r="Q492" s="403"/>
      <c r="R492" s="403"/>
      <c r="S492" s="403"/>
      <c r="T492" s="403"/>
      <c r="U492" s="403"/>
      <c r="V492" s="403"/>
      <c r="W492" s="403"/>
    </row>
    <row r="493" spans="1:23">
      <c r="A493" s="57">
        <v>37008</v>
      </c>
      <c r="B493" s="387"/>
      <c r="C493" s="395"/>
      <c r="D493" s="139"/>
      <c r="E493" s="139"/>
      <c r="F493" s="139"/>
      <c r="G493" s="389"/>
      <c r="H493" s="389"/>
      <c r="I493" s="389"/>
      <c r="J493" s="389"/>
      <c r="K493" s="139"/>
      <c r="L493" s="139"/>
      <c r="M493" s="403"/>
      <c r="N493" s="403"/>
      <c r="O493" s="403"/>
      <c r="P493" s="403"/>
      <c r="Q493" s="403"/>
      <c r="R493" s="403"/>
      <c r="S493" s="403"/>
      <c r="T493" s="403"/>
      <c r="U493" s="403"/>
      <c r="V493" s="403"/>
      <c r="W493" s="403"/>
    </row>
    <row r="494" spans="1:23">
      <c r="A494" s="57">
        <v>37009</v>
      </c>
      <c r="B494" s="387"/>
      <c r="C494" s="395"/>
      <c r="D494" s="139"/>
      <c r="E494" s="139"/>
      <c r="F494" s="139"/>
      <c r="G494" s="389"/>
      <c r="H494" s="389"/>
      <c r="I494" s="389"/>
      <c r="J494" s="389"/>
      <c r="K494" s="139"/>
      <c r="L494" s="139"/>
      <c r="M494" s="403"/>
      <c r="N494" s="403"/>
      <c r="O494" s="403"/>
      <c r="P494" s="403"/>
      <c r="Q494" s="403"/>
      <c r="R494" s="403"/>
      <c r="S494" s="403"/>
      <c r="T494" s="403"/>
      <c r="U494" s="403"/>
      <c r="V494" s="403"/>
      <c r="W494" s="403"/>
    </row>
    <row r="495" spans="1:23">
      <c r="A495" s="57">
        <v>37010</v>
      </c>
      <c r="B495" s="387"/>
      <c r="C495" s="395"/>
      <c r="D495" s="139"/>
      <c r="E495" s="139"/>
      <c r="F495" s="139"/>
      <c r="G495" s="389"/>
      <c r="H495" s="389"/>
      <c r="I495" s="389"/>
      <c r="J495" s="389"/>
      <c r="K495" s="139"/>
      <c r="L495" s="139"/>
      <c r="M495" s="403"/>
      <c r="N495" s="403"/>
      <c r="O495" s="403"/>
      <c r="P495" s="403"/>
      <c r="Q495" s="403"/>
      <c r="R495" s="403"/>
      <c r="S495" s="403"/>
      <c r="T495" s="403"/>
      <c r="U495" s="403"/>
      <c r="V495" s="403"/>
      <c r="W495" s="403"/>
    </row>
    <row r="496" spans="1:23">
      <c r="A496" s="57">
        <v>37011</v>
      </c>
      <c r="B496" s="387"/>
      <c r="C496" s="395"/>
      <c r="D496" s="139"/>
      <c r="E496" s="139"/>
      <c r="F496" s="139"/>
      <c r="G496" s="389"/>
      <c r="H496" s="389"/>
      <c r="I496" s="389"/>
      <c r="J496" s="389"/>
      <c r="K496" s="139"/>
      <c r="L496" s="139"/>
      <c r="M496" s="403"/>
      <c r="N496" s="403"/>
      <c r="O496" s="403"/>
      <c r="P496" s="403"/>
      <c r="Q496" s="403"/>
      <c r="R496" s="403"/>
      <c r="S496" s="403"/>
      <c r="T496" s="403"/>
      <c r="U496" s="403"/>
      <c r="V496" s="403"/>
      <c r="W496" s="403"/>
    </row>
    <row r="497" spans="1:23">
      <c r="A497" s="57">
        <v>37012</v>
      </c>
      <c r="B497" s="387"/>
      <c r="C497" s="395"/>
      <c r="D497" s="139"/>
      <c r="E497" s="139"/>
      <c r="F497" s="139"/>
      <c r="G497" s="389"/>
      <c r="H497" s="389"/>
      <c r="I497" s="389"/>
      <c r="J497" s="389"/>
      <c r="K497" s="139"/>
      <c r="L497" s="139"/>
      <c r="M497" s="403"/>
      <c r="N497" s="403"/>
      <c r="O497" s="403"/>
      <c r="P497" s="403"/>
      <c r="Q497" s="403"/>
      <c r="R497" s="403"/>
      <c r="S497" s="403"/>
      <c r="T497" s="403"/>
      <c r="U497" s="403"/>
      <c r="V497" s="403"/>
      <c r="W497" s="403"/>
    </row>
    <row r="498" spans="1:23">
      <c r="A498" s="57">
        <v>37013</v>
      </c>
      <c r="B498" s="387"/>
      <c r="C498" s="395"/>
      <c r="D498" s="139"/>
      <c r="E498" s="139"/>
      <c r="F498" s="139"/>
      <c r="G498" s="389"/>
      <c r="H498" s="389"/>
      <c r="I498" s="389"/>
      <c r="J498" s="389"/>
      <c r="K498" s="139"/>
      <c r="L498" s="139"/>
      <c r="M498" s="403"/>
      <c r="N498" s="403"/>
      <c r="O498" s="403"/>
      <c r="P498" s="403"/>
      <c r="Q498" s="403"/>
      <c r="R498" s="403"/>
      <c r="S498" s="403"/>
      <c r="T498" s="403"/>
      <c r="U498" s="403"/>
      <c r="V498" s="403"/>
      <c r="W498" s="403"/>
    </row>
    <row r="499" spans="1:23">
      <c r="A499" s="57">
        <v>37014</v>
      </c>
      <c r="B499" s="387"/>
      <c r="C499" s="395"/>
      <c r="D499" s="139"/>
      <c r="E499" s="139"/>
      <c r="F499" s="139"/>
      <c r="G499" s="389"/>
      <c r="H499" s="389"/>
      <c r="I499" s="389"/>
      <c r="J499" s="389"/>
      <c r="K499" s="139"/>
      <c r="L499" s="139"/>
      <c r="M499" s="403"/>
      <c r="N499" s="403"/>
      <c r="O499" s="403"/>
      <c r="P499" s="403"/>
      <c r="Q499" s="403"/>
      <c r="R499" s="403"/>
      <c r="S499" s="403"/>
      <c r="T499" s="403"/>
      <c r="U499" s="403"/>
      <c r="V499" s="403"/>
      <c r="W499" s="403"/>
    </row>
    <row r="500" spans="1:23">
      <c r="A500" s="57">
        <v>37015</v>
      </c>
      <c r="B500" s="387"/>
      <c r="C500" s="395"/>
      <c r="D500" s="139"/>
      <c r="E500" s="139"/>
      <c r="F500" s="139"/>
      <c r="G500" s="389"/>
      <c r="H500" s="389"/>
      <c r="I500" s="389"/>
      <c r="J500" s="389"/>
      <c r="K500" s="139"/>
      <c r="L500" s="139"/>
      <c r="M500" s="403"/>
      <c r="N500" s="403"/>
      <c r="O500" s="403"/>
      <c r="P500" s="403"/>
      <c r="Q500" s="403"/>
      <c r="R500" s="403"/>
      <c r="S500" s="403"/>
      <c r="T500" s="403"/>
      <c r="U500" s="403"/>
      <c r="V500" s="403"/>
      <c r="W500" s="403"/>
    </row>
    <row r="501" spans="1:23">
      <c r="A501" s="57">
        <v>37016</v>
      </c>
      <c r="B501" s="387"/>
      <c r="C501" s="395"/>
      <c r="D501" s="139"/>
      <c r="E501" s="139"/>
      <c r="F501" s="139"/>
      <c r="G501" s="389"/>
      <c r="H501" s="389"/>
      <c r="I501" s="389"/>
      <c r="J501" s="389"/>
      <c r="K501" s="139"/>
      <c r="L501" s="139"/>
      <c r="M501" s="403"/>
      <c r="N501" s="403"/>
      <c r="O501" s="403"/>
      <c r="P501" s="403"/>
      <c r="Q501" s="403"/>
      <c r="R501" s="403"/>
      <c r="S501" s="403"/>
      <c r="T501" s="403"/>
      <c r="U501" s="403"/>
      <c r="V501" s="403"/>
      <c r="W501" s="403"/>
    </row>
    <row r="502" spans="1:23">
      <c r="A502" s="57">
        <v>37017</v>
      </c>
      <c r="B502" s="387"/>
      <c r="C502" s="395"/>
      <c r="D502" s="139"/>
      <c r="E502" s="139"/>
      <c r="F502" s="139"/>
      <c r="G502" s="389"/>
      <c r="H502" s="389"/>
      <c r="I502" s="389"/>
      <c r="J502" s="389"/>
      <c r="K502" s="139"/>
      <c r="L502" s="139"/>
      <c r="M502" s="403"/>
      <c r="N502" s="403"/>
      <c r="O502" s="403"/>
      <c r="P502" s="403"/>
      <c r="Q502" s="403"/>
      <c r="R502" s="403"/>
      <c r="S502" s="403"/>
      <c r="T502" s="403"/>
      <c r="U502" s="403"/>
      <c r="V502" s="403"/>
      <c r="W502" s="403"/>
    </row>
    <row r="503" spans="1:23">
      <c r="A503" s="57">
        <v>37018</v>
      </c>
      <c r="B503" s="387"/>
      <c r="C503" s="395"/>
      <c r="D503" s="139"/>
      <c r="E503" s="139"/>
      <c r="F503" s="139"/>
      <c r="G503" s="389"/>
      <c r="H503" s="389"/>
      <c r="I503" s="389"/>
      <c r="J503" s="389"/>
      <c r="K503" s="139"/>
      <c r="L503" s="139"/>
      <c r="M503" s="403"/>
      <c r="N503" s="403"/>
      <c r="O503" s="403"/>
      <c r="P503" s="403"/>
      <c r="Q503" s="403"/>
      <c r="R503" s="403"/>
      <c r="S503" s="403"/>
      <c r="T503" s="403"/>
      <c r="U503" s="403"/>
      <c r="V503" s="403"/>
      <c r="W503" s="403"/>
    </row>
    <row r="504" spans="1:23">
      <c r="A504" s="57">
        <v>37019</v>
      </c>
      <c r="B504" s="387"/>
      <c r="C504" s="395"/>
      <c r="D504" s="139"/>
      <c r="E504" s="139"/>
      <c r="F504" s="139"/>
      <c r="G504" s="389"/>
      <c r="H504" s="389"/>
      <c r="I504" s="389"/>
      <c r="J504" s="389"/>
      <c r="K504" s="139"/>
      <c r="L504" s="139"/>
      <c r="M504" s="403"/>
      <c r="N504" s="403"/>
      <c r="O504" s="403"/>
      <c r="P504" s="403"/>
      <c r="Q504" s="403"/>
      <c r="R504" s="403"/>
      <c r="S504" s="403"/>
      <c r="T504" s="403"/>
      <c r="U504" s="403"/>
      <c r="V504" s="403"/>
      <c r="W504" s="403"/>
    </row>
    <row r="505" spans="1:23">
      <c r="A505" s="57">
        <v>37020</v>
      </c>
      <c r="B505" s="387"/>
      <c r="C505" s="395"/>
      <c r="D505" s="139"/>
      <c r="E505" s="139"/>
      <c r="F505" s="139"/>
      <c r="G505" s="389"/>
      <c r="H505" s="389"/>
      <c r="I505" s="389"/>
      <c r="J505" s="389"/>
      <c r="K505" s="139"/>
      <c r="L505" s="139"/>
      <c r="M505" s="403"/>
      <c r="N505" s="403"/>
      <c r="O505" s="403"/>
      <c r="P505" s="403"/>
      <c r="Q505" s="403"/>
      <c r="R505" s="403"/>
      <c r="S505" s="403"/>
      <c r="T505" s="403"/>
      <c r="U505" s="403"/>
      <c r="V505" s="403"/>
      <c r="W505" s="403"/>
    </row>
    <row r="506" spans="1:23">
      <c r="A506" s="57">
        <v>37021</v>
      </c>
      <c r="B506" s="387"/>
      <c r="C506" s="395"/>
      <c r="D506" s="139"/>
      <c r="E506" s="139"/>
      <c r="F506" s="139"/>
      <c r="G506" s="389"/>
      <c r="H506" s="389"/>
      <c r="I506" s="389"/>
      <c r="J506" s="389"/>
      <c r="K506" s="139"/>
      <c r="L506" s="139"/>
      <c r="M506" s="403"/>
      <c r="N506" s="403"/>
      <c r="O506" s="403"/>
      <c r="P506" s="403"/>
      <c r="Q506" s="403"/>
      <c r="R506" s="403"/>
      <c r="S506" s="403"/>
      <c r="T506" s="403"/>
      <c r="U506" s="403"/>
      <c r="V506" s="403"/>
      <c r="W506" s="403"/>
    </row>
    <row r="507" spans="1:23">
      <c r="A507" s="57">
        <v>37022</v>
      </c>
      <c r="B507" s="387"/>
      <c r="C507" s="395"/>
      <c r="D507" s="139"/>
      <c r="E507" s="139"/>
      <c r="F507" s="139"/>
      <c r="G507" s="389"/>
      <c r="H507" s="389"/>
      <c r="I507" s="389"/>
      <c r="J507" s="389"/>
      <c r="K507" s="139"/>
      <c r="L507" s="139"/>
      <c r="M507" s="403"/>
      <c r="N507" s="403"/>
      <c r="O507" s="403"/>
      <c r="P507" s="403"/>
      <c r="Q507" s="403"/>
      <c r="R507" s="403"/>
      <c r="S507" s="403"/>
      <c r="T507" s="403"/>
      <c r="U507" s="403"/>
      <c r="V507" s="403"/>
      <c r="W507" s="403"/>
    </row>
    <row r="508" spans="1:23">
      <c r="A508" s="57">
        <v>37023</v>
      </c>
      <c r="B508" s="387"/>
      <c r="C508" s="395"/>
      <c r="D508" s="139"/>
      <c r="E508" s="139"/>
      <c r="F508" s="139"/>
      <c r="G508" s="389"/>
      <c r="H508" s="389"/>
      <c r="I508" s="389"/>
      <c r="J508" s="389"/>
      <c r="K508" s="139"/>
      <c r="L508" s="139"/>
      <c r="M508" s="403"/>
      <c r="N508" s="403"/>
      <c r="O508" s="403"/>
      <c r="P508" s="403"/>
      <c r="Q508" s="403"/>
      <c r="R508" s="403"/>
      <c r="S508" s="403"/>
      <c r="T508" s="403"/>
      <c r="U508" s="403"/>
      <c r="V508" s="403"/>
      <c r="W508" s="403"/>
    </row>
    <row r="509" spans="1:23">
      <c r="A509" s="57">
        <v>37024</v>
      </c>
      <c r="B509" s="387"/>
      <c r="C509" s="395"/>
      <c r="D509" s="139"/>
      <c r="E509" s="139"/>
      <c r="F509" s="139"/>
      <c r="G509" s="389"/>
      <c r="H509" s="389"/>
      <c r="I509" s="389"/>
      <c r="J509" s="389"/>
      <c r="K509" s="139"/>
      <c r="L509" s="139"/>
      <c r="M509" s="403"/>
      <c r="N509" s="403"/>
      <c r="O509" s="403"/>
      <c r="P509" s="403"/>
      <c r="Q509" s="403"/>
      <c r="R509" s="403"/>
      <c r="S509" s="403"/>
      <c r="T509" s="403"/>
      <c r="U509" s="403"/>
      <c r="V509" s="403"/>
      <c r="W509" s="403"/>
    </row>
    <row r="510" spans="1:23">
      <c r="A510" s="57">
        <v>37025</v>
      </c>
      <c r="B510" s="387"/>
      <c r="C510" s="395"/>
      <c r="D510" s="139"/>
      <c r="E510" s="139"/>
      <c r="F510" s="139"/>
      <c r="G510" s="389"/>
      <c r="H510" s="389"/>
      <c r="I510" s="389"/>
      <c r="J510" s="389"/>
      <c r="K510" s="139"/>
      <c r="L510" s="139"/>
      <c r="M510" s="403"/>
      <c r="N510" s="403"/>
      <c r="O510" s="403"/>
      <c r="P510" s="403"/>
      <c r="Q510" s="403"/>
      <c r="R510" s="403"/>
      <c r="S510" s="403"/>
      <c r="T510" s="403"/>
      <c r="U510" s="403"/>
      <c r="V510" s="403"/>
      <c r="W510" s="403"/>
    </row>
    <row r="511" spans="1:23">
      <c r="A511" s="57">
        <v>37026</v>
      </c>
      <c r="B511" s="387"/>
      <c r="C511" s="395"/>
      <c r="D511" s="139"/>
      <c r="E511" s="139"/>
      <c r="F511" s="139"/>
      <c r="G511" s="389"/>
      <c r="H511" s="389"/>
      <c r="I511" s="389"/>
      <c r="J511" s="389"/>
      <c r="K511" s="139"/>
      <c r="L511" s="139"/>
      <c r="M511" s="403"/>
      <c r="N511" s="403"/>
      <c r="O511" s="403"/>
      <c r="P511" s="403"/>
      <c r="Q511" s="403"/>
      <c r="R511" s="403"/>
      <c r="S511" s="403"/>
      <c r="T511" s="403"/>
      <c r="U511" s="403"/>
      <c r="V511" s="403"/>
      <c r="W511" s="403"/>
    </row>
    <row r="512" spans="1:23">
      <c r="A512" s="57">
        <v>37027</v>
      </c>
      <c r="B512" s="387"/>
      <c r="C512" s="395"/>
      <c r="D512" s="139"/>
      <c r="E512" s="139"/>
      <c r="F512" s="139"/>
      <c r="G512" s="389"/>
      <c r="H512" s="389"/>
      <c r="I512" s="389"/>
      <c r="J512" s="389"/>
      <c r="K512" s="139"/>
      <c r="L512" s="139"/>
      <c r="M512" s="403"/>
      <c r="N512" s="403"/>
      <c r="O512" s="403"/>
      <c r="P512" s="403"/>
      <c r="Q512" s="403"/>
      <c r="R512" s="403"/>
      <c r="S512" s="403"/>
      <c r="T512" s="403"/>
      <c r="U512" s="403"/>
      <c r="V512" s="403"/>
      <c r="W512" s="403"/>
    </row>
    <row r="513" spans="1:23">
      <c r="A513" s="57">
        <v>37028</v>
      </c>
      <c r="B513" s="387"/>
      <c r="C513" s="395"/>
      <c r="D513" s="139"/>
      <c r="E513" s="139"/>
      <c r="F513" s="139"/>
      <c r="G513" s="389"/>
      <c r="H513" s="389"/>
      <c r="I513" s="389"/>
      <c r="J513" s="389"/>
      <c r="K513" s="139"/>
      <c r="L513" s="139"/>
      <c r="M513" s="403"/>
      <c r="N513" s="403"/>
      <c r="O513" s="403"/>
      <c r="P513" s="403"/>
      <c r="Q513" s="403"/>
      <c r="R513" s="403"/>
      <c r="S513" s="403"/>
      <c r="T513" s="403"/>
      <c r="U513" s="403"/>
      <c r="V513" s="403"/>
      <c r="W513" s="403"/>
    </row>
    <row r="514" spans="1:23">
      <c r="A514" s="57">
        <v>37029</v>
      </c>
      <c r="B514" s="387"/>
      <c r="C514" s="395"/>
      <c r="D514" s="139"/>
      <c r="E514" s="139"/>
      <c r="F514" s="139"/>
      <c r="G514" s="389"/>
      <c r="H514" s="389"/>
      <c r="I514" s="389"/>
      <c r="J514" s="389"/>
      <c r="K514" s="139"/>
      <c r="L514" s="139"/>
      <c r="M514" s="403"/>
      <c r="N514" s="403"/>
      <c r="O514" s="403"/>
      <c r="P514" s="403"/>
      <c r="Q514" s="403"/>
      <c r="R514" s="403"/>
      <c r="S514" s="403"/>
      <c r="T514" s="403"/>
      <c r="U514" s="403"/>
      <c r="V514" s="403"/>
      <c r="W514" s="403"/>
    </row>
    <row r="515" spans="1:23">
      <c r="A515" s="57">
        <v>37030</v>
      </c>
      <c r="B515" s="387"/>
      <c r="C515" s="395"/>
      <c r="D515" s="139"/>
      <c r="E515" s="139"/>
      <c r="F515" s="139"/>
      <c r="G515" s="389"/>
      <c r="H515" s="389"/>
      <c r="I515" s="389"/>
      <c r="J515" s="389"/>
      <c r="K515" s="139"/>
      <c r="L515" s="139"/>
      <c r="M515" s="403"/>
      <c r="N515" s="403"/>
      <c r="O515" s="403"/>
      <c r="P515" s="403"/>
      <c r="Q515" s="403"/>
      <c r="R515" s="403"/>
      <c r="S515" s="403"/>
      <c r="T515" s="403"/>
      <c r="U515" s="403"/>
      <c r="V515" s="403"/>
      <c r="W515" s="403"/>
    </row>
    <row r="516" spans="1:23">
      <c r="A516" s="57">
        <v>37031</v>
      </c>
      <c r="B516" s="387"/>
      <c r="C516" s="395"/>
      <c r="D516" s="139"/>
      <c r="E516" s="139"/>
      <c r="F516" s="139"/>
      <c r="G516" s="389"/>
      <c r="H516" s="389"/>
      <c r="I516" s="389"/>
      <c r="J516" s="389"/>
      <c r="K516" s="139"/>
      <c r="L516" s="139"/>
      <c r="M516" s="403"/>
      <c r="N516" s="403"/>
      <c r="O516" s="403"/>
      <c r="P516" s="403"/>
      <c r="Q516" s="403"/>
      <c r="R516" s="403"/>
      <c r="S516" s="403"/>
      <c r="T516" s="403"/>
      <c r="U516" s="403"/>
      <c r="V516" s="403"/>
      <c r="W516" s="403"/>
    </row>
    <row r="517" spans="1:23">
      <c r="A517" s="57">
        <v>37032</v>
      </c>
      <c r="B517" s="387"/>
      <c r="C517" s="395"/>
      <c r="D517" s="139"/>
      <c r="E517" s="139"/>
      <c r="F517" s="139"/>
      <c r="G517" s="389"/>
      <c r="H517" s="389"/>
      <c r="I517" s="389"/>
      <c r="J517" s="389"/>
      <c r="K517" s="139"/>
      <c r="L517" s="139"/>
      <c r="M517" s="403"/>
      <c r="N517" s="403"/>
      <c r="O517" s="403"/>
      <c r="P517" s="403"/>
      <c r="Q517" s="403"/>
      <c r="R517" s="403"/>
      <c r="S517" s="403"/>
      <c r="T517" s="403"/>
      <c r="U517" s="403"/>
      <c r="V517" s="403"/>
      <c r="W517" s="403"/>
    </row>
    <row r="518" spans="1:23">
      <c r="A518" s="57">
        <v>37033</v>
      </c>
      <c r="B518" s="387"/>
      <c r="C518" s="395"/>
      <c r="D518" s="139"/>
      <c r="E518" s="139"/>
      <c r="F518" s="139"/>
      <c r="G518" s="389"/>
      <c r="H518" s="389"/>
      <c r="I518" s="389"/>
      <c r="J518" s="389"/>
      <c r="K518" s="139"/>
      <c r="L518" s="139"/>
      <c r="M518" s="403"/>
      <c r="N518" s="403"/>
      <c r="O518" s="403"/>
      <c r="P518" s="403"/>
      <c r="Q518" s="403"/>
      <c r="R518" s="403"/>
      <c r="S518" s="403"/>
      <c r="T518" s="403"/>
      <c r="U518" s="403"/>
      <c r="V518" s="403"/>
      <c r="W518" s="403"/>
    </row>
    <row r="519" spans="1:23">
      <c r="A519" s="57">
        <v>37034</v>
      </c>
      <c r="B519" s="387"/>
      <c r="C519" s="395"/>
      <c r="D519" s="139"/>
      <c r="E519" s="139"/>
      <c r="F519" s="139"/>
      <c r="G519" s="389"/>
      <c r="H519" s="389"/>
      <c r="I519" s="389"/>
      <c r="J519" s="389"/>
      <c r="K519" s="139"/>
      <c r="L519" s="139"/>
      <c r="M519" s="403"/>
      <c r="N519" s="403"/>
      <c r="O519" s="403"/>
      <c r="P519" s="403"/>
      <c r="Q519" s="403"/>
      <c r="R519" s="403"/>
      <c r="S519" s="403"/>
      <c r="T519" s="403"/>
      <c r="U519" s="403"/>
      <c r="V519" s="403"/>
      <c r="W519" s="403"/>
    </row>
    <row r="520" spans="1:23">
      <c r="A520" s="57">
        <v>37035</v>
      </c>
      <c r="B520" s="387"/>
      <c r="C520" s="395"/>
      <c r="D520" s="139"/>
      <c r="E520" s="139"/>
      <c r="F520" s="139"/>
      <c r="G520" s="389"/>
      <c r="H520" s="389"/>
      <c r="I520" s="389"/>
      <c r="J520" s="389"/>
      <c r="K520" s="139"/>
      <c r="L520" s="139"/>
      <c r="M520" s="403"/>
      <c r="N520" s="403"/>
      <c r="O520" s="403"/>
      <c r="P520" s="403"/>
      <c r="Q520" s="403"/>
      <c r="R520" s="403"/>
      <c r="S520" s="403"/>
      <c r="T520" s="403"/>
      <c r="U520" s="403"/>
      <c r="V520" s="403"/>
      <c r="W520" s="403"/>
    </row>
    <row r="521" spans="1:23">
      <c r="A521" s="57">
        <v>37036</v>
      </c>
      <c r="B521" s="387"/>
      <c r="C521" s="395"/>
      <c r="D521" s="139"/>
      <c r="E521" s="139"/>
      <c r="F521" s="139"/>
      <c r="G521" s="389"/>
      <c r="H521" s="389"/>
      <c r="I521" s="389"/>
      <c r="J521" s="389"/>
      <c r="K521" s="139"/>
      <c r="L521" s="139"/>
      <c r="M521" s="403"/>
      <c r="N521" s="403"/>
      <c r="O521" s="403"/>
      <c r="P521" s="403"/>
      <c r="Q521" s="403"/>
      <c r="R521" s="403"/>
      <c r="S521" s="403"/>
      <c r="T521" s="403"/>
      <c r="U521" s="403"/>
      <c r="V521" s="403"/>
      <c r="W521" s="403"/>
    </row>
    <row r="522" spans="1:23">
      <c r="A522" s="57">
        <v>37037</v>
      </c>
      <c r="B522" s="387"/>
      <c r="C522" s="395"/>
      <c r="D522" s="139"/>
      <c r="E522" s="139"/>
      <c r="F522" s="139"/>
      <c r="G522" s="389"/>
      <c r="H522" s="389"/>
      <c r="I522" s="389"/>
      <c r="J522" s="389"/>
      <c r="K522" s="139"/>
      <c r="L522" s="139"/>
      <c r="M522" s="403"/>
      <c r="N522" s="403"/>
      <c r="O522" s="403"/>
      <c r="P522" s="403"/>
      <c r="Q522" s="403"/>
      <c r="R522" s="403"/>
      <c r="S522" s="403"/>
      <c r="T522" s="403"/>
      <c r="U522" s="403"/>
      <c r="V522" s="403"/>
      <c r="W522" s="403"/>
    </row>
    <row r="523" spans="1:23">
      <c r="A523" s="57">
        <v>37038</v>
      </c>
      <c r="B523" s="387"/>
      <c r="C523" s="395"/>
      <c r="D523" s="139"/>
      <c r="E523" s="139"/>
      <c r="F523" s="139"/>
      <c r="G523" s="389"/>
      <c r="H523" s="389"/>
      <c r="I523" s="389"/>
      <c r="J523" s="389"/>
      <c r="K523" s="139"/>
      <c r="L523" s="139"/>
      <c r="M523" s="403"/>
      <c r="N523" s="403"/>
      <c r="O523" s="403"/>
      <c r="P523" s="403"/>
      <c r="Q523" s="403"/>
      <c r="R523" s="403"/>
      <c r="S523" s="403"/>
      <c r="T523" s="403"/>
      <c r="U523" s="403"/>
      <c r="V523" s="403"/>
      <c r="W523" s="403"/>
    </row>
    <row r="524" spans="1:23">
      <c r="A524" s="57">
        <v>37039</v>
      </c>
      <c r="B524" s="387"/>
      <c r="C524" s="395"/>
      <c r="D524" s="139"/>
      <c r="E524" s="139"/>
      <c r="F524" s="139"/>
      <c r="G524" s="389"/>
      <c r="H524" s="389"/>
      <c r="I524" s="389"/>
      <c r="J524" s="389"/>
      <c r="K524" s="139"/>
      <c r="L524" s="139"/>
      <c r="M524" s="403"/>
      <c r="N524" s="403"/>
      <c r="O524" s="403"/>
      <c r="P524" s="403"/>
      <c r="Q524" s="403"/>
      <c r="R524" s="403"/>
      <c r="S524" s="403"/>
      <c r="T524" s="403"/>
      <c r="U524" s="403"/>
      <c r="V524" s="403"/>
      <c r="W524" s="403"/>
    </row>
    <row r="525" spans="1:23">
      <c r="A525" s="57">
        <v>37040</v>
      </c>
      <c r="B525" s="387"/>
      <c r="C525" s="395"/>
      <c r="D525" s="139"/>
      <c r="E525" s="139"/>
      <c r="F525" s="139"/>
      <c r="G525" s="389"/>
      <c r="H525" s="389"/>
      <c r="I525" s="389"/>
      <c r="J525" s="389"/>
      <c r="K525" s="139"/>
      <c r="L525" s="139"/>
      <c r="M525" s="403"/>
      <c r="N525" s="403"/>
      <c r="O525" s="403"/>
      <c r="P525" s="403"/>
      <c r="Q525" s="403"/>
      <c r="R525" s="403"/>
      <c r="S525" s="403"/>
      <c r="T525" s="403"/>
      <c r="U525" s="403"/>
      <c r="V525" s="403"/>
      <c r="W525" s="403"/>
    </row>
    <row r="526" spans="1:23">
      <c r="A526" s="57">
        <v>37041</v>
      </c>
      <c r="B526" s="387"/>
      <c r="C526" s="395"/>
      <c r="D526" s="139"/>
      <c r="E526" s="139"/>
      <c r="F526" s="139"/>
      <c r="G526" s="389"/>
      <c r="H526" s="389"/>
      <c r="I526" s="389"/>
      <c r="J526" s="389"/>
      <c r="K526" s="139"/>
      <c r="L526" s="139"/>
      <c r="M526" s="403"/>
      <c r="N526" s="403"/>
      <c r="O526" s="403"/>
      <c r="P526" s="403"/>
      <c r="Q526" s="403"/>
      <c r="R526" s="403"/>
      <c r="S526" s="403"/>
      <c r="T526" s="403"/>
      <c r="U526" s="403"/>
      <c r="V526" s="403"/>
      <c r="W526" s="403"/>
    </row>
    <row r="527" spans="1:23">
      <c r="A527" s="57">
        <v>37042</v>
      </c>
      <c r="B527" s="387"/>
      <c r="C527" s="395"/>
      <c r="D527" s="139"/>
      <c r="E527" s="139"/>
      <c r="F527" s="139"/>
      <c r="G527" s="389"/>
      <c r="H527" s="389"/>
      <c r="I527" s="389"/>
      <c r="J527" s="389"/>
      <c r="K527" s="139"/>
      <c r="L527" s="139"/>
      <c r="M527" s="403"/>
      <c r="N527" s="403"/>
      <c r="O527" s="403"/>
      <c r="P527" s="403"/>
      <c r="Q527" s="403"/>
      <c r="R527" s="403"/>
      <c r="S527" s="403"/>
      <c r="T527" s="403"/>
      <c r="U527" s="403"/>
      <c r="V527" s="403"/>
      <c r="W527" s="403"/>
    </row>
    <row r="528" spans="1:23">
      <c r="A528" s="57">
        <v>37043</v>
      </c>
      <c r="B528" s="387"/>
      <c r="C528" s="395"/>
      <c r="D528" s="139"/>
      <c r="E528" s="139"/>
      <c r="F528" s="139"/>
      <c r="G528" s="389"/>
      <c r="H528" s="389"/>
      <c r="I528" s="389"/>
      <c r="J528" s="389"/>
      <c r="K528" s="139"/>
      <c r="L528" s="139"/>
      <c r="M528" s="403"/>
      <c r="N528" s="403"/>
      <c r="O528" s="403"/>
      <c r="P528" s="403"/>
      <c r="Q528" s="403"/>
      <c r="R528" s="403"/>
      <c r="S528" s="403"/>
      <c r="T528" s="403"/>
      <c r="U528" s="403"/>
      <c r="V528" s="403"/>
      <c r="W528" s="403"/>
    </row>
    <row r="529" spans="1:23">
      <c r="A529" s="57">
        <v>37044</v>
      </c>
      <c r="B529" s="387"/>
      <c r="C529" s="395"/>
      <c r="D529" s="139"/>
      <c r="E529" s="139"/>
      <c r="F529" s="139"/>
      <c r="G529" s="389"/>
      <c r="H529" s="389"/>
      <c r="I529" s="389"/>
      <c r="J529" s="389"/>
      <c r="K529" s="139"/>
      <c r="L529" s="139"/>
      <c r="M529" s="403"/>
      <c r="N529" s="403"/>
      <c r="O529" s="403"/>
      <c r="P529" s="403"/>
      <c r="Q529" s="403"/>
      <c r="R529" s="403"/>
      <c r="S529" s="403"/>
      <c r="T529" s="403"/>
      <c r="U529" s="403"/>
      <c r="V529" s="403"/>
      <c r="W529" s="403"/>
    </row>
    <row r="530" spans="1:23">
      <c r="A530" s="57">
        <v>37045</v>
      </c>
      <c r="B530" s="387"/>
      <c r="C530" s="395"/>
      <c r="D530" s="139"/>
      <c r="E530" s="139"/>
      <c r="F530" s="139"/>
      <c r="G530" s="389"/>
      <c r="H530" s="389"/>
      <c r="I530" s="389"/>
      <c r="J530" s="389"/>
      <c r="K530" s="139"/>
      <c r="L530" s="139"/>
      <c r="M530" s="403"/>
      <c r="N530" s="403"/>
      <c r="O530" s="403"/>
      <c r="P530" s="403"/>
      <c r="Q530" s="403"/>
      <c r="R530" s="403"/>
      <c r="S530" s="403"/>
      <c r="T530" s="403"/>
      <c r="U530" s="403"/>
      <c r="V530" s="403"/>
      <c r="W530" s="403"/>
    </row>
    <row r="531" spans="1:23">
      <c r="A531" s="57">
        <v>37046</v>
      </c>
      <c r="B531" s="387"/>
      <c r="C531" s="395"/>
      <c r="D531" s="139"/>
      <c r="E531" s="139"/>
      <c r="F531" s="139"/>
      <c r="G531" s="389"/>
      <c r="H531" s="389"/>
      <c r="I531" s="389"/>
      <c r="J531" s="389"/>
      <c r="K531" s="139"/>
      <c r="L531" s="139"/>
      <c r="M531" s="403"/>
      <c r="N531" s="403"/>
      <c r="O531" s="403"/>
      <c r="P531" s="403"/>
      <c r="Q531" s="403"/>
      <c r="R531" s="403"/>
      <c r="S531" s="403"/>
      <c r="T531" s="403"/>
      <c r="U531" s="403"/>
      <c r="V531" s="403"/>
      <c r="W531" s="403"/>
    </row>
    <row r="532" spans="1:23">
      <c r="A532" s="57">
        <v>37047</v>
      </c>
      <c r="B532" s="387"/>
      <c r="C532" s="395"/>
      <c r="D532" s="139"/>
      <c r="E532" s="139"/>
      <c r="F532" s="139"/>
      <c r="G532" s="389"/>
      <c r="H532" s="389"/>
      <c r="I532" s="389"/>
      <c r="J532" s="389"/>
      <c r="K532" s="139"/>
      <c r="L532" s="139"/>
      <c r="M532" s="403"/>
      <c r="N532" s="403"/>
      <c r="O532" s="403"/>
      <c r="P532" s="403"/>
      <c r="Q532" s="403"/>
      <c r="R532" s="403"/>
      <c r="S532" s="403"/>
      <c r="T532" s="403"/>
      <c r="U532" s="403"/>
      <c r="V532" s="403"/>
      <c r="W532" s="403"/>
    </row>
    <row r="533" spans="1:23">
      <c r="A533" s="57">
        <v>37048</v>
      </c>
      <c r="B533" s="387"/>
      <c r="C533" s="395"/>
      <c r="D533" s="139"/>
      <c r="E533" s="139"/>
      <c r="F533" s="139"/>
      <c r="G533" s="389"/>
      <c r="H533" s="389"/>
      <c r="I533" s="389"/>
      <c r="J533" s="389"/>
      <c r="K533" s="139"/>
      <c r="L533" s="139"/>
      <c r="M533" s="403"/>
      <c r="N533" s="403"/>
      <c r="O533" s="403"/>
      <c r="P533" s="403"/>
      <c r="Q533" s="403"/>
      <c r="R533" s="403"/>
      <c r="S533" s="403"/>
      <c r="T533" s="403"/>
      <c r="U533" s="403"/>
      <c r="V533" s="403"/>
      <c r="W533" s="403"/>
    </row>
    <row r="534" spans="1:23">
      <c r="A534" s="57">
        <v>37049</v>
      </c>
      <c r="B534" s="387"/>
      <c r="C534" s="395"/>
      <c r="D534" s="139"/>
      <c r="E534" s="139"/>
      <c r="F534" s="139"/>
      <c r="G534" s="389"/>
      <c r="H534" s="389"/>
      <c r="I534" s="389"/>
      <c r="J534" s="389"/>
      <c r="K534" s="139"/>
      <c r="L534" s="139"/>
      <c r="M534" s="403"/>
      <c r="N534" s="403"/>
      <c r="O534" s="403"/>
      <c r="P534" s="403"/>
      <c r="Q534" s="403"/>
      <c r="R534" s="403"/>
      <c r="S534" s="403"/>
      <c r="T534" s="403"/>
      <c r="U534" s="403"/>
      <c r="V534" s="403"/>
      <c r="W534" s="403"/>
    </row>
    <row r="535" spans="1:23">
      <c r="A535" s="57">
        <v>37050</v>
      </c>
      <c r="B535" s="387"/>
      <c r="C535" s="395"/>
      <c r="D535" s="139"/>
      <c r="E535" s="139"/>
      <c r="F535" s="139"/>
      <c r="G535" s="389"/>
      <c r="H535" s="389"/>
      <c r="I535" s="389"/>
      <c r="J535" s="389"/>
      <c r="K535" s="139"/>
      <c r="L535" s="139"/>
      <c r="M535" s="403"/>
      <c r="N535" s="403"/>
      <c r="O535" s="403"/>
      <c r="P535" s="403"/>
      <c r="Q535" s="403"/>
      <c r="R535" s="403"/>
      <c r="S535" s="403"/>
      <c r="T535" s="403"/>
      <c r="U535" s="403"/>
      <c r="V535" s="403"/>
      <c r="W535" s="403"/>
    </row>
    <row r="536" spans="1:23">
      <c r="A536" s="57">
        <v>37051</v>
      </c>
      <c r="B536" s="387"/>
      <c r="C536" s="395"/>
      <c r="D536" s="139"/>
      <c r="E536" s="139"/>
      <c r="F536" s="139"/>
      <c r="G536" s="389"/>
      <c r="H536" s="389"/>
      <c r="I536" s="389"/>
      <c r="J536" s="389"/>
      <c r="K536" s="139"/>
      <c r="L536" s="139"/>
      <c r="M536" s="403"/>
      <c r="N536" s="403"/>
      <c r="O536" s="403"/>
      <c r="P536" s="403"/>
      <c r="Q536" s="403"/>
      <c r="R536" s="403"/>
      <c r="S536" s="403"/>
      <c r="T536" s="403"/>
      <c r="U536" s="403"/>
      <c r="V536" s="403"/>
      <c r="W536" s="403"/>
    </row>
    <row r="537" spans="1:23">
      <c r="A537" s="57">
        <v>37052</v>
      </c>
      <c r="B537" s="387"/>
      <c r="C537" s="395"/>
      <c r="D537" s="139"/>
      <c r="E537" s="139"/>
      <c r="F537" s="139"/>
      <c r="G537" s="389"/>
      <c r="H537" s="389"/>
      <c r="I537" s="389"/>
      <c r="J537" s="389"/>
      <c r="K537" s="139"/>
      <c r="L537" s="139"/>
      <c r="M537" s="403"/>
      <c r="N537" s="403"/>
      <c r="O537" s="403"/>
      <c r="P537" s="403"/>
      <c r="Q537" s="403"/>
      <c r="R537" s="403"/>
      <c r="S537" s="403"/>
      <c r="T537" s="403"/>
      <c r="U537" s="403"/>
      <c r="V537" s="403"/>
      <c r="W537" s="403"/>
    </row>
    <row r="538" spans="1:23">
      <c r="A538" s="57">
        <v>37053</v>
      </c>
      <c r="B538" s="387"/>
      <c r="C538" s="395"/>
      <c r="D538" s="139"/>
      <c r="E538" s="139"/>
      <c r="F538" s="139"/>
      <c r="G538" s="389"/>
      <c r="H538" s="389"/>
      <c r="I538" s="389"/>
      <c r="J538" s="389"/>
      <c r="K538" s="139"/>
      <c r="L538" s="139"/>
      <c r="M538" s="403"/>
      <c r="N538" s="403"/>
      <c r="O538" s="403"/>
      <c r="P538" s="403"/>
      <c r="Q538" s="403"/>
      <c r="R538" s="403"/>
      <c r="S538" s="403"/>
      <c r="T538" s="403"/>
      <c r="U538" s="403"/>
      <c r="V538" s="403"/>
      <c r="W538" s="403"/>
    </row>
    <row r="539" spans="1:23">
      <c r="A539" s="57">
        <v>37054</v>
      </c>
      <c r="B539" s="387"/>
      <c r="C539" s="395"/>
      <c r="D539" s="139"/>
      <c r="E539" s="139"/>
      <c r="F539" s="139"/>
      <c r="G539" s="389"/>
      <c r="H539" s="389"/>
      <c r="I539" s="389"/>
      <c r="J539" s="389"/>
      <c r="K539" s="139"/>
      <c r="L539" s="139"/>
      <c r="M539" s="403"/>
      <c r="N539" s="403"/>
      <c r="O539" s="403"/>
      <c r="P539" s="403"/>
      <c r="Q539" s="403"/>
      <c r="R539" s="403"/>
      <c r="S539" s="403"/>
      <c r="T539" s="403"/>
      <c r="U539" s="403"/>
      <c r="V539" s="403"/>
      <c r="W539" s="403"/>
    </row>
    <row r="540" spans="1:23">
      <c r="A540" s="57">
        <v>37055</v>
      </c>
      <c r="B540" s="387"/>
      <c r="C540" s="395"/>
      <c r="D540" s="139"/>
      <c r="E540" s="139"/>
      <c r="F540" s="139"/>
      <c r="G540" s="389"/>
      <c r="H540" s="389"/>
      <c r="I540" s="389"/>
      <c r="J540" s="389"/>
      <c r="K540" s="139"/>
      <c r="L540" s="139"/>
      <c r="M540" s="403"/>
      <c r="N540" s="403"/>
      <c r="O540" s="403"/>
      <c r="P540" s="403"/>
      <c r="Q540" s="403"/>
      <c r="R540" s="403"/>
      <c r="S540" s="403"/>
      <c r="T540" s="403"/>
      <c r="U540" s="403"/>
      <c r="V540" s="403"/>
      <c r="W540" s="403"/>
    </row>
    <row r="541" spans="1:23">
      <c r="A541" s="57">
        <v>37056</v>
      </c>
      <c r="B541" s="387"/>
      <c r="C541" s="395"/>
      <c r="D541" s="139"/>
      <c r="E541" s="139"/>
      <c r="F541" s="139"/>
      <c r="G541" s="389"/>
      <c r="H541" s="389"/>
      <c r="I541" s="389"/>
      <c r="J541" s="389"/>
      <c r="K541" s="139"/>
      <c r="L541" s="139"/>
      <c r="M541" s="403"/>
      <c r="N541" s="403"/>
      <c r="O541" s="403"/>
      <c r="P541" s="403"/>
      <c r="Q541" s="403"/>
      <c r="R541" s="403"/>
      <c r="S541" s="403"/>
      <c r="T541" s="403"/>
      <c r="U541" s="403"/>
      <c r="V541" s="403"/>
      <c r="W541" s="403"/>
    </row>
    <row r="542" spans="1:23">
      <c r="A542" s="57">
        <v>37057</v>
      </c>
      <c r="B542" s="387"/>
      <c r="C542" s="395"/>
      <c r="D542" s="139"/>
      <c r="E542" s="139"/>
      <c r="F542" s="139"/>
      <c r="G542" s="389"/>
      <c r="H542" s="389"/>
      <c r="I542" s="389"/>
      <c r="J542" s="389"/>
      <c r="K542" s="139"/>
      <c r="L542" s="139"/>
      <c r="M542" s="403"/>
      <c r="N542" s="403"/>
      <c r="O542" s="403"/>
      <c r="P542" s="403"/>
      <c r="Q542" s="403"/>
      <c r="R542" s="403"/>
      <c r="S542" s="403"/>
      <c r="T542" s="403"/>
      <c r="U542" s="403"/>
      <c r="V542" s="403"/>
      <c r="W542" s="403"/>
    </row>
    <row r="543" spans="1:23">
      <c r="A543" s="57">
        <v>37058</v>
      </c>
      <c r="B543" s="387"/>
      <c r="C543" s="395"/>
      <c r="D543" s="139"/>
      <c r="E543" s="139"/>
      <c r="F543" s="139"/>
      <c r="G543" s="389"/>
      <c r="H543" s="389"/>
      <c r="I543" s="389"/>
      <c r="J543" s="389"/>
      <c r="K543" s="139"/>
      <c r="L543" s="139"/>
      <c r="M543" s="403"/>
      <c r="N543" s="403"/>
      <c r="O543" s="403"/>
      <c r="P543" s="403"/>
      <c r="Q543" s="403"/>
      <c r="R543" s="403"/>
      <c r="S543" s="403"/>
      <c r="T543" s="403"/>
      <c r="U543" s="403"/>
      <c r="V543" s="403"/>
      <c r="W543" s="403"/>
    </row>
    <row r="544" spans="1:23">
      <c r="A544" s="57">
        <v>37059</v>
      </c>
      <c r="B544" s="387"/>
      <c r="C544" s="395"/>
      <c r="D544" s="139"/>
      <c r="E544" s="139"/>
      <c r="F544" s="139"/>
      <c r="G544" s="389"/>
      <c r="H544" s="389"/>
      <c r="I544" s="389"/>
      <c r="J544" s="389"/>
      <c r="K544" s="139"/>
      <c r="L544" s="139"/>
      <c r="M544" s="403"/>
      <c r="N544" s="403"/>
      <c r="O544" s="403"/>
      <c r="P544" s="403"/>
      <c r="Q544" s="403"/>
      <c r="R544" s="403"/>
      <c r="S544" s="403"/>
      <c r="T544" s="403"/>
      <c r="U544" s="403"/>
      <c r="V544" s="403"/>
      <c r="W544" s="403"/>
    </row>
    <row r="545" spans="1:23">
      <c r="A545" s="57">
        <v>37060</v>
      </c>
      <c r="B545" s="387"/>
      <c r="C545" s="395"/>
      <c r="D545" s="139"/>
      <c r="E545" s="139"/>
      <c r="F545" s="139"/>
      <c r="G545" s="389"/>
      <c r="H545" s="389"/>
      <c r="I545" s="389"/>
      <c r="J545" s="389"/>
      <c r="K545" s="139"/>
      <c r="L545" s="139"/>
      <c r="M545" s="403"/>
      <c r="N545" s="403"/>
      <c r="O545" s="403"/>
      <c r="P545" s="403"/>
      <c r="Q545" s="403"/>
      <c r="R545" s="403"/>
      <c r="S545" s="403"/>
      <c r="T545" s="403"/>
      <c r="U545" s="403"/>
      <c r="V545" s="403"/>
      <c r="W545" s="403"/>
    </row>
    <row r="546" spans="1:23">
      <c r="A546" s="57">
        <v>37061</v>
      </c>
      <c r="B546" s="387"/>
      <c r="C546" s="395"/>
      <c r="D546" s="139"/>
      <c r="E546" s="139"/>
      <c r="F546" s="139"/>
      <c r="G546" s="389"/>
      <c r="H546" s="389"/>
      <c r="I546" s="389"/>
      <c r="J546" s="389"/>
      <c r="K546" s="139"/>
      <c r="L546" s="139"/>
      <c r="M546" s="403"/>
      <c r="N546" s="403"/>
      <c r="O546" s="403"/>
      <c r="P546" s="403"/>
      <c r="Q546" s="403"/>
      <c r="R546" s="403"/>
      <c r="S546" s="403"/>
      <c r="T546" s="403"/>
      <c r="U546" s="403"/>
      <c r="V546" s="403"/>
      <c r="W546" s="403"/>
    </row>
    <row r="547" spans="1:23">
      <c r="A547" s="57">
        <v>37062</v>
      </c>
      <c r="B547" s="387"/>
      <c r="C547" s="395"/>
      <c r="D547" s="139"/>
      <c r="E547" s="139"/>
      <c r="F547" s="139"/>
      <c r="G547" s="389"/>
      <c r="H547" s="389"/>
      <c r="I547" s="389"/>
      <c r="J547" s="389"/>
      <c r="K547" s="139"/>
      <c r="L547" s="139"/>
      <c r="M547" s="403"/>
      <c r="N547" s="403"/>
      <c r="O547" s="403"/>
      <c r="P547" s="403"/>
      <c r="Q547" s="403"/>
      <c r="R547" s="403"/>
      <c r="S547" s="403"/>
      <c r="T547" s="403"/>
      <c r="U547" s="403"/>
      <c r="V547" s="403"/>
      <c r="W547" s="403"/>
    </row>
    <row r="548" spans="1:23">
      <c r="A548" s="57">
        <v>37063</v>
      </c>
      <c r="B548" s="387"/>
      <c r="C548" s="395"/>
      <c r="D548" s="139"/>
      <c r="E548" s="139"/>
      <c r="F548" s="139"/>
      <c r="G548" s="389"/>
      <c r="H548" s="389"/>
      <c r="I548" s="389"/>
      <c r="J548" s="389"/>
      <c r="K548" s="139"/>
      <c r="L548" s="139"/>
      <c r="M548" s="403"/>
      <c r="N548" s="403"/>
      <c r="O548" s="403"/>
      <c r="P548" s="403"/>
      <c r="Q548" s="403"/>
      <c r="R548" s="403"/>
      <c r="S548" s="403"/>
      <c r="T548" s="403"/>
      <c r="U548" s="403"/>
      <c r="V548" s="403"/>
      <c r="W548" s="403"/>
    </row>
    <row r="549" spans="1:23">
      <c r="A549" s="57">
        <v>37064</v>
      </c>
      <c r="B549" s="387"/>
      <c r="C549" s="395"/>
      <c r="D549" s="139"/>
      <c r="E549" s="139"/>
      <c r="F549" s="139"/>
      <c r="G549" s="389"/>
      <c r="H549" s="389"/>
      <c r="I549" s="389"/>
      <c r="J549" s="389"/>
      <c r="K549" s="139"/>
      <c r="L549" s="139"/>
      <c r="M549" s="403"/>
      <c r="N549" s="403"/>
      <c r="O549" s="403"/>
      <c r="P549" s="403"/>
      <c r="Q549" s="403"/>
      <c r="R549" s="403"/>
      <c r="S549" s="403"/>
      <c r="T549" s="403"/>
      <c r="U549" s="403"/>
      <c r="V549" s="403"/>
      <c r="W549" s="403"/>
    </row>
    <row r="550" spans="1:23">
      <c r="A550" s="57">
        <v>37065</v>
      </c>
      <c r="B550" s="387"/>
      <c r="C550" s="395"/>
      <c r="D550" s="139"/>
      <c r="E550" s="139"/>
      <c r="F550" s="139"/>
      <c r="G550" s="389"/>
      <c r="H550" s="389"/>
      <c r="I550" s="389"/>
      <c r="J550" s="389"/>
      <c r="K550" s="139"/>
      <c r="L550" s="139"/>
      <c r="M550" s="403"/>
      <c r="N550" s="403"/>
      <c r="O550" s="403"/>
      <c r="P550" s="403"/>
      <c r="Q550" s="403"/>
      <c r="R550" s="403"/>
      <c r="S550" s="403"/>
      <c r="T550" s="403"/>
      <c r="U550" s="403"/>
      <c r="V550" s="403"/>
      <c r="W550" s="403"/>
    </row>
    <row r="551" spans="1:23">
      <c r="A551" s="57">
        <v>37066</v>
      </c>
      <c r="B551" s="387"/>
      <c r="C551" s="395"/>
      <c r="D551" s="139"/>
      <c r="E551" s="139"/>
      <c r="F551" s="139"/>
      <c r="G551" s="389"/>
      <c r="H551" s="389"/>
      <c r="I551" s="389"/>
      <c r="J551" s="389"/>
      <c r="K551" s="139"/>
      <c r="L551" s="139"/>
      <c r="M551" s="403"/>
      <c r="N551" s="403"/>
      <c r="O551" s="403"/>
      <c r="P551" s="403"/>
      <c r="Q551" s="403"/>
      <c r="R551" s="403"/>
      <c r="S551" s="403"/>
      <c r="T551" s="403"/>
      <c r="U551" s="403"/>
      <c r="V551" s="403"/>
      <c r="W551" s="403"/>
    </row>
    <row r="552" spans="1:23">
      <c r="A552" s="57">
        <v>37067</v>
      </c>
      <c r="B552" s="387"/>
      <c r="C552" s="395"/>
      <c r="D552" s="139"/>
      <c r="E552" s="139"/>
      <c r="F552" s="139"/>
      <c r="G552" s="389"/>
      <c r="H552" s="389"/>
      <c r="I552" s="389"/>
      <c r="J552" s="389"/>
      <c r="K552" s="139"/>
      <c r="L552" s="139"/>
      <c r="M552" s="403"/>
      <c r="N552" s="403"/>
      <c r="O552" s="403"/>
      <c r="P552" s="403"/>
      <c r="Q552" s="403"/>
      <c r="R552" s="403"/>
      <c r="S552" s="403"/>
      <c r="T552" s="403"/>
      <c r="U552" s="403"/>
      <c r="V552" s="403"/>
      <c r="W552" s="403"/>
    </row>
    <row r="553" spans="1:23">
      <c r="A553" s="57">
        <v>37068</v>
      </c>
      <c r="B553" s="387"/>
      <c r="C553" s="395"/>
      <c r="D553" s="139"/>
      <c r="E553" s="139"/>
      <c r="F553" s="139"/>
      <c r="G553" s="389"/>
      <c r="H553" s="389"/>
      <c r="I553" s="389"/>
      <c r="J553" s="389"/>
      <c r="K553" s="139"/>
      <c r="L553" s="139"/>
      <c r="M553" s="403"/>
      <c r="N553" s="403"/>
      <c r="O553" s="403"/>
      <c r="P553" s="403"/>
      <c r="Q553" s="403"/>
      <c r="R553" s="403"/>
      <c r="S553" s="403"/>
      <c r="T553" s="403"/>
      <c r="U553" s="403"/>
      <c r="V553" s="403"/>
      <c r="W553" s="403"/>
    </row>
    <row r="554" spans="1:23">
      <c r="A554" s="57">
        <v>37069</v>
      </c>
      <c r="B554" s="387"/>
      <c r="C554" s="395"/>
      <c r="D554" s="139"/>
      <c r="E554" s="139"/>
      <c r="F554" s="139"/>
      <c r="G554" s="389"/>
      <c r="H554" s="389"/>
      <c r="I554" s="389"/>
      <c r="J554" s="389"/>
      <c r="K554" s="139"/>
      <c r="L554" s="139"/>
      <c r="M554" s="403"/>
      <c r="N554" s="403"/>
      <c r="O554" s="403"/>
      <c r="P554" s="403"/>
      <c r="Q554" s="403"/>
      <c r="R554" s="403"/>
      <c r="S554" s="403"/>
      <c r="T554" s="403"/>
      <c r="U554" s="403"/>
      <c r="V554" s="403"/>
      <c r="W554" s="403"/>
    </row>
    <row r="555" spans="1:23">
      <c r="A555" s="57">
        <v>37070</v>
      </c>
      <c r="B555" s="387"/>
      <c r="C555" s="395"/>
      <c r="D555" s="139"/>
      <c r="E555" s="139"/>
      <c r="F555" s="139"/>
      <c r="G555" s="389"/>
      <c r="H555" s="389"/>
      <c r="I555" s="389"/>
      <c r="J555" s="389"/>
      <c r="K555" s="139"/>
      <c r="L555" s="139"/>
      <c r="M555" s="403"/>
      <c r="N555" s="403"/>
      <c r="O555" s="403"/>
      <c r="P555" s="403"/>
      <c r="Q555" s="403"/>
      <c r="R555" s="403"/>
      <c r="S555" s="403"/>
      <c r="T555" s="403"/>
      <c r="U555" s="403"/>
      <c r="V555" s="403"/>
      <c r="W555" s="403"/>
    </row>
    <row r="556" spans="1:23">
      <c r="A556" s="57">
        <v>37071</v>
      </c>
      <c r="B556" s="387"/>
      <c r="C556" s="395"/>
      <c r="D556" s="139"/>
      <c r="E556" s="139"/>
      <c r="F556" s="139"/>
      <c r="G556" s="389"/>
      <c r="H556" s="389"/>
      <c r="I556" s="389"/>
      <c r="J556" s="389"/>
      <c r="K556" s="139"/>
      <c r="L556" s="139"/>
      <c r="M556" s="403"/>
      <c r="N556" s="403"/>
      <c r="O556" s="403"/>
      <c r="P556" s="403"/>
      <c r="Q556" s="403"/>
      <c r="R556" s="403"/>
      <c r="S556" s="403"/>
      <c r="T556" s="403"/>
      <c r="U556" s="403"/>
      <c r="V556" s="403"/>
      <c r="W556" s="403"/>
    </row>
    <row r="557" spans="1:23">
      <c r="A557" s="57">
        <v>37072</v>
      </c>
      <c r="B557" s="387"/>
      <c r="C557" s="395"/>
      <c r="D557" s="139"/>
      <c r="E557" s="139"/>
      <c r="F557" s="139"/>
      <c r="G557" s="389"/>
      <c r="H557" s="389"/>
      <c r="I557" s="389"/>
      <c r="J557" s="389"/>
      <c r="K557" s="139"/>
      <c r="L557" s="139"/>
      <c r="M557" s="403"/>
      <c r="N557" s="403"/>
      <c r="O557" s="403"/>
      <c r="P557" s="403"/>
      <c r="Q557" s="403"/>
      <c r="R557" s="403"/>
      <c r="S557" s="403"/>
      <c r="T557" s="403"/>
      <c r="U557" s="403"/>
      <c r="V557" s="403"/>
      <c r="W557" s="403"/>
    </row>
    <row r="558" spans="1:23">
      <c r="A558" s="57">
        <v>37073</v>
      </c>
      <c r="B558" s="387"/>
      <c r="C558" s="395"/>
      <c r="D558" s="139"/>
      <c r="E558" s="139"/>
      <c r="F558" s="139"/>
      <c r="G558" s="389"/>
      <c r="H558" s="389"/>
      <c r="I558" s="389"/>
      <c r="J558" s="389"/>
      <c r="K558" s="139"/>
      <c r="L558" s="139"/>
      <c r="M558" s="403"/>
      <c r="N558" s="403"/>
      <c r="O558" s="403"/>
      <c r="P558" s="403"/>
      <c r="Q558" s="403"/>
      <c r="R558" s="403"/>
      <c r="S558" s="403"/>
      <c r="T558" s="403"/>
      <c r="U558" s="403"/>
      <c r="V558" s="403"/>
      <c r="W558" s="403"/>
    </row>
    <row r="559" spans="1:23">
      <c r="A559" s="57">
        <v>37074</v>
      </c>
      <c r="B559" s="387"/>
      <c r="C559" s="395"/>
      <c r="D559" s="139"/>
      <c r="E559" s="139"/>
      <c r="F559" s="139"/>
      <c r="G559" s="389"/>
      <c r="H559" s="389"/>
      <c r="I559" s="389"/>
      <c r="J559" s="389"/>
      <c r="K559" s="139"/>
      <c r="L559" s="139"/>
      <c r="M559" s="403"/>
      <c r="N559" s="403"/>
      <c r="O559" s="403"/>
      <c r="P559" s="403"/>
      <c r="Q559" s="403"/>
      <c r="R559" s="403"/>
      <c r="S559" s="403"/>
      <c r="T559" s="403"/>
      <c r="U559" s="403"/>
      <c r="V559" s="403"/>
      <c r="W559" s="403"/>
    </row>
    <row r="560" spans="1:23">
      <c r="A560" s="57">
        <v>37075</v>
      </c>
      <c r="B560" s="387"/>
      <c r="C560" s="395"/>
      <c r="D560" s="139"/>
      <c r="E560" s="139"/>
      <c r="F560" s="139"/>
      <c r="G560" s="389"/>
      <c r="H560" s="389"/>
      <c r="I560" s="389"/>
      <c r="J560" s="389"/>
      <c r="K560" s="139"/>
      <c r="L560" s="139"/>
      <c r="M560" s="403"/>
      <c r="N560" s="403"/>
      <c r="O560" s="403"/>
      <c r="P560" s="403"/>
      <c r="Q560" s="403"/>
      <c r="R560" s="403"/>
      <c r="S560" s="403"/>
      <c r="T560" s="403"/>
      <c r="U560" s="403"/>
      <c r="V560" s="403"/>
      <c r="W560" s="403"/>
    </row>
    <row r="561" spans="1:23">
      <c r="A561" s="57">
        <v>37076</v>
      </c>
      <c r="B561" s="387"/>
      <c r="C561" s="395"/>
      <c r="D561" s="139"/>
      <c r="E561" s="139"/>
      <c r="F561" s="139"/>
      <c r="G561" s="389"/>
      <c r="H561" s="389"/>
      <c r="I561" s="389"/>
      <c r="J561" s="389"/>
      <c r="K561" s="139"/>
      <c r="L561" s="139"/>
      <c r="M561" s="403"/>
      <c r="N561" s="403"/>
      <c r="O561" s="403"/>
      <c r="P561" s="403"/>
      <c r="Q561" s="403"/>
      <c r="R561" s="403"/>
      <c r="S561" s="403"/>
      <c r="T561" s="403"/>
      <c r="U561" s="403"/>
      <c r="V561" s="403"/>
      <c r="W561" s="403"/>
    </row>
    <row r="562" spans="1:23">
      <c r="A562" s="57">
        <v>37077</v>
      </c>
      <c r="B562" s="387"/>
      <c r="C562" s="395"/>
      <c r="D562" s="139"/>
      <c r="E562" s="139"/>
      <c r="F562" s="139"/>
      <c r="G562" s="389"/>
      <c r="H562" s="389"/>
      <c r="I562" s="389"/>
      <c r="J562" s="389"/>
      <c r="K562" s="139"/>
      <c r="L562" s="139"/>
      <c r="M562" s="403"/>
      <c r="N562" s="403"/>
      <c r="O562" s="403"/>
      <c r="P562" s="403"/>
      <c r="Q562" s="403"/>
      <c r="R562" s="403"/>
      <c r="S562" s="403"/>
      <c r="T562" s="403"/>
      <c r="U562" s="403"/>
      <c r="V562" s="403"/>
      <c r="W562" s="403"/>
    </row>
    <row r="563" spans="1:23">
      <c r="A563" s="57">
        <v>37078</v>
      </c>
      <c r="B563" s="387"/>
      <c r="C563" s="395"/>
      <c r="D563" s="139"/>
      <c r="E563" s="139"/>
      <c r="F563" s="139"/>
      <c r="G563" s="389"/>
      <c r="H563" s="389"/>
      <c r="I563" s="389"/>
      <c r="J563" s="389"/>
      <c r="K563" s="139"/>
      <c r="L563" s="139"/>
      <c r="M563" s="403"/>
      <c r="N563" s="403"/>
      <c r="O563" s="403"/>
      <c r="P563" s="403"/>
      <c r="Q563" s="403"/>
      <c r="R563" s="403"/>
      <c r="S563" s="403"/>
      <c r="T563" s="403"/>
      <c r="U563" s="403"/>
      <c r="V563" s="403"/>
      <c r="W563" s="403"/>
    </row>
    <row r="564" spans="1:23">
      <c r="A564" s="57">
        <v>37079</v>
      </c>
      <c r="B564" s="387"/>
      <c r="C564" s="395"/>
      <c r="D564" s="139"/>
      <c r="E564" s="139"/>
      <c r="F564" s="139"/>
      <c r="G564" s="389"/>
      <c r="H564" s="389"/>
      <c r="I564" s="389"/>
      <c r="J564" s="389"/>
      <c r="K564" s="139"/>
      <c r="L564" s="139"/>
      <c r="M564" s="403"/>
      <c r="N564" s="403"/>
      <c r="O564" s="403"/>
      <c r="P564" s="403"/>
      <c r="Q564" s="403"/>
      <c r="R564" s="403"/>
      <c r="S564" s="403"/>
      <c r="T564" s="403"/>
      <c r="U564" s="403"/>
      <c r="V564" s="403"/>
      <c r="W564" s="403"/>
    </row>
    <row r="565" spans="1:23">
      <c r="A565" s="57">
        <v>37080</v>
      </c>
      <c r="B565" s="387"/>
      <c r="C565" s="395"/>
      <c r="D565" s="139"/>
      <c r="E565" s="139"/>
      <c r="F565" s="139"/>
      <c r="G565" s="389"/>
      <c r="H565" s="389"/>
      <c r="I565" s="389"/>
      <c r="J565" s="389"/>
      <c r="K565" s="139"/>
      <c r="L565" s="139"/>
      <c r="M565" s="403"/>
      <c r="N565" s="403"/>
      <c r="O565" s="403"/>
      <c r="P565" s="403"/>
      <c r="Q565" s="403"/>
      <c r="R565" s="403"/>
      <c r="S565" s="403"/>
      <c r="T565" s="403"/>
      <c r="U565" s="403"/>
      <c r="V565" s="403"/>
      <c r="W565" s="403"/>
    </row>
    <row r="566" spans="1:23">
      <c r="A566" s="57">
        <v>37081</v>
      </c>
      <c r="B566" s="387"/>
      <c r="C566" s="395"/>
      <c r="D566" s="139"/>
      <c r="E566" s="139"/>
      <c r="F566" s="139"/>
      <c r="G566" s="389"/>
      <c r="H566" s="389"/>
      <c r="I566" s="389"/>
      <c r="J566" s="389"/>
      <c r="K566" s="139"/>
      <c r="L566" s="139"/>
      <c r="M566" s="403"/>
      <c r="N566" s="403"/>
      <c r="O566" s="403"/>
      <c r="P566" s="403"/>
      <c r="Q566" s="403"/>
      <c r="R566" s="403"/>
      <c r="S566" s="403"/>
      <c r="T566" s="403"/>
      <c r="U566" s="403"/>
      <c r="V566" s="403"/>
      <c r="W566" s="403"/>
    </row>
    <row r="567" spans="1:23">
      <c r="A567" s="57">
        <v>37082</v>
      </c>
      <c r="B567" s="387"/>
      <c r="C567" s="395"/>
      <c r="D567" s="139"/>
      <c r="E567" s="139"/>
      <c r="F567" s="139"/>
      <c r="G567" s="389"/>
      <c r="H567" s="389"/>
      <c r="I567" s="389"/>
      <c r="J567" s="389"/>
      <c r="K567" s="139"/>
      <c r="L567" s="139"/>
      <c r="M567" s="403"/>
      <c r="N567" s="403"/>
      <c r="O567" s="403"/>
      <c r="P567" s="403"/>
      <c r="Q567" s="403"/>
      <c r="R567" s="403"/>
      <c r="S567" s="403"/>
      <c r="T567" s="403"/>
      <c r="U567" s="403"/>
      <c r="V567" s="403"/>
      <c r="W567" s="403"/>
    </row>
    <row r="568" spans="1:23">
      <c r="A568" s="57">
        <v>37083</v>
      </c>
      <c r="B568" s="387"/>
      <c r="C568" s="395"/>
      <c r="D568" s="139"/>
      <c r="E568" s="139"/>
      <c r="F568" s="139"/>
      <c r="G568" s="389"/>
      <c r="H568" s="389"/>
      <c r="I568" s="389"/>
      <c r="J568" s="389"/>
      <c r="K568" s="139"/>
      <c r="L568" s="139"/>
      <c r="M568" s="403"/>
      <c r="N568" s="403"/>
      <c r="O568" s="403"/>
      <c r="P568" s="403"/>
      <c r="Q568" s="403"/>
      <c r="R568" s="403"/>
      <c r="S568" s="403"/>
      <c r="T568" s="403"/>
      <c r="U568" s="403"/>
      <c r="V568" s="403"/>
      <c r="W568" s="403"/>
    </row>
    <row r="569" spans="1:23">
      <c r="A569" s="57">
        <v>37084</v>
      </c>
      <c r="B569" s="387"/>
      <c r="C569" s="395"/>
      <c r="D569" s="139"/>
      <c r="E569" s="139"/>
      <c r="F569" s="139"/>
      <c r="G569" s="389"/>
      <c r="H569" s="389"/>
      <c r="I569" s="389"/>
      <c r="J569" s="389"/>
      <c r="K569" s="139"/>
      <c r="L569" s="139"/>
      <c r="M569" s="403"/>
      <c r="N569" s="403"/>
      <c r="O569" s="403"/>
      <c r="P569" s="403"/>
      <c r="Q569" s="403"/>
      <c r="R569" s="403"/>
      <c r="S569" s="403"/>
      <c r="T569" s="403"/>
      <c r="U569" s="403"/>
      <c r="V569" s="403"/>
      <c r="W569" s="403"/>
    </row>
    <row r="570" spans="1:23">
      <c r="A570" s="57">
        <v>37085</v>
      </c>
      <c r="B570" s="387"/>
      <c r="C570" s="395"/>
      <c r="D570" s="139"/>
      <c r="E570" s="139"/>
      <c r="F570" s="139"/>
      <c r="G570" s="389"/>
      <c r="H570" s="389"/>
      <c r="I570" s="389"/>
      <c r="J570" s="389"/>
      <c r="K570" s="139"/>
      <c r="L570" s="139"/>
      <c r="M570" s="403"/>
      <c r="N570" s="403"/>
      <c r="O570" s="403"/>
      <c r="P570" s="403"/>
      <c r="Q570" s="403"/>
      <c r="R570" s="403"/>
      <c r="S570" s="403"/>
      <c r="T570" s="403"/>
      <c r="U570" s="403"/>
      <c r="V570" s="403"/>
      <c r="W570" s="403"/>
    </row>
    <row r="571" spans="1:23">
      <c r="A571" s="57">
        <v>37086</v>
      </c>
      <c r="B571" s="387"/>
      <c r="C571" s="395"/>
      <c r="D571" s="139"/>
      <c r="E571" s="139"/>
      <c r="F571" s="139"/>
      <c r="G571" s="389"/>
      <c r="H571" s="389"/>
      <c r="I571" s="389"/>
      <c r="J571" s="389"/>
      <c r="K571" s="139"/>
      <c r="L571" s="139"/>
      <c r="M571" s="403"/>
      <c r="N571" s="403"/>
      <c r="O571" s="403"/>
      <c r="P571" s="403"/>
      <c r="Q571" s="403"/>
      <c r="R571" s="403"/>
      <c r="S571" s="403"/>
      <c r="T571" s="403"/>
      <c r="U571" s="403"/>
      <c r="V571" s="403"/>
      <c r="W571" s="403"/>
    </row>
    <row r="572" spans="1:23">
      <c r="A572" s="57">
        <v>37087</v>
      </c>
      <c r="B572" s="387"/>
      <c r="C572" s="395"/>
      <c r="D572" s="139"/>
      <c r="E572" s="139"/>
      <c r="F572" s="139"/>
      <c r="G572" s="389"/>
      <c r="H572" s="389"/>
      <c r="I572" s="389"/>
      <c r="J572" s="389"/>
      <c r="K572" s="139"/>
      <c r="L572" s="139"/>
      <c r="M572" s="403"/>
      <c r="N572" s="403"/>
      <c r="O572" s="403"/>
      <c r="P572" s="403"/>
      <c r="Q572" s="403"/>
      <c r="R572" s="403"/>
      <c r="S572" s="403"/>
      <c r="T572" s="403"/>
      <c r="U572" s="403"/>
      <c r="V572" s="403"/>
      <c r="W572" s="403"/>
    </row>
    <row r="573" spans="1:23">
      <c r="A573" s="57">
        <v>37088</v>
      </c>
      <c r="B573" s="387"/>
      <c r="C573" s="395"/>
      <c r="D573" s="139"/>
      <c r="E573" s="139"/>
      <c r="F573" s="139"/>
      <c r="G573" s="389"/>
      <c r="H573" s="389"/>
      <c r="I573" s="389"/>
      <c r="J573" s="389"/>
      <c r="K573" s="139"/>
      <c r="L573" s="139"/>
      <c r="M573" s="403"/>
      <c r="N573" s="403"/>
      <c r="O573" s="403"/>
      <c r="P573" s="403"/>
      <c r="Q573" s="403"/>
      <c r="R573" s="403"/>
      <c r="S573" s="403"/>
      <c r="T573" s="403"/>
      <c r="U573" s="403"/>
      <c r="V573" s="403"/>
      <c r="W573" s="403"/>
    </row>
    <row r="574" spans="1:23">
      <c r="A574" s="57">
        <v>37089</v>
      </c>
      <c r="B574" s="387"/>
      <c r="C574" s="395"/>
      <c r="D574" s="139"/>
      <c r="E574" s="139"/>
      <c r="F574" s="139"/>
      <c r="G574" s="389"/>
      <c r="H574" s="389"/>
      <c r="I574" s="389"/>
      <c r="J574" s="389"/>
      <c r="K574" s="139"/>
      <c r="L574" s="139"/>
      <c r="M574" s="403"/>
      <c r="N574" s="403"/>
      <c r="O574" s="403"/>
      <c r="P574" s="403"/>
      <c r="Q574" s="403"/>
      <c r="R574" s="403"/>
      <c r="S574" s="403"/>
      <c r="T574" s="403"/>
      <c r="U574" s="403"/>
      <c r="V574" s="403"/>
      <c r="W574" s="403"/>
    </row>
    <row r="575" spans="1:23">
      <c r="A575" s="57">
        <v>37090</v>
      </c>
      <c r="B575" s="387"/>
      <c r="C575" s="395"/>
      <c r="D575" s="139"/>
      <c r="E575" s="139"/>
      <c r="F575" s="139"/>
      <c r="G575" s="389"/>
      <c r="H575" s="389"/>
      <c r="I575" s="389"/>
      <c r="J575" s="389"/>
      <c r="K575" s="139"/>
      <c r="L575" s="139"/>
      <c r="M575" s="403"/>
      <c r="N575" s="403"/>
      <c r="O575" s="403"/>
      <c r="P575" s="403"/>
      <c r="Q575" s="403"/>
      <c r="R575" s="403"/>
      <c r="S575" s="403"/>
      <c r="T575" s="403"/>
      <c r="U575" s="403"/>
      <c r="V575" s="403"/>
      <c r="W575" s="403"/>
    </row>
    <row r="576" spans="1:23">
      <c r="A576" s="57">
        <v>37091</v>
      </c>
      <c r="B576" s="387"/>
      <c r="C576" s="395"/>
      <c r="D576" s="139"/>
      <c r="E576" s="139"/>
      <c r="F576" s="139"/>
      <c r="G576" s="389"/>
      <c r="H576" s="389"/>
      <c r="I576" s="389"/>
      <c r="J576" s="389"/>
      <c r="K576" s="139"/>
      <c r="L576" s="139"/>
      <c r="M576" s="403"/>
      <c r="N576" s="403"/>
      <c r="O576" s="403"/>
      <c r="P576" s="403"/>
      <c r="Q576" s="403"/>
      <c r="R576" s="403"/>
      <c r="S576" s="403"/>
      <c r="T576" s="403"/>
      <c r="U576" s="403"/>
      <c r="V576" s="403"/>
      <c r="W576" s="403"/>
    </row>
    <row r="577" spans="1:23">
      <c r="A577" s="57">
        <v>37092</v>
      </c>
      <c r="B577" s="387"/>
      <c r="C577" s="395"/>
      <c r="D577" s="139"/>
      <c r="E577" s="139"/>
      <c r="F577" s="139"/>
      <c r="G577" s="389"/>
      <c r="H577" s="389"/>
      <c r="I577" s="389"/>
      <c r="J577" s="389"/>
      <c r="K577" s="139"/>
      <c r="L577" s="139"/>
      <c r="M577" s="403"/>
      <c r="N577" s="403"/>
      <c r="O577" s="403"/>
      <c r="P577" s="403"/>
      <c r="Q577" s="403"/>
      <c r="R577" s="403"/>
      <c r="S577" s="403"/>
      <c r="T577" s="403"/>
      <c r="U577" s="403"/>
      <c r="V577" s="403"/>
      <c r="W577" s="403"/>
    </row>
    <row r="578" spans="1:23">
      <c r="A578" s="57">
        <v>37093</v>
      </c>
      <c r="B578" s="387"/>
      <c r="C578" s="395"/>
      <c r="D578" s="139"/>
      <c r="E578" s="139"/>
      <c r="F578" s="139"/>
      <c r="G578" s="389"/>
      <c r="H578" s="389"/>
      <c r="I578" s="389"/>
      <c r="J578" s="389"/>
      <c r="K578" s="139"/>
      <c r="L578" s="139"/>
      <c r="M578" s="403"/>
      <c r="N578" s="403"/>
      <c r="O578" s="403"/>
      <c r="P578" s="403"/>
      <c r="Q578" s="403"/>
      <c r="R578" s="403"/>
      <c r="S578" s="403"/>
      <c r="T578" s="403"/>
      <c r="U578" s="403"/>
      <c r="V578" s="403"/>
      <c r="W578" s="403"/>
    </row>
    <row r="579" spans="1:23">
      <c r="A579" s="57">
        <v>37094</v>
      </c>
      <c r="B579" s="387"/>
      <c r="C579" s="395"/>
      <c r="D579" s="139"/>
      <c r="E579" s="139"/>
      <c r="F579" s="139"/>
      <c r="G579" s="389"/>
      <c r="H579" s="389"/>
      <c r="I579" s="389"/>
      <c r="J579" s="389"/>
      <c r="K579" s="139"/>
      <c r="L579" s="139"/>
      <c r="M579" s="403"/>
      <c r="N579" s="403"/>
      <c r="O579" s="403"/>
      <c r="P579" s="403"/>
      <c r="Q579" s="403"/>
      <c r="R579" s="403"/>
      <c r="S579" s="403"/>
      <c r="T579" s="403"/>
      <c r="U579" s="403"/>
      <c r="V579" s="403"/>
      <c r="W579" s="403"/>
    </row>
    <row r="580" spans="1:23">
      <c r="A580" s="57">
        <v>37095</v>
      </c>
      <c r="B580" s="387"/>
      <c r="C580" s="395"/>
      <c r="D580" s="139"/>
      <c r="E580" s="139"/>
      <c r="F580" s="139"/>
      <c r="G580" s="389"/>
      <c r="H580" s="389"/>
      <c r="I580" s="389"/>
      <c r="J580" s="389"/>
      <c r="K580" s="139"/>
      <c r="L580" s="139"/>
      <c r="M580" s="403"/>
      <c r="N580" s="403"/>
      <c r="O580" s="403"/>
      <c r="P580" s="403"/>
      <c r="Q580" s="403"/>
      <c r="R580" s="403"/>
      <c r="S580" s="403"/>
      <c r="T580" s="403"/>
      <c r="U580" s="403"/>
      <c r="V580" s="403"/>
      <c r="W580" s="403"/>
    </row>
    <row r="581" spans="1:23">
      <c r="A581" s="57">
        <v>37096</v>
      </c>
      <c r="B581" s="387"/>
      <c r="C581" s="395"/>
      <c r="D581" s="139"/>
      <c r="E581" s="139"/>
      <c r="F581" s="139"/>
      <c r="G581" s="389"/>
      <c r="H581" s="389"/>
      <c r="I581" s="389"/>
      <c r="J581" s="389"/>
      <c r="K581" s="139"/>
      <c r="L581" s="139"/>
      <c r="M581" s="403"/>
      <c r="N581" s="403"/>
      <c r="O581" s="403"/>
      <c r="P581" s="403"/>
      <c r="Q581" s="403"/>
      <c r="R581" s="403"/>
      <c r="S581" s="403"/>
      <c r="T581" s="403"/>
      <c r="U581" s="403"/>
      <c r="V581" s="403"/>
      <c r="W581" s="403"/>
    </row>
    <row r="582" spans="1:23">
      <c r="A582" s="57">
        <v>37097</v>
      </c>
      <c r="B582" s="387"/>
      <c r="C582" s="395"/>
      <c r="D582" s="139"/>
      <c r="E582" s="139"/>
      <c r="F582" s="139"/>
      <c r="G582" s="389"/>
      <c r="H582" s="389"/>
      <c r="I582" s="389"/>
      <c r="J582" s="389"/>
      <c r="K582" s="139"/>
      <c r="L582" s="139"/>
      <c r="M582" s="403"/>
      <c r="N582" s="403"/>
      <c r="O582" s="403"/>
      <c r="P582" s="403"/>
      <c r="Q582" s="403"/>
      <c r="R582" s="403"/>
      <c r="S582" s="403"/>
      <c r="T582" s="403"/>
      <c r="U582" s="403"/>
      <c r="V582" s="403"/>
      <c r="W582" s="403"/>
    </row>
    <row r="583" spans="1:23">
      <c r="A583" s="57">
        <v>37098</v>
      </c>
      <c r="B583" s="387"/>
      <c r="C583" s="395"/>
      <c r="D583" s="139"/>
      <c r="E583" s="139"/>
      <c r="F583" s="139"/>
      <c r="G583" s="389"/>
      <c r="H583" s="389"/>
      <c r="I583" s="389"/>
      <c r="J583" s="389"/>
      <c r="K583" s="139"/>
      <c r="L583" s="139"/>
      <c r="M583" s="403"/>
      <c r="N583" s="403"/>
      <c r="O583" s="403"/>
      <c r="P583" s="403"/>
      <c r="Q583" s="403"/>
      <c r="R583" s="403"/>
      <c r="S583" s="403"/>
      <c r="T583" s="403"/>
      <c r="U583" s="403"/>
      <c r="V583" s="403"/>
      <c r="W583" s="403"/>
    </row>
    <row r="584" spans="1:23">
      <c r="A584" s="57">
        <v>37099</v>
      </c>
      <c r="B584" s="387"/>
      <c r="C584" s="395"/>
      <c r="D584" s="139"/>
      <c r="E584" s="139"/>
      <c r="F584" s="139"/>
      <c r="G584" s="389"/>
      <c r="H584" s="389"/>
      <c r="I584" s="389"/>
      <c r="J584" s="389"/>
      <c r="K584" s="139"/>
      <c r="L584" s="139"/>
      <c r="M584" s="403"/>
      <c r="N584" s="403"/>
      <c r="O584" s="403"/>
      <c r="P584" s="403"/>
      <c r="Q584" s="403"/>
      <c r="R584" s="403"/>
      <c r="S584" s="403"/>
      <c r="T584" s="403"/>
      <c r="U584" s="403"/>
      <c r="V584" s="403"/>
      <c r="W584" s="403"/>
    </row>
    <row r="585" spans="1:23">
      <c r="A585" s="57">
        <v>37100</v>
      </c>
      <c r="B585" s="387"/>
      <c r="C585" s="395"/>
      <c r="D585" s="139"/>
      <c r="E585" s="139"/>
      <c r="F585" s="139"/>
      <c r="G585" s="389"/>
      <c r="H585" s="389"/>
      <c r="I585" s="389"/>
      <c r="J585" s="389"/>
      <c r="K585" s="139"/>
      <c r="L585" s="139"/>
      <c r="M585" s="403"/>
      <c r="N585" s="403"/>
      <c r="O585" s="403"/>
      <c r="P585" s="403"/>
      <c r="Q585" s="403"/>
      <c r="R585" s="403"/>
      <c r="S585" s="403"/>
      <c r="T585" s="403"/>
      <c r="U585" s="403"/>
      <c r="V585" s="403"/>
      <c r="W585" s="403"/>
    </row>
    <row r="586" spans="1:23">
      <c r="A586" s="57">
        <v>37101</v>
      </c>
      <c r="B586" s="387"/>
      <c r="C586" s="395"/>
      <c r="D586" s="139"/>
      <c r="E586" s="139"/>
      <c r="F586" s="139"/>
      <c r="G586" s="389"/>
      <c r="H586" s="389"/>
      <c r="I586" s="389"/>
      <c r="J586" s="389"/>
      <c r="K586" s="139"/>
      <c r="L586" s="139"/>
      <c r="M586" s="403"/>
      <c r="N586" s="403"/>
      <c r="O586" s="403"/>
      <c r="P586" s="403"/>
      <c r="Q586" s="403"/>
      <c r="R586" s="403"/>
      <c r="S586" s="403"/>
      <c r="T586" s="403"/>
      <c r="U586" s="403"/>
      <c r="V586" s="403"/>
      <c r="W586" s="403"/>
    </row>
    <row r="587" spans="1:23">
      <c r="A587" s="57">
        <v>37102</v>
      </c>
      <c r="B587" s="387"/>
      <c r="C587" s="395"/>
      <c r="D587" s="139"/>
      <c r="E587" s="139"/>
      <c r="F587" s="139"/>
      <c r="G587" s="389"/>
      <c r="H587" s="389"/>
      <c r="I587" s="389"/>
      <c r="J587" s="389"/>
      <c r="K587" s="139"/>
      <c r="L587" s="139"/>
      <c r="M587" s="403"/>
      <c r="N587" s="403"/>
      <c r="O587" s="403"/>
      <c r="P587" s="403"/>
      <c r="Q587" s="403"/>
      <c r="R587" s="403"/>
      <c r="S587" s="403"/>
      <c r="T587" s="403"/>
      <c r="U587" s="403"/>
      <c r="V587" s="403"/>
      <c r="W587" s="403"/>
    </row>
    <row r="588" spans="1:23">
      <c r="A588" s="57">
        <v>37103</v>
      </c>
      <c r="B588" s="387"/>
      <c r="C588" s="395"/>
      <c r="D588" s="139"/>
      <c r="E588" s="139"/>
      <c r="F588" s="139"/>
      <c r="G588" s="389"/>
      <c r="H588" s="389"/>
      <c r="I588" s="389"/>
      <c r="J588" s="389"/>
      <c r="K588" s="139"/>
      <c r="L588" s="139"/>
      <c r="M588" s="403"/>
      <c r="N588" s="403"/>
      <c r="O588" s="403"/>
      <c r="P588" s="403"/>
      <c r="Q588" s="403"/>
      <c r="R588" s="403"/>
      <c r="S588" s="403"/>
      <c r="T588" s="403"/>
      <c r="U588" s="403"/>
      <c r="V588" s="403"/>
      <c r="W588" s="403"/>
    </row>
    <row r="589" spans="1:23">
      <c r="A589" s="57">
        <v>37104</v>
      </c>
      <c r="B589" s="387"/>
      <c r="C589" s="395"/>
      <c r="D589" s="139"/>
      <c r="E589" s="139"/>
      <c r="F589" s="139"/>
      <c r="G589" s="389"/>
      <c r="H589" s="389"/>
      <c r="I589" s="389"/>
      <c r="J589" s="389"/>
      <c r="K589" s="139"/>
      <c r="L589" s="139"/>
      <c r="M589" s="403"/>
      <c r="N589" s="403"/>
      <c r="O589" s="403"/>
      <c r="P589" s="403"/>
      <c r="Q589" s="403"/>
      <c r="R589" s="403"/>
      <c r="S589" s="403"/>
      <c r="T589" s="403"/>
      <c r="U589" s="403"/>
      <c r="V589" s="403"/>
      <c r="W589" s="403"/>
    </row>
    <row r="590" spans="1:23">
      <c r="A590" s="57">
        <v>37105</v>
      </c>
      <c r="B590" s="387"/>
      <c r="C590" s="395"/>
      <c r="D590" s="139"/>
      <c r="E590" s="139"/>
      <c r="F590" s="139"/>
      <c r="G590" s="389"/>
      <c r="H590" s="389"/>
      <c r="I590" s="389"/>
      <c r="J590" s="389"/>
      <c r="K590" s="139"/>
      <c r="L590" s="139"/>
      <c r="M590" s="403"/>
      <c r="N590" s="403"/>
      <c r="O590" s="403"/>
      <c r="P590" s="403"/>
      <c r="Q590" s="403"/>
      <c r="R590" s="403"/>
      <c r="S590" s="403"/>
      <c r="T590" s="403"/>
      <c r="U590" s="403"/>
      <c r="V590" s="403"/>
      <c r="W590" s="403"/>
    </row>
    <row r="591" spans="1:23">
      <c r="A591" s="57">
        <v>37106</v>
      </c>
      <c r="B591" s="387"/>
      <c r="C591" s="395"/>
      <c r="D591" s="139"/>
      <c r="E591" s="139"/>
      <c r="F591" s="139"/>
      <c r="G591" s="389"/>
      <c r="H591" s="389"/>
      <c r="I591" s="389"/>
      <c r="J591" s="389"/>
      <c r="K591" s="139"/>
      <c r="L591" s="139"/>
      <c r="M591" s="403"/>
      <c r="N591" s="403"/>
      <c r="O591" s="403"/>
      <c r="P591" s="403"/>
      <c r="Q591" s="403"/>
      <c r="R591" s="403"/>
      <c r="S591" s="403"/>
      <c r="T591" s="403"/>
      <c r="U591" s="403"/>
      <c r="V591" s="403"/>
      <c r="W591" s="403"/>
    </row>
    <row r="592" spans="1:23">
      <c r="A592" s="57">
        <v>37107</v>
      </c>
      <c r="B592" s="387"/>
      <c r="C592" s="395"/>
      <c r="D592" s="139"/>
      <c r="E592" s="139"/>
      <c r="F592" s="139"/>
      <c r="G592" s="389"/>
      <c r="H592" s="389"/>
      <c r="I592" s="389"/>
      <c r="J592" s="389"/>
      <c r="K592" s="139"/>
      <c r="L592" s="139"/>
      <c r="M592" s="403"/>
      <c r="N592" s="403"/>
      <c r="O592" s="403"/>
      <c r="P592" s="403"/>
      <c r="Q592" s="403"/>
      <c r="R592" s="403"/>
      <c r="S592" s="403"/>
      <c r="T592" s="403"/>
      <c r="U592" s="403"/>
      <c r="V592" s="403"/>
      <c r="W592" s="403"/>
    </row>
    <row r="593" spans="1:23">
      <c r="A593" s="57">
        <v>37108</v>
      </c>
      <c r="B593" s="387"/>
      <c r="C593" s="395"/>
      <c r="D593" s="139"/>
      <c r="E593" s="139"/>
      <c r="F593" s="139"/>
      <c r="G593" s="389"/>
      <c r="H593" s="389"/>
      <c r="I593" s="389"/>
      <c r="J593" s="389"/>
      <c r="K593" s="139"/>
      <c r="L593" s="139"/>
      <c r="M593" s="403"/>
      <c r="N593" s="403"/>
      <c r="O593" s="403"/>
      <c r="P593" s="403"/>
      <c r="Q593" s="403"/>
      <c r="R593" s="403"/>
      <c r="S593" s="403"/>
      <c r="T593" s="403"/>
      <c r="U593" s="403"/>
      <c r="V593" s="403"/>
      <c r="W593" s="403"/>
    </row>
    <row r="594" spans="1:23">
      <c r="A594" s="57">
        <v>37109</v>
      </c>
      <c r="B594" s="387"/>
      <c r="C594" s="395"/>
      <c r="D594" s="139"/>
      <c r="E594" s="139"/>
      <c r="F594" s="139"/>
      <c r="G594" s="389"/>
      <c r="H594" s="389"/>
      <c r="I594" s="389"/>
      <c r="J594" s="389"/>
      <c r="K594" s="139"/>
      <c r="L594" s="139"/>
      <c r="M594" s="403"/>
      <c r="N594" s="403"/>
      <c r="O594" s="403"/>
      <c r="P594" s="403"/>
      <c r="Q594" s="403"/>
      <c r="R594" s="403"/>
      <c r="S594" s="403"/>
      <c r="T594" s="403"/>
      <c r="U594" s="403"/>
      <c r="V594" s="403"/>
      <c r="W594" s="403"/>
    </row>
    <row r="595" spans="1:23">
      <c r="A595" s="57">
        <v>37110</v>
      </c>
      <c r="B595" s="387"/>
      <c r="C595" s="395"/>
      <c r="D595" s="139"/>
      <c r="E595" s="139"/>
      <c r="F595" s="139"/>
      <c r="G595" s="389"/>
      <c r="H595" s="389"/>
      <c r="I595" s="389"/>
      <c r="J595" s="389"/>
      <c r="K595" s="139"/>
      <c r="L595" s="139"/>
      <c r="M595" s="403"/>
      <c r="N595" s="403"/>
      <c r="O595" s="403"/>
      <c r="P595" s="403"/>
      <c r="Q595" s="403"/>
      <c r="R595" s="403"/>
      <c r="S595" s="403"/>
      <c r="T595" s="403"/>
      <c r="U595" s="403"/>
      <c r="V595" s="403"/>
      <c r="W595" s="403"/>
    </row>
    <row r="596" spans="1:23">
      <c r="A596" s="57">
        <v>37111</v>
      </c>
      <c r="B596" s="387"/>
      <c r="C596" s="395"/>
      <c r="D596" s="139"/>
      <c r="E596" s="139"/>
      <c r="F596" s="139"/>
      <c r="G596" s="389"/>
      <c r="H596" s="389"/>
      <c r="I596" s="389"/>
      <c r="J596" s="389"/>
      <c r="K596" s="139"/>
      <c r="L596" s="139"/>
      <c r="M596" s="403"/>
      <c r="N596" s="403"/>
      <c r="O596" s="403"/>
      <c r="P596" s="403"/>
      <c r="Q596" s="403"/>
      <c r="R596" s="403"/>
      <c r="S596" s="403"/>
      <c r="T596" s="403"/>
      <c r="U596" s="403"/>
      <c r="V596" s="403"/>
      <c r="W596" s="403"/>
    </row>
    <row r="597" spans="1:23">
      <c r="A597" s="57">
        <v>37112</v>
      </c>
      <c r="B597" s="387"/>
      <c r="C597" s="395"/>
      <c r="D597" s="139"/>
      <c r="E597" s="139"/>
      <c r="F597" s="139"/>
      <c r="G597" s="389"/>
      <c r="H597" s="389"/>
      <c r="I597" s="389"/>
      <c r="J597" s="389"/>
      <c r="K597" s="139"/>
      <c r="L597" s="139"/>
      <c r="M597" s="403"/>
      <c r="N597" s="403"/>
      <c r="O597" s="403"/>
      <c r="P597" s="403"/>
      <c r="Q597" s="403"/>
      <c r="R597" s="403"/>
      <c r="S597" s="403"/>
      <c r="T597" s="403"/>
      <c r="U597" s="403"/>
      <c r="V597" s="403"/>
      <c r="W597" s="403"/>
    </row>
    <row r="598" spans="1:23">
      <c r="A598" s="57">
        <v>37113</v>
      </c>
      <c r="B598" s="387"/>
      <c r="C598" s="395"/>
      <c r="D598" s="139"/>
      <c r="E598" s="139"/>
      <c r="F598" s="139"/>
      <c r="G598" s="389"/>
      <c r="H598" s="389"/>
      <c r="I598" s="389"/>
      <c r="J598" s="389"/>
      <c r="K598" s="139"/>
      <c r="L598" s="139"/>
      <c r="M598" s="403"/>
      <c r="N598" s="403"/>
      <c r="O598" s="403"/>
      <c r="P598" s="403"/>
      <c r="Q598" s="403"/>
      <c r="R598" s="403"/>
      <c r="S598" s="403"/>
      <c r="T598" s="403"/>
      <c r="U598" s="403"/>
      <c r="V598" s="403"/>
      <c r="W598" s="403"/>
    </row>
    <row r="599" spans="1:23">
      <c r="A599" s="57">
        <v>37114</v>
      </c>
      <c r="B599" s="387"/>
      <c r="C599" s="395"/>
      <c r="D599" s="139"/>
      <c r="E599" s="139"/>
      <c r="F599" s="139"/>
      <c r="G599" s="389"/>
      <c r="H599" s="389"/>
      <c r="I599" s="389"/>
      <c r="J599" s="389"/>
      <c r="K599" s="139"/>
      <c r="L599" s="139"/>
      <c r="M599" s="403"/>
      <c r="N599" s="403"/>
      <c r="O599" s="403"/>
      <c r="P599" s="403"/>
      <c r="Q599" s="403"/>
      <c r="R599" s="403"/>
      <c r="S599" s="403"/>
      <c r="T599" s="403"/>
      <c r="U599" s="403"/>
      <c r="V599" s="403"/>
      <c r="W599" s="403"/>
    </row>
    <row r="600" spans="1:23">
      <c r="A600" s="57">
        <v>37115</v>
      </c>
      <c r="B600" s="387"/>
      <c r="C600" s="395"/>
      <c r="D600" s="139"/>
      <c r="E600" s="139"/>
      <c r="F600" s="139"/>
      <c r="G600" s="389"/>
      <c r="H600" s="389"/>
      <c r="I600" s="389"/>
      <c r="J600" s="389"/>
      <c r="K600" s="139"/>
      <c r="L600" s="139"/>
      <c r="M600" s="403"/>
      <c r="N600" s="403"/>
      <c r="O600" s="403"/>
      <c r="P600" s="403"/>
      <c r="Q600" s="403"/>
      <c r="R600" s="403"/>
      <c r="S600" s="403"/>
      <c r="T600" s="403"/>
      <c r="U600" s="403"/>
      <c r="V600" s="403"/>
      <c r="W600" s="403"/>
    </row>
    <row r="601" spans="1:23">
      <c r="A601" s="57">
        <v>37116</v>
      </c>
      <c r="B601" s="387"/>
      <c r="C601" s="395"/>
      <c r="D601" s="139"/>
      <c r="E601" s="139"/>
      <c r="F601" s="139"/>
      <c r="G601" s="389"/>
      <c r="H601" s="389"/>
      <c r="I601" s="389"/>
      <c r="J601" s="389"/>
      <c r="K601" s="139"/>
      <c r="L601" s="139"/>
      <c r="M601" s="403"/>
      <c r="N601" s="403"/>
      <c r="O601" s="403"/>
      <c r="P601" s="403"/>
      <c r="Q601" s="403"/>
      <c r="R601" s="403"/>
      <c r="S601" s="403"/>
      <c r="T601" s="403"/>
      <c r="U601" s="403"/>
      <c r="V601" s="403"/>
      <c r="W601" s="403"/>
    </row>
    <row r="602" spans="1:23">
      <c r="A602" s="57">
        <v>37117</v>
      </c>
      <c r="B602" s="387"/>
      <c r="C602" s="395"/>
      <c r="D602" s="139"/>
      <c r="E602" s="139"/>
      <c r="F602" s="139"/>
      <c r="G602" s="389"/>
      <c r="H602" s="389"/>
      <c r="I602" s="389"/>
      <c r="J602" s="389"/>
      <c r="K602" s="139"/>
      <c r="L602" s="139"/>
      <c r="M602" s="403"/>
      <c r="N602" s="403"/>
      <c r="O602" s="403"/>
      <c r="P602" s="403"/>
      <c r="Q602" s="403"/>
      <c r="R602" s="403"/>
      <c r="S602" s="403"/>
      <c r="T602" s="403"/>
      <c r="U602" s="403"/>
      <c r="V602" s="403"/>
      <c r="W602" s="403"/>
    </row>
    <row r="603" spans="1:23">
      <c r="A603" s="57">
        <v>37118</v>
      </c>
      <c r="B603" s="387"/>
      <c r="C603" s="395"/>
      <c r="D603" s="139"/>
      <c r="E603" s="139"/>
      <c r="F603" s="139"/>
      <c r="G603" s="389"/>
      <c r="H603" s="389"/>
      <c r="I603" s="389"/>
      <c r="J603" s="389"/>
      <c r="K603" s="139"/>
      <c r="L603" s="139"/>
      <c r="M603" s="403"/>
      <c r="N603" s="403"/>
      <c r="O603" s="403"/>
      <c r="P603" s="403"/>
      <c r="Q603" s="403"/>
      <c r="R603" s="403"/>
      <c r="S603" s="403"/>
      <c r="T603" s="403"/>
      <c r="U603" s="403"/>
      <c r="V603" s="403"/>
      <c r="W603" s="403"/>
    </row>
    <row r="604" spans="1:23">
      <c r="A604" s="57">
        <v>37119</v>
      </c>
      <c r="B604" s="387"/>
      <c r="C604" s="395"/>
      <c r="D604" s="139"/>
      <c r="E604" s="139"/>
      <c r="F604" s="139"/>
      <c r="G604" s="389"/>
      <c r="H604" s="389"/>
      <c r="I604" s="389"/>
      <c r="J604" s="389"/>
      <c r="K604" s="139"/>
      <c r="L604" s="139"/>
      <c r="M604" s="403"/>
      <c r="N604" s="403"/>
      <c r="O604" s="403"/>
      <c r="P604" s="403"/>
      <c r="Q604" s="403"/>
      <c r="R604" s="403"/>
      <c r="S604" s="403"/>
      <c r="T604" s="403"/>
      <c r="U604" s="403"/>
      <c r="V604" s="403"/>
      <c r="W604" s="403"/>
    </row>
    <row r="605" spans="1:23">
      <c r="A605" s="57">
        <v>37120</v>
      </c>
      <c r="B605" s="387"/>
      <c r="C605" s="395"/>
      <c r="D605" s="139"/>
      <c r="E605" s="139"/>
      <c r="F605" s="139"/>
      <c r="G605" s="389"/>
      <c r="H605" s="389"/>
      <c r="I605" s="389"/>
      <c r="J605" s="389"/>
      <c r="K605" s="139"/>
      <c r="L605" s="139"/>
      <c r="M605" s="403"/>
      <c r="N605" s="403"/>
      <c r="O605" s="403"/>
      <c r="P605" s="403"/>
      <c r="Q605" s="403"/>
      <c r="R605" s="403"/>
      <c r="S605" s="403"/>
      <c r="T605" s="403"/>
      <c r="U605" s="403"/>
      <c r="V605" s="403"/>
      <c r="W605" s="403"/>
    </row>
    <row r="606" spans="1:23">
      <c r="A606" s="57">
        <v>37121</v>
      </c>
      <c r="B606" s="387"/>
      <c r="C606" s="395"/>
      <c r="D606" s="139"/>
      <c r="E606" s="139"/>
      <c r="F606" s="139"/>
      <c r="G606" s="389"/>
      <c r="H606" s="389"/>
      <c r="I606" s="389"/>
      <c r="J606" s="389"/>
      <c r="K606" s="139"/>
      <c r="L606" s="139"/>
      <c r="M606" s="403"/>
      <c r="N606" s="403"/>
      <c r="O606" s="403"/>
      <c r="P606" s="403"/>
      <c r="Q606" s="403"/>
      <c r="R606" s="403"/>
      <c r="S606" s="403"/>
      <c r="T606" s="403"/>
      <c r="U606" s="403"/>
      <c r="V606" s="403"/>
      <c r="W606" s="403"/>
    </row>
    <row r="607" spans="1:23">
      <c r="A607" s="57">
        <v>37122</v>
      </c>
      <c r="B607" s="387"/>
      <c r="C607" s="395"/>
      <c r="D607" s="139"/>
      <c r="E607" s="139"/>
      <c r="F607" s="139"/>
      <c r="G607" s="389"/>
      <c r="H607" s="389"/>
      <c r="I607" s="389"/>
      <c r="J607" s="389"/>
      <c r="K607" s="139"/>
      <c r="L607" s="139"/>
      <c r="M607" s="403"/>
      <c r="N607" s="403"/>
      <c r="O607" s="403"/>
      <c r="P607" s="403"/>
      <c r="Q607" s="403"/>
      <c r="R607" s="403"/>
      <c r="S607" s="403"/>
      <c r="T607" s="403"/>
      <c r="U607" s="403"/>
      <c r="V607" s="403"/>
      <c r="W607" s="403"/>
    </row>
    <row r="608" spans="1:23">
      <c r="A608" s="57">
        <v>37123</v>
      </c>
      <c r="B608" s="387"/>
      <c r="C608" s="395"/>
      <c r="D608" s="139"/>
      <c r="E608" s="139"/>
      <c r="F608" s="139"/>
      <c r="G608" s="389"/>
      <c r="H608" s="389"/>
      <c r="I608" s="389"/>
      <c r="J608" s="389"/>
      <c r="K608" s="139"/>
      <c r="L608" s="139"/>
      <c r="M608" s="403"/>
      <c r="N608" s="403"/>
      <c r="O608" s="403"/>
      <c r="P608" s="403"/>
      <c r="Q608" s="403"/>
      <c r="R608" s="403"/>
      <c r="S608" s="403"/>
      <c r="T608" s="403"/>
      <c r="U608" s="403"/>
      <c r="V608" s="403"/>
      <c r="W608" s="403"/>
    </row>
    <row r="609" spans="1:23">
      <c r="A609" s="57">
        <v>37124</v>
      </c>
      <c r="B609" s="387"/>
      <c r="C609" s="395"/>
      <c r="D609" s="139"/>
      <c r="E609" s="139"/>
      <c r="F609" s="139"/>
      <c r="G609" s="389"/>
      <c r="H609" s="389"/>
      <c r="I609" s="389"/>
      <c r="J609" s="389"/>
      <c r="K609" s="139"/>
      <c r="L609" s="139"/>
      <c r="M609" s="403"/>
      <c r="N609" s="403"/>
      <c r="O609" s="403"/>
      <c r="P609" s="403"/>
      <c r="Q609" s="403"/>
      <c r="R609" s="403"/>
      <c r="S609" s="403"/>
      <c r="T609" s="403"/>
      <c r="U609" s="403"/>
      <c r="V609" s="403"/>
      <c r="W609" s="403"/>
    </row>
    <row r="610" spans="1:23">
      <c r="A610" s="57">
        <v>37125</v>
      </c>
      <c r="B610" s="387"/>
      <c r="C610" s="395"/>
      <c r="D610" s="139"/>
      <c r="E610" s="139"/>
      <c r="F610" s="139"/>
      <c r="G610" s="389"/>
      <c r="H610" s="389"/>
      <c r="I610" s="389"/>
      <c r="J610" s="389"/>
      <c r="K610" s="139"/>
      <c r="L610" s="139"/>
      <c r="M610" s="403"/>
      <c r="N610" s="403"/>
      <c r="O610" s="403"/>
      <c r="P610" s="403"/>
      <c r="Q610" s="403"/>
      <c r="R610" s="403"/>
      <c r="S610" s="403"/>
      <c r="T610" s="403"/>
      <c r="U610" s="403"/>
      <c r="V610" s="403"/>
      <c r="W610" s="403"/>
    </row>
    <row r="611" spans="1:23">
      <c r="A611" s="57">
        <v>37126</v>
      </c>
      <c r="B611" s="387"/>
      <c r="C611" s="395"/>
      <c r="D611" s="139"/>
      <c r="E611" s="139"/>
      <c r="F611" s="139"/>
      <c r="G611" s="389"/>
      <c r="H611" s="389"/>
      <c r="I611" s="389"/>
      <c r="J611" s="389"/>
      <c r="K611" s="139"/>
      <c r="L611" s="139"/>
      <c r="M611" s="403"/>
      <c r="N611" s="403"/>
      <c r="O611" s="403"/>
      <c r="P611" s="403"/>
      <c r="Q611" s="403"/>
      <c r="R611" s="403"/>
      <c r="S611" s="403"/>
      <c r="T611" s="403"/>
      <c r="U611" s="403"/>
      <c r="V611" s="403"/>
      <c r="W611" s="403"/>
    </row>
    <row r="612" spans="1:23">
      <c r="A612" s="57">
        <v>37127</v>
      </c>
      <c r="B612" s="387"/>
      <c r="C612" s="395"/>
      <c r="D612" s="139"/>
      <c r="E612" s="139"/>
      <c r="F612" s="139"/>
      <c r="G612" s="389"/>
      <c r="H612" s="389"/>
      <c r="I612" s="389"/>
      <c r="J612" s="389"/>
      <c r="K612" s="139"/>
      <c r="L612" s="139"/>
      <c r="M612" s="403"/>
      <c r="N612" s="403"/>
      <c r="O612" s="403"/>
      <c r="P612" s="403"/>
      <c r="Q612" s="403"/>
      <c r="R612" s="403"/>
      <c r="S612" s="403"/>
      <c r="T612" s="403"/>
      <c r="U612" s="403"/>
      <c r="V612" s="403"/>
      <c r="W612" s="403"/>
    </row>
    <row r="613" spans="1:23">
      <c r="A613" s="57">
        <v>37128</v>
      </c>
      <c r="B613" s="387"/>
      <c r="C613" s="395"/>
      <c r="D613" s="139"/>
      <c r="E613" s="139"/>
      <c r="F613" s="139"/>
      <c r="G613" s="389"/>
      <c r="H613" s="389"/>
      <c r="I613" s="389"/>
      <c r="J613" s="389"/>
      <c r="K613" s="139"/>
      <c r="L613" s="139"/>
      <c r="M613" s="403"/>
      <c r="N613" s="403"/>
      <c r="O613" s="403"/>
      <c r="P613" s="403"/>
      <c r="Q613" s="403"/>
      <c r="R613" s="403"/>
      <c r="S613" s="403"/>
      <c r="T613" s="403"/>
      <c r="U613" s="403"/>
      <c r="V613" s="403"/>
      <c r="W613" s="403"/>
    </row>
    <row r="614" spans="1:23">
      <c r="A614" s="57">
        <v>37129</v>
      </c>
      <c r="B614" s="387"/>
      <c r="C614" s="395"/>
      <c r="D614" s="139"/>
      <c r="E614" s="139"/>
      <c r="F614" s="139"/>
      <c r="G614" s="389"/>
      <c r="H614" s="389"/>
      <c r="I614" s="389"/>
      <c r="J614" s="389"/>
      <c r="K614" s="139"/>
      <c r="L614" s="139"/>
      <c r="M614" s="403"/>
      <c r="N614" s="403"/>
      <c r="O614" s="403"/>
      <c r="P614" s="403"/>
      <c r="Q614" s="403"/>
      <c r="R614" s="403"/>
      <c r="S614" s="403"/>
      <c r="T614" s="403"/>
      <c r="U614" s="403"/>
      <c r="V614" s="403"/>
      <c r="W614" s="403"/>
    </row>
    <row r="615" spans="1:23">
      <c r="A615" s="57">
        <v>37130</v>
      </c>
      <c r="B615" s="387"/>
      <c r="C615" s="395"/>
      <c r="D615" s="139"/>
      <c r="E615" s="139"/>
      <c r="F615" s="139"/>
      <c r="G615" s="389"/>
      <c r="H615" s="389"/>
      <c r="I615" s="389"/>
      <c r="J615" s="389"/>
      <c r="K615" s="139"/>
      <c r="L615" s="139"/>
      <c r="M615" s="403"/>
      <c r="N615" s="403"/>
      <c r="O615" s="403"/>
      <c r="P615" s="403"/>
      <c r="Q615" s="403"/>
      <c r="R615" s="403"/>
      <c r="S615" s="403"/>
      <c r="T615" s="403"/>
      <c r="U615" s="403"/>
      <c r="V615" s="403"/>
      <c r="W615" s="403"/>
    </row>
    <row r="616" spans="1:23">
      <c r="A616" s="57">
        <v>37131</v>
      </c>
      <c r="B616" s="387"/>
      <c r="C616" s="395"/>
      <c r="D616" s="139"/>
      <c r="E616" s="139"/>
      <c r="F616" s="139"/>
      <c r="G616" s="389"/>
      <c r="H616" s="389"/>
      <c r="I616" s="389"/>
      <c r="J616" s="389"/>
      <c r="K616" s="139"/>
      <c r="L616" s="139"/>
      <c r="M616" s="403"/>
      <c r="N616" s="403"/>
      <c r="O616" s="403"/>
      <c r="P616" s="403"/>
      <c r="Q616" s="403"/>
      <c r="R616" s="403"/>
      <c r="S616" s="403"/>
      <c r="T616" s="403"/>
      <c r="U616" s="403"/>
      <c r="V616" s="403"/>
      <c r="W616" s="403"/>
    </row>
    <row r="617" spans="1:23">
      <c r="A617" s="57">
        <v>37132</v>
      </c>
      <c r="B617" s="387"/>
      <c r="C617" s="395"/>
      <c r="D617" s="139"/>
      <c r="E617" s="139"/>
      <c r="F617" s="139"/>
      <c r="G617" s="389"/>
      <c r="H617" s="389"/>
      <c r="I617" s="389"/>
      <c r="J617" s="389"/>
      <c r="K617" s="139"/>
      <c r="L617" s="139"/>
      <c r="M617" s="403"/>
      <c r="N617" s="403"/>
      <c r="O617" s="403"/>
      <c r="P617" s="403"/>
      <c r="Q617" s="403"/>
      <c r="R617" s="403"/>
      <c r="S617" s="403"/>
      <c r="T617" s="403"/>
      <c r="U617" s="403"/>
      <c r="V617" s="403"/>
      <c r="W617" s="403"/>
    </row>
    <row r="618" spans="1:23">
      <c r="A618" s="57">
        <v>37133</v>
      </c>
      <c r="B618" s="387"/>
      <c r="C618" s="395"/>
      <c r="D618" s="139"/>
      <c r="E618" s="139"/>
      <c r="F618" s="139"/>
      <c r="G618" s="389"/>
      <c r="H618" s="389"/>
      <c r="I618" s="389"/>
      <c r="J618" s="389"/>
      <c r="K618" s="139"/>
      <c r="L618" s="139"/>
      <c r="M618" s="403"/>
      <c r="N618" s="403"/>
      <c r="O618" s="403"/>
      <c r="P618" s="403"/>
      <c r="Q618" s="403"/>
      <c r="R618" s="403"/>
      <c r="S618" s="403"/>
      <c r="T618" s="403"/>
      <c r="U618" s="403"/>
      <c r="V618" s="403"/>
      <c r="W618" s="403"/>
    </row>
    <row r="619" spans="1:23">
      <c r="A619" s="57">
        <v>37134</v>
      </c>
      <c r="B619" s="387"/>
      <c r="C619" s="395"/>
      <c r="D619" s="139"/>
      <c r="E619" s="139"/>
      <c r="F619" s="139"/>
      <c r="G619" s="389"/>
      <c r="H619" s="389"/>
      <c r="I619" s="389"/>
      <c r="J619" s="389"/>
      <c r="K619" s="139"/>
      <c r="L619" s="139"/>
      <c r="M619" s="403"/>
      <c r="N619" s="403"/>
      <c r="O619" s="403"/>
      <c r="P619" s="403"/>
      <c r="Q619" s="403"/>
      <c r="R619" s="403"/>
      <c r="S619" s="403"/>
      <c r="T619" s="403"/>
      <c r="U619" s="403"/>
      <c r="V619" s="403"/>
      <c r="W619" s="403"/>
    </row>
    <row r="620" spans="1:23">
      <c r="A620" s="57">
        <v>37135</v>
      </c>
      <c r="B620" s="387"/>
      <c r="C620" s="395"/>
      <c r="D620" s="139"/>
      <c r="E620" s="139"/>
      <c r="F620" s="139"/>
      <c r="G620" s="389"/>
      <c r="H620" s="389"/>
      <c r="I620" s="389"/>
      <c r="J620" s="389"/>
      <c r="K620" s="139"/>
      <c r="L620" s="139"/>
      <c r="M620" s="403"/>
      <c r="N620" s="403"/>
      <c r="O620" s="403"/>
      <c r="P620" s="403"/>
      <c r="Q620" s="403"/>
      <c r="R620" s="403"/>
      <c r="S620" s="403"/>
      <c r="T620" s="403"/>
      <c r="U620" s="403"/>
      <c r="V620" s="403"/>
      <c r="W620" s="403"/>
    </row>
    <row r="621" spans="1:23">
      <c r="A621" s="57">
        <v>37136</v>
      </c>
      <c r="B621" s="387"/>
      <c r="C621" s="395"/>
      <c r="D621" s="139"/>
      <c r="E621" s="139"/>
      <c r="F621" s="139"/>
      <c r="G621" s="389"/>
      <c r="H621" s="389"/>
      <c r="I621" s="389"/>
      <c r="J621" s="389"/>
      <c r="K621" s="139"/>
      <c r="L621" s="139"/>
      <c r="M621" s="403"/>
      <c r="N621" s="403"/>
      <c r="O621" s="403"/>
      <c r="P621" s="403"/>
      <c r="Q621" s="403"/>
      <c r="R621" s="403"/>
      <c r="S621" s="403"/>
      <c r="T621" s="403"/>
      <c r="U621" s="403"/>
      <c r="V621" s="403"/>
      <c r="W621" s="403"/>
    </row>
    <row r="622" spans="1:23">
      <c r="A622" s="57">
        <v>37137</v>
      </c>
      <c r="B622" s="387"/>
      <c r="C622" s="395"/>
      <c r="D622" s="139"/>
      <c r="E622" s="139"/>
      <c r="F622" s="139"/>
      <c r="G622" s="389"/>
      <c r="H622" s="389"/>
      <c r="I622" s="389"/>
      <c r="J622" s="389"/>
      <c r="K622" s="139"/>
      <c r="L622" s="139"/>
      <c r="M622" s="403"/>
      <c r="N622" s="403"/>
      <c r="O622" s="403"/>
      <c r="P622" s="403"/>
      <c r="Q622" s="403"/>
      <c r="R622" s="403"/>
      <c r="S622" s="403"/>
      <c r="T622" s="403"/>
      <c r="U622" s="403"/>
      <c r="V622" s="403"/>
      <c r="W622" s="403"/>
    </row>
    <row r="623" spans="1:23">
      <c r="A623" s="57">
        <v>37138</v>
      </c>
      <c r="B623" s="387"/>
      <c r="C623" s="395"/>
      <c r="D623" s="139"/>
      <c r="E623" s="139"/>
      <c r="F623" s="139"/>
      <c r="G623" s="389"/>
      <c r="H623" s="389"/>
      <c r="I623" s="389"/>
      <c r="J623" s="389"/>
      <c r="K623" s="139"/>
      <c r="L623" s="139"/>
      <c r="M623" s="403"/>
      <c r="N623" s="403"/>
      <c r="O623" s="403"/>
      <c r="P623" s="403"/>
      <c r="Q623" s="403"/>
      <c r="R623" s="403"/>
      <c r="S623" s="403"/>
      <c r="T623" s="403"/>
      <c r="U623" s="403"/>
      <c r="V623" s="403"/>
      <c r="W623" s="403"/>
    </row>
    <row r="624" spans="1:23">
      <c r="A624" s="57">
        <v>37139</v>
      </c>
      <c r="B624" s="387"/>
      <c r="C624" s="395"/>
      <c r="D624" s="139"/>
      <c r="E624" s="139"/>
      <c r="F624" s="139"/>
      <c r="G624" s="389"/>
      <c r="H624" s="389"/>
      <c r="I624" s="389"/>
      <c r="J624" s="389"/>
      <c r="K624" s="139"/>
      <c r="L624" s="139"/>
      <c r="M624" s="403"/>
      <c r="N624" s="403"/>
      <c r="O624" s="403"/>
      <c r="P624" s="403"/>
      <c r="Q624" s="403"/>
      <c r="R624" s="403"/>
      <c r="S624" s="403"/>
      <c r="T624" s="403"/>
      <c r="U624" s="403"/>
      <c r="V624" s="403"/>
      <c r="W624" s="403"/>
    </row>
    <row r="625" spans="1:23">
      <c r="A625" s="57">
        <v>37140</v>
      </c>
      <c r="B625" s="387"/>
      <c r="C625" s="395"/>
      <c r="D625" s="139"/>
      <c r="E625" s="139"/>
      <c r="F625" s="139"/>
      <c r="G625" s="389"/>
      <c r="H625" s="389"/>
      <c r="I625" s="389"/>
      <c r="J625" s="389"/>
      <c r="K625" s="139"/>
      <c r="L625" s="139"/>
      <c r="M625" s="403"/>
      <c r="N625" s="403"/>
      <c r="O625" s="403"/>
      <c r="P625" s="403"/>
      <c r="Q625" s="403"/>
      <c r="R625" s="403"/>
      <c r="S625" s="403"/>
      <c r="T625" s="403"/>
      <c r="U625" s="403"/>
      <c r="V625" s="403"/>
      <c r="W625" s="403"/>
    </row>
    <row r="626" spans="1:23">
      <c r="A626" s="57">
        <v>37141</v>
      </c>
      <c r="B626" s="387"/>
      <c r="C626" s="395"/>
      <c r="D626" s="139"/>
      <c r="E626" s="139"/>
      <c r="F626" s="139"/>
      <c r="G626" s="389"/>
      <c r="H626" s="389"/>
      <c r="I626" s="389"/>
      <c r="J626" s="389"/>
      <c r="K626" s="139"/>
      <c r="L626" s="139"/>
      <c r="M626" s="403"/>
      <c r="N626" s="403"/>
      <c r="O626" s="403"/>
      <c r="P626" s="403"/>
      <c r="Q626" s="403"/>
      <c r="R626" s="403"/>
      <c r="S626" s="403"/>
      <c r="T626" s="403"/>
      <c r="U626" s="403"/>
      <c r="V626" s="403"/>
      <c r="W626" s="403"/>
    </row>
    <row r="627" spans="1:23">
      <c r="A627" s="57">
        <v>37142</v>
      </c>
      <c r="B627" s="387"/>
      <c r="C627" s="395"/>
      <c r="D627" s="139"/>
      <c r="E627" s="139"/>
      <c r="F627" s="139"/>
      <c r="G627" s="389"/>
      <c r="H627" s="389"/>
      <c r="I627" s="389"/>
      <c r="J627" s="389"/>
      <c r="K627" s="139"/>
      <c r="L627" s="139"/>
      <c r="M627" s="403"/>
      <c r="N627" s="403"/>
      <c r="O627" s="403"/>
      <c r="P627" s="403"/>
      <c r="Q627" s="403"/>
      <c r="R627" s="403"/>
      <c r="S627" s="403"/>
      <c r="T627" s="403"/>
      <c r="U627" s="403"/>
      <c r="V627" s="403"/>
      <c r="W627" s="403"/>
    </row>
    <row r="628" spans="1:23">
      <c r="A628" s="57">
        <v>37143</v>
      </c>
      <c r="B628" s="387"/>
      <c r="C628" s="395"/>
      <c r="D628" s="139"/>
      <c r="E628" s="139"/>
      <c r="F628" s="139"/>
      <c r="G628" s="389"/>
      <c r="H628" s="389"/>
      <c r="I628" s="389"/>
      <c r="J628" s="389"/>
      <c r="K628" s="139"/>
      <c r="L628" s="139"/>
      <c r="M628" s="403"/>
      <c r="N628" s="403"/>
      <c r="O628" s="403"/>
      <c r="P628" s="403"/>
      <c r="Q628" s="403"/>
      <c r="R628" s="403"/>
      <c r="S628" s="403"/>
      <c r="T628" s="403"/>
      <c r="U628" s="403"/>
      <c r="V628" s="403"/>
      <c r="W628" s="403"/>
    </row>
    <row r="629" spans="1:23">
      <c r="A629" s="57">
        <v>37144</v>
      </c>
      <c r="B629" s="387"/>
      <c r="C629" s="395"/>
      <c r="D629" s="139"/>
      <c r="E629" s="139"/>
      <c r="F629" s="139"/>
      <c r="G629" s="389"/>
      <c r="H629" s="389"/>
      <c r="I629" s="389"/>
      <c r="J629" s="389"/>
      <c r="K629" s="139"/>
      <c r="L629" s="139"/>
      <c r="M629" s="403"/>
      <c r="N629" s="403"/>
      <c r="O629" s="403"/>
      <c r="P629" s="403"/>
      <c r="Q629" s="403"/>
      <c r="R629" s="403"/>
      <c r="S629" s="403"/>
      <c r="T629" s="403"/>
      <c r="U629" s="403"/>
      <c r="V629" s="403"/>
      <c r="W629" s="403"/>
    </row>
    <row r="630" spans="1:23">
      <c r="A630" s="57">
        <v>37145</v>
      </c>
      <c r="B630" s="387"/>
      <c r="C630" s="395"/>
      <c r="D630" s="139"/>
      <c r="E630" s="139"/>
      <c r="F630" s="139"/>
      <c r="G630" s="389"/>
      <c r="H630" s="389"/>
      <c r="I630" s="389"/>
      <c r="J630" s="389"/>
      <c r="K630" s="139"/>
      <c r="L630" s="139"/>
      <c r="M630" s="403"/>
      <c r="N630" s="403"/>
      <c r="O630" s="403"/>
      <c r="P630" s="403"/>
      <c r="Q630" s="403"/>
      <c r="R630" s="403"/>
      <c r="S630" s="403"/>
      <c r="T630" s="403"/>
      <c r="U630" s="403"/>
      <c r="V630" s="403"/>
      <c r="W630" s="403"/>
    </row>
    <row r="631" spans="1:23">
      <c r="A631" s="57">
        <v>37146</v>
      </c>
      <c r="B631" s="387"/>
      <c r="C631" s="395"/>
      <c r="D631" s="139"/>
      <c r="E631" s="139"/>
      <c r="F631" s="139"/>
      <c r="G631" s="389"/>
      <c r="H631" s="389"/>
      <c r="I631" s="389"/>
      <c r="J631" s="389"/>
      <c r="K631" s="139"/>
      <c r="L631" s="139"/>
      <c r="M631" s="403"/>
      <c r="N631" s="403"/>
      <c r="O631" s="403"/>
      <c r="P631" s="403"/>
      <c r="Q631" s="403"/>
      <c r="R631" s="403"/>
      <c r="S631" s="403"/>
      <c r="T631" s="403"/>
      <c r="U631" s="403"/>
      <c r="V631" s="403"/>
      <c r="W631" s="403"/>
    </row>
    <row r="632" spans="1:23">
      <c r="A632" s="57">
        <v>37147</v>
      </c>
      <c r="B632" s="387"/>
      <c r="C632" s="395"/>
      <c r="D632" s="139"/>
      <c r="E632" s="139"/>
      <c r="F632" s="139"/>
      <c r="G632" s="389"/>
      <c r="H632" s="389"/>
      <c r="I632" s="389"/>
      <c r="J632" s="389"/>
      <c r="K632" s="139"/>
      <c r="L632" s="139"/>
      <c r="M632" s="403"/>
      <c r="N632" s="403"/>
      <c r="O632" s="403"/>
      <c r="P632" s="403"/>
      <c r="Q632" s="403"/>
      <c r="R632" s="403"/>
      <c r="S632" s="403"/>
      <c r="T632" s="403"/>
      <c r="U632" s="403"/>
      <c r="V632" s="403"/>
      <c r="W632" s="403"/>
    </row>
    <row r="633" spans="1:23">
      <c r="A633" s="57">
        <v>37148</v>
      </c>
      <c r="B633" s="387"/>
      <c r="C633" s="395"/>
      <c r="D633" s="139"/>
      <c r="E633" s="139"/>
      <c r="F633" s="139"/>
      <c r="G633" s="389"/>
      <c r="H633" s="389"/>
      <c r="I633" s="389"/>
      <c r="J633" s="389"/>
      <c r="K633" s="139"/>
      <c r="L633" s="139"/>
      <c r="M633" s="403"/>
      <c r="N633" s="403"/>
      <c r="O633" s="403"/>
      <c r="P633" s="403"/>
      <c r="Q633" s="403"/>
      <c r="R633" s="403"/>
      <c r="S633" s="403"/>
      <c r="T633" s="403"/>
      <c r="U633" s="403"/>
      <c r="V633" s="403"/>
      <c r="W633" s="403"/>
    </row>
    <row r="634" spans="1:23">
      <c r="A634" s="57">
        <v>37149</v>
      </c>
      <c r="B634" s="387"/>
      <c r="C634" s="395"/>
      <c r="D634" s="139"/>
      <c r="E634" s="139"/>
      <c r="F634" s="139"/>
      <c r="G634" s="389"/>
      <c r="H634" s="389"/>
      <c r="I634" s="389"/>
      <c r="J634" s="389"/>
      <c r="K634" s="139"/>
      <c r="L634" s="139"/>
      <c r="M634" s="403"/>
      <c r="N634" s="403"/>
      <c r="O634" s="403"/>
      <c r="P634" s="403"/>
      <c r="Q634" s="403"/>
      <c r="R634" s="403"/>
      <c r="S634" s="403"/>
      <c r="T634" s="403"/>
      <c r="U634" s="403"/>
      <c r="V634" s="403"/>
      <c r="W634" s="403"/>
    </row>
    <row r="635" spans="1:23">
      <c r="A635" s="57">
        <v>37150</v>
      </c>
      <c r="B635" s="387"/>
      <c r="C635" s="395"/>
      <c r="D635" s="139"/>
      <c r="E635" s="139"/>
      <c r="F635" s="139"/>
      <c r="G635" s="389"/>
      <c r="H635" s="389"/>
      <c r="I635" s="389"/>
      <c r="J635" s="389"/>
      <c r="K635" s="139"/>
      <c r="L635" s="139"/>
      <c r="M635" s="403"/>
      <c r="N635" s="403"/>
      <c r="O635" s="403"/>
      <c r="P635" s="403"/>
      <c r="Q635" s="403"/>
      <c r="R635" s="403"/>
      <c r="S635" s="403"/>
      <c r="T635" s="403"/>
      <c r="U635" s="403"/>
      <c r="V635" s="403"/>
      <c r="W635" s="403"/>
    </row>
    <row r="636" spans="1:23">
      <c r="A636" s="57">
        <v>37151</v>
      </c>
      <c r="B636" s="387"/>
      <c r="C636" s="395"/>
      <c r="D636" s="139"/>
      <c r="E636" s="139"/>
      <c r="F636" s="139"/>
      <c r="G636" s="389"/>
      <c r="H636" s="389"/>
      <c r="I636" s="389"/>
      <c r="J636" s="389"/>
      <c r="K636" s="139"/>
      <c r="L636" s="139"/>
      <c r="M636" s="403"/>
      <c r="N636" s="403"/>
      <c r="O636" s="403"/>
      <c r="P636" s="403"/>
      <c r="Q636" s="403"/>
      <c r="R636" s="403"/>
      <c r="S636" s="403"/>
      <c r="T636" s="403"/>
      <c r="U636" s="403"/>
      <c r="V636" s="403"/>
      <c r="W636" s="403"/>
    </row>
    <row r="637" spans="1:23">
      <c r="A637" s="57">
        <v>37152</v>
      </c>
      <c r="B637" s="387"/>
      <c r="C637" s="395"/>
      <c r="D637" s="139"/>
      <c r="E637" s="139"/>
      <c r="F637" s="139"/>
      <c r="G637" s="389"/>
      <c r="H637" s="389"/>
      <c r="I637" s="389"/>
      <c r="J637" s="389"/>
      <c r="K637" s="139"/>
      <c r="L637" s="139"/>
      <c r="M637" s="403"/>
      <c r="N637" s="403"/>
      <c r="O637" s="403"/>
      <c r="P637" s="403"/>
      <c r="Q637" s="403"/>
      <c r="R637" s="403"/>
      <c r="S637" s="403"/>
      <c r="T637" s="403"/>
      <c r="U637" s="403"/>
      <c r="V637" s="403"/>
      <c r="W637" s="403"/>
    </row>
    <row r="638" spans="1:23">
      <c r="A638" s="57">
        <v>37153</v>
      </c>
      <c r="B638" s="387"/>
      <c r="C638" s="395"/>
      <c r="D638" s="139"/>
      <c r="E638" s="139"/>
      <c r="F638" s="139"/>
      <c r="G638" s="389"/>
      <c r="H638" s="389"/>
      <c r="I638" s="389"/>
      <c r="J638" s="389"/>
      <c r="K638" s="139"/>
      <c r="L638" s="139"/>
      <c r="M638" s="403"/>
      <c r="N638" s="403"/>
      <c r="O638" s="403"/>
      <c r="P638" s="403"/>
      <c r="Q638" s="403"/>
      <c r="R638" s="403"/>
      <c r="S638" s="403"/>
      <c r="T638" s="403"/>
      <c r="U638" s="403"/>
      <c r="V638" s="403"/>
      <c r="W638" s="403"/>
    </row>
    <row r="639" spans="1:23">
      <c r="A639" s="57">
        <v>37154</v>
      </c>
      <c r="B639" s="387"/>
      <c r="C639" s="395"/>
      <c r="D639" s="139"/>
      <c r="E639" s="139"/>
      <c r="F639" s="139"/>
      <c r="G639" s="389"/>
      <c r="H639" s="389"/>
      <c r="I639" s="389"/>
      <c r="J639" s="389"/>
      <c r="K639" s="139"/>
      <c r="L639" s="139"/>
      <c r="M639" s="403"/>
      <c r="N639" s="403"/>
      <c r="O639" s="403"/>
      <c r="P639" s="403"/>
      <c r="Q639" s="403"/>
      <c r="R639" s="403"/>
      <c r="S639" s="403"/>
      <c r="T639" s="403"/>
      <c r="U639" s="403"/>
      <c r="V639" s="403"/>
      <c r="W639" s="403"/>
    </row>
    <row r="640" spans="1:23">
      <c r="A640" s="57">
        <v>37155</v>
      </c>
      <c r="B640" s="387"/>
      <c r="C640" s="395"/>
      <c r="D640" s="139"/>
      <c r="E640" s="139"/>
      <c r="F640" s="139"/>
      <c r="G640" s="389"/>
      <c r="H640" s="389"/>
      <c r="I640" s="389"/>
      <c r="J640" s="389"/>
      <c r="K640" s="139"/>
      <c r="L640" s="139"/>
      <c r="M640" s="403"/>
      <c r="N640" s="403"/>
      <c r="O640" s="403"/>
      <c r="P640" s="403"/>
      <c r="Q640" s="403"/>
      <c r="R640" s="403"/>
      <c r="S640" s="403"/>
      <c r="T640" s="403"/>
      <c r="U640" s="403"/>
      <c r="V640" s="403"/>
      <c r="W640" s="403"/>
    </row>
    <row r="641" spans="1:23">
      <c r="A641" s="57">
        <v>37156</v>
      </c>
      <c r="B641" s="387"/>
      <c r="C641" s="395"/>
      <c r="D641" s="139"/>
      <c r="E641" s="139"/>
      <c r="F641" s="139"/>
      <c r="G641" s="389"/>
      <c r="H641" s="389"/>
      <c r="I641" s="389"/>
      <c r="J641" s="389"/>
      <c r="K641" s="139"/>
      <c r="L641" s="139"/>
      <c r="M641" s="403"/>
      <c r="N641" s="403"/>
      <c r="O641" s="403"/>
      <c r="P641" s="403"/>
      <c r="Q641" s="403"/>
      <c r="R641" s="403"/>
      <c r="S641" s="403"/>
      <c r="T641" s="403"/>
      <c r="U641" s="403"/>
      <c r="V641" s="403"/>
      <c r="W641" s="403"/>
    </row>
    <row r="642" spans="1:23">
      <c r="A642" s="57">
        <v>37157</v>
      </c>
      <c r="B642" s="387"/>
      <c r="C642" s="395"/>
      <c r="D642" s="139"/>
      <c r="E642" s="139"/>
      <c r="F642" s="139"/>
      <c r="G642" s="389"/>
      <c r="H642" s="389"/>
      <c r="I642" s="389"/>
      <c r="J642" s="389"/>
      <c r="K642" s="139"/>
      <c r="L642" s="139"/>
      <c r="M642" s="403"/>
      <c r="N642" s="403"/>
      <c r="O642" s="403"/>
      <c r="P642" s="403"/>
      <c r="Q642" s="403"/>
      <c r="R642" s="403"/>
      <c r="S642" s="403"/>
      <c r="T642" s="403"/>
      <c r="U642" s="403"/>
      <c r="V642" s="403"/>
      <c r="W642" s="403"/>
    </row>
    <row r="643" spans="1:23">
      <c r="A643" s="57">
        <v>37158</v>
      </c>
      <c r="B643" s="387"/>
      <c r="C643" s="395"/>
      <c r="D643" s="139"/>
      <c r="E643" s="139"/>
      <c r="F643" s="139"/>
      <c r="G643" s="389"/>
      <c r="H643" s="389"/>
      <c r="I643" s="389"/>
      <c r="J643" s="389"/>
      <c r="K643" s="139"/>
      <c r="L643" s="139"/>
      <c r="M643" s="403"/>
      <c r="N643" s="403"/>
      <c r="O643" s="403"/>
      <c r="P643" s="403"/>
      <c r="Q643" s="403"/>
      <c r="R643" s="403"/>
      <c r="S643" s="403"/>
      <c r="T643" s="403"/>
      <c r="U643" s="403"/>
      <c r="V643" s="403"/>
      <c r="W643" s="403"/>
    </row>
    <row r="644" spans="1:23">
      <c r="A644" s="57">
        <v>37159</v>
      </c>
      <c r="B644" s="387"/>
      <c r="C644" s="395"/>
      <c r="D644" s="139"/>
      <c r="E644" s="139"/>
      <c r="F644" s="139"/>
      <c r="G644" s="389"/>
      <c r="H644" s="389"/>
      <c r="I644" s="389"/>
      <c r="J644" s="389"/>
      <c r="K644" s="139"/>
      <c r="L644" s="139"/>
      <c r="M644" s="403"/>
      <c r="N644" s="403"/>
      <c r="O644" s="403"/>
      <c r="P644" s="403"/>
      <c r="Q644" s="403"/>
      <c r="R644" s="403"/>
      <c r="S644" s="403"/>
      <c r="T644" s="403"/>
      <c r="U644" s="403"/>
      <c r="V644" s="403"/>
      <c r="W644" s="403"/>
    </row>
    <row r="645" spans="1:23">
      <c r="A645" s="57">
        <v>37160</v>
      </c>
      <c r="B645" s="387"/>
      <c r="C645" s="395"/>
      <c r="D645" s="139"/>
      <c r="E645" s="139"/>
      <c r="F645" s="139"/>
      <c r="G645" s="389"/>
      <c r="H645" s="389"/>
      <c r="I645" s="389"/>
      <c r="J645" s="389"/>
      <c r="K645" s="139"/>
      <c r="L645" s="139"/>
      <c r="M645" s="403"/>
      <c r="N645" s="403"/>
      <c r="O645" s="403"/>
      <c r="P645" s="403"/>
      <c r="Q645" s="403"/>
      <c r="R645" s="403"/>
      <c r="S645" s="403"/>
      <c r="T645" s="403"/>
      <c r="U645" s="403"/>
      <c r="V645" s="403"/>
      <c r="W645" s="403"/>
    </row>
    <row r="646" spans="1:23">
      <c r="A646" s="57">
        <v>37161</v>
      </c>
      <c r="B646" s="387"/>
      <c r="C646" s="395"/>
      <c r="D646" s="139"/>
      <c r="E646" s="139"/>
      <c r="F646" s="139"/>
      <c r="G646" s="389"/>
      <c r="H646" s="389"/>
      <c r="I646" s="389"/>
      <c r="J646" s="389"/>
      <c r="K646" s="139"/>
      <c r="L646" s="139"/>
      <c r="M646" s="403"/>
      <c r="N646" s="403"/>
      <c r="O646" s="403"/>
      <c r="P646" s="403"/>
      <c r="Q646" s="403"/>
      <c r="R646" s="403"/>
      <c r="S646" s="403"/>
      <c r="T646" s="403"/>
      <c r="U646" s="403"/>
      <c r="V646" s="403"/>
      <c r="W646" s="403"/>
    </row>
    <row r="647" spans="1:23">
      <c r="A647" s="57">
        <v>37162</v>
      </c>
      <c r="B647" s="387"/>
      <c r="C647" s="395"/>
      <c r="D647" s="139"/>
      <c r="E647" s="139"/>
      <c r="F647" s="139"/>
      <c r="G647" s="389"/>
      <c r="H647" s="389"/>
      <c r="I647" s="389"/>
      <c r="J647" s="389"/>
      <c r="K647" s="139"/>
      <c r="L647" s="139"/>
      <c r="M647" s="403"/>
      <c r="N647" s="403"/>
      <c r="O647" s="403"/>
      <c r="P647" s="403"/>
      <c r="Q647" s="403"/>
      <c r="R647" s="403"/>
      <c r="S647" s="403"/>
      <c r="T647" s="403"/>
      <c r="U647" s="403"/>
      <c r="V647" s="403"/>
      <c r="W647" s="403"/>
    </row>
    <row r="648" spans="1:23">
      <c r="A648" s="57">
        <v>37163</v>
      </c>
      <c r="B648" s="387"/>
      <c r="C648" s="395"/>
      <c r="D648" s="139"/>
      <c r="E648" s="139"/>
      <c r="F648" s="139"/>
      <c r="G648" s="389"/>
      <c r="H648" s="389"/>
      <c r="I648" s="389"/>
      <c r="J648" s="389"/>
      <c r="K648" s="139"/>
      <c r="L648" s="139"/>
      <c r="M648" s="403"/>
      <c r="N648" s="403"/>
      <c r="O648" s="403"/>
      <c r="P648" s="403"/>
      <c r="Q648" s="403"/>
      <c r="R648" s="403"/>
      <c r="S648" s="403"/>
      <c r="T648" s="403"/>
      <c r="U648" s="403"/>
      <c r="V648" s="403"/>
      <c r="W648" s="403"/>
    </row>
    <row r="649" spans="1:23">
      <c r="A649" s="57">
        <v>37164</v>
      </c>
      <c r="B649" s="387"/>
      <c r="C649" s="395"/>
      <c r="D649" s="139"/>
      <c r="E649" s="139"/>
      <c r="F649" s="139"/>
      <c r="G649" s="389"/>
      <c r="H649" s="389"/>
      <c r="I649" s="389"/>
      <c r="J649" s="389"/>
      <c r="K649" s="139"/>
      <c r="L649" s="139"/>
      <c r="M649" s="403"/>
      <c r="N649" s="403"/>
      <c r="O649" s="403"/>
      <c r="P649" s="403"/>
      <c r="Q649" s="403"/>
      <c r="R649" s="403"/>
      <c r="S649" s="403"/>
      <c r="T649" s="403"/>
      <c r="U649" s="403"/>
      <c r="V649" s="403"/>
      <c r="W649" s="403"/>
    </row>
    <row r="650" spans="1:23">
      <c r="A650" s="57">
        <v>37165</v>
      </c>
      <c r="B650" s="387"/>
      <c r="C650" s="395"/>
      <c r="D650" s="139"/>
      <c r="E650" s="139"/>
      <c r="F650" s="139"/>
      <c r="G650" s="389"/>
      <c r="H650" s="389"/>
      <c r="I650" s="389"/>
      <c r="J650" s="389"/>
      <c r="K650" s="139"/>
      <c r="L650" s="139"/>
      <c r="M650" s="403"/>
      <c r="N650" s="403"/>
      <c r="O650" s="403"/>
      <c r="P650" s="403"/>
      <c r="Q650" s="403"/>
      <c r="R650" s="403"/>
      <c r="S650" s="403"/>
      <c r="T650" s="403"/>
      <c r="U650" s="403"/>
      <c r="V650" s="403"/>
      <c r="W650" s="403"/>
    </row>
    <row r="651" spans="1:23">
      <c r="A651" s="57">
        <v>37166</v>
      </c>
      <c r="B651" s="387"/>
      <c r="C651" s="395"/>
      <c r="D651" s="139"/>
      <c r="E651" s="139"/>
      <c r="F651" s="139"/>
      <c r="G651" s="389"/>
      <c r="H651" s="389"/>
      <c r="I651" s="389"/>
      <c r="J651" s="389"/>
      <c r="K651" s="139"/>
      <c r="L651" s="139"/>
      <c r="M651" s="403"/>
      <c r="N651" s="403"/>
      <c r="O651" s="403"/>
      <c r="P651" s="403"/>
      <c r="Q651" s="403"/>
      <c r="R651" s="403"/>
      <c r="S651" s="403"/>
      <c r="T651" s="403"/>
      <c r="U651" s="403"/>
      <c r="V651" s="403"/>
      <c r="W651" s="403"/>
    </row>
    <row r="652" spans="1:23">
      <c r="A652" s="57">
        <v>37167</v>
      </c>
      <c r="B652" s="387"/>
      <c r="C652" s="395"/>
      <c r="D652" s="139"/>
      <c r="E652" s="139"/>
      <c r="F652" s="139"/>
      <c r="G652" s="389"/>
      <c r="H652" s="389"/>
      <c r="I652" s="389"/>
      <c r="J652" s="389"/>
      <c r="K652" s="139"/>
      <c r="L652" s="139"/>
      <c r="M652" s="403"/>
      <c r="N652" s="403"/>
      <c r="O652" s="403"/>
      <c r="P652" s="403"/>
      <c r="Q652" s="403"/>
      <c r="R652" s="403"/>
      <c r="S652" s="403"/>
      <c r="T652" s="403"/>
      <c r="U652" s="403"/>
      <c r="V652" s="403"/>
      <c r="W652" s="403"/>
    </row>
    <row r="653" spans="1:23">
      <c r="A653" s="57">
        <v>37168</v>
      </c>
      <c r="B653" s="387"/>
      <c r="C653" s="395"/>
      <c r="D653" s="139"/>
      <c r="E653" s="139"/>
      <c r="F653" s="139"/>
      <c r="G653" s="389"/>
      <c r="H653" s="389"/>
      <c r="I653" s="389"/>
      <c r="J653" s="389"/>
      <c r="K653" s="139"/>
      <c r="L653" s="139"/>
      <c r="M653" s="403"/>
      <c r="N653" s="403"/>
      <c r="O653" s="403"/>
      <c r="P653" s="403"/>
      <c r="Q653" s="403"/>
      <c r="R653" s="403"/>
      <c r="S653" s="403"/>
      <c r="T653" s="403"/>
      <c r="U653" s="403"/>
      <c r="V653" s="403"/>
      <c r="W653" s="403"/>
    </row>
    <row r="654" spans="1:23">
      <c r="A654" s="57">
        <v>37169</v>
      </c>
      <c r="B654" s="387"/>
      <c r="C654" s="395"/>
      <c r="D654" s="139"/>
      <c r="E654" s="139"/>
      <c r="F654" s="139"/>
      <c r="G654" s="389"/>
      <c r="H654" s="389"/>
      <c r="I654" s="389"/>
      <c r="J654" s="389"/>
      <c r="K654" s="139"/>
      <c r="L654" s="139"/>
      <c r="M654" s="403"/>
      <c r="N654" s="403"/>
      <c r="O654" s="403"/>
      <c r="P654" s="403"/>
      <c r="Q654" s="403"/>
      <c r="R654" s="403"/>
      <c r="S654" s="403"/>
      <c r="T654" s="403"/>
      <c r="U654" s="403"/>
      <c r="V654" s="403"/>
      <c r="W654" s="403"/>
    </row>
    <row r="655" spans="1:23">
      <c r="A655" s="57">
        <v>37170</v>
      </c>
      <c r="B655" s="386"/>
      <c r="C655" s="396"/>
      <c r="D655" s="139"/>
      <c r="E655" s="139"/>
      <c r="F655" s="139"/>
      <c r="G655" s="389"/>
      <c r="H655" s="389"/>
      <c r="I655" s="389"/>
      <c r="J655" s="389"/>
      <c r="K655" s="139"/>
      <c r="L655" s="139"/>
      <c r="M655" s="403"/>
      <c r="N655" s="403"/>
      <c r="O655" s="403"/>
      <c r="P655" s="403"/>
      <c r="Q655" s="403"/>
      <c r="R655" s="403"/>
      <c r="S655" s="403"/>
      <c r="T655" s="403"/>
      <c r="U655" s="403"/>
      <c r="V655" s="403"/>
      <c r="W655" s="403"/>
    </row>
    <row r="656" spans="1:23">
      <c r="A656" s="57">
        <v>37171</v>
      </c>
      <c r="B656" s="386"/>
      <c r="C656" s="396"/>
      <c r="D656" s="139"/>
      <c r="E656" s="139"/>
      <c r="F656" s="139"/>
      <c r="G656" s="389"/>
      <c r="H656" s="389"/>
      <c r="I656" s="389"/>
      <c r="J656" s="389"/>
      <c r="K656" s="139"/>
      <c r="L656" s="139"/>
      <c r="M656" s="403"/>
      <c r="N656" s="403"/>
      <c r="O656" s="403"/>
      <c r="P656" s="403"/>
      <c r="Q656" s="403"/>
      <c r="R656" s="403"/>
      <c r="S656" s="403"/>
      <c r="T656" s="403"/>
      <c r="U656" s="403"/>
      <c r="V656" s="403"/>
      <c r="W656" s="403"/>
    </row>
    <row r="657" spans="1:23">
      <c r="A657" s="57">
        <v>37172</v>
      </c>
      <c r="B657" s="386"/>
      <c r="C657" s="396"/>
      <c r="D657" s="139"/>
      <c r="E657" s="139"/>
      <c r="F657" s="139"/>
      <c r="G657" s="389"/>
      <c r="H657" s="389"/>
      <c r="I657" s="389"/>
      <c r="J657" s="389"/>
      <c r="K657" s="139"/>
      <c r="L657" s="139"/>
      <c r="M657" s="403"/>
      <c r="N657" s="403"/>
      <c r="O657" s="403"/>
      <c r="P657" s="403"/>
      <c r="Q657" s="403"/>
      <c r="R657" s="403"/>
      <c r="S657" s="403"/>
      <c r="T657" s="403"/>
      <c r="U657" s="403"/>
      <c r="V657" s="403"/>
      <c r="W657" s="403"/>
    </row>
    <row r="658" spans="1:23">
      <c r="A658" s="57">
        <v>37173</v>
      </c>
      <c r="B658" s="386"/>
      <c r="C658" s="396"/>
      <c r="D658" s="139"/>
      <c r="E658" s="139"/>
      <c r="F658" s="139"/>
      <c r="G658" s="389"/>
      <c r="H658" s="389"/>
      <c r="I658" s="389"/>
      <c r="J658" s="389"/>
      <c r="K658" s="139"/>
      <c r="L658" s="139"/>
      <c r="M658" s="403"/>
      <c r="N658" s="403"/>
      <c r="O658" s="403"/>
      <c r="P658" s="403"/>
      <c r="Q658" s="403"/>
      <c r="R658" s="403"/>
      <c r="S658" s="403"/>
      <c r="T658" s="403"/>
      <c r="U658" s="403"/>
      <c r="V658" s="403"/>
      <c r="W658" s="403"/>
    </row>
    <row r="659" spans="1:23">
      <c r="A659" s="57">
        <v>37174</v>
      </c>
      <c r="B659" s="386"/>
      <c r="C659" s="396"/>
      <c r="D659" s="139"/>
      <c r="E659" s="139"/>
      <c r="F659" s="139"/>
      <c r="G659" s="389"/>
      <c r="H659" s="389"/>
      <c r="I659" s="389"/>
      <c r="J659" s="389"/>
      <c r="K659" s="139"/>
      <c r="L659" s="139"/>
      <c r="M659" s="403"/>
      <c r="N659" s="403"/>
      <c r="O659" s="403"/>
      <c r="P659" s="403"/>
      <c r="Q659" s="403"/>
      <c r="R659" s="403"/>
      <c r="S659" s="403"/>
      <c r="T659" s="403"/>
      <c r="U659" s="403"/>
      <c r="V659" s="403"/>
      <c r="W659" s="403"/>
    </row>
    <row r="660" spans="1:23">
      <c r="A660" s="57">
        <v>37175</v>
      </c>
      <c r="B660" s="386"/>
      <c r="C660" s="396"/>
      <c r="D660" s="139"/>
      <c r="E660" s="139"/>
      <c r="F660" s="139"/>
      <c r="G660" s="389"/>
      <c r="H660" s="389"/>
      <c r="I660" s="389"/>
      <c r="J660" s="389"/>
      <c r="K660" s="139"/>
      <c r="L660" s="139"/>
      <c r="M660" s="403"/>
      <c r="N660" s="403"/>
      <c r="O660" s="403"/>
      <c r="P660" s="403"/>
      <c r="Q660" s="403"/>
      <c r="R660" s="403"/>
      <c r="S660" s="403"/>
      <c r="T660" s="403"/>
      <c r="U660" s="403"/>
      <c r="V660" s="403"/>
      <c r="W660" s="403"/>
    </row>
    <row r="661" spans="1:23">
      <c r="A661" s="57">
        <v>37176</v>
      </c>
      <c r="B661" s="386"/>
      <c r="C661" s="396"/>
      <c r="D661" s="139"/>
      <c r="E661" s="139"/>
      <c r="F661" s="139"/>
      <c r="G661" s="389"/>
      <c r="H661" s="389"/>
      <c r="I661" s="389"/>
      <c r="J661" s="389"/>
      <c r="K661" s="139"/>
      <c r="L661" s="139"/>
      <c r="M661" s="403"/>
      <c r="N661" s="403"/>
      <c r="O661" s="403"/>
      <c r="P661" s="403"/>
      <c r="Q661" s="403"/>
      <c r="R661" s="403"/>
      <c r="S661" s="403"/>
      <c r="T661" s="403"/>
      <c r="U661" s="403"/>
      <c r="V661" s="403"/>
      <c r="W661" s="403"/>
    </row>
    <row r="662" spans="1:23">
      <c r="A662" s="57">
        <v>37177</v>
      </c>
      <c r="B662" s="386"/>
      <c r="C662" s="396"/>
      <c r="D662" s="139"/>
      <c r="E662" s="139"/>
      <c r="F662" s="139"/>
      <c r="G662" s="389"/>
      <c r="H662" s="389"/>
      <c r="I662" s="389"/>
      <c r="J662" s="389"/>
      <c r="K662" s="139"/>
      <c r="L662" s="139"/>
      <c r="M662" s="403"/>
      <c r="N662" s="403"/>
      <c r="O662" s="403"/>
      <c r="P662" s="403"/>
      <c r="Q662" s="403"/>
      <c r="R662" s="403"/>
      <c r="S662" s="403"/>
      <c r="T662" s="403"/>
      <c r="U662" s="403"/>
      <c r="V662" s="403"/>
      <c r="W662" s="403"/>
    </row>
    <row r="663" spans="1:23">
      <c r="A663" s="57">
        <v>37178</v>
      </c>
      <c r="B663" s="386"/>
      <c r="C663" s="396"/>
      <c r="D663" s="139"/>
      <c r="E663" s="139"/>
      <c r="F663" s="139"/>
      <c r="G663" s="389"/>
      <c r="H663" s="389"/>
      <c r="I663" s="389"/>
      <c r="J663" s="389"/>
      <c r="K663" s="139"/>
      <c r="L663" s="139"/>
      <c r="M663" s="403"/>
      <c r="N663" s="403"/>
      <c r="O663" s="403"/>
      <c r="P663" s="403"/>
      <c r="Q663" s="403"/>
      <c r="R663" s="403"/>
      <c r="S663" s="403"/>
      <c r="T663" s="403"/>
      <c r="U663" s="403"/>
      <c r="V663" s="403"/>
      <c r="W663" s="403"/>
    </row>
    <row r="664" spans="1:23">
      <c r="A664" s="57">
        <v>37179</v>
      </c>
      <c r="B664" s="386"/>
      <c r="C664" s="396"/>
      <c r="D664" s="139"/>
      <c r="E664" s="139"/>
      <c r="F664" s="139"/>
      <c r="G664" s="389"/>
      <c r="H664" s="389"/>
      <c r="I664" s="389"/>
      <c r="J664" s="389"/>
      <c r="K664" s="139"/>
      <c r="L664" s="139"/>
      <c r="M664" s="403"/>
      <c r="N664" s="403"/>
      <c r="O664" s="403"/>
      <c r="P664" s="403"/>
      <c r="Q664" s="403"/>
      <c r="R664" s="403"/>
      <c r="S664" s="403"/>
      <c r="T664" s="403"/>
      <c r="U664" s="403"/>
      <c r="V664" s="403"/>
      <c r="W664" s="403"/>
    </row>
    <row r="665" spans="1:23">
      <c r="A665" s="57">
        <v>37180</v>
      </c>
      <c r="B665" s="386"/>
      <c r="C665" s="396"/>
      <c r="D665" s="139"/>
      <c r="E665" s="139"/>
      <c r="F665" s="139"/>
      <c r="G665" s="389"/>
      <c r="H665" s="389"/>
      <c r="I665" s="389"/>
      <c r="J665" s="389"/>
      <c r="K665" s="139"/>
      <c r="L665" s="139"/>
      <c r="M665" s="403"/>
      <c r="N665" s="403"/>
      <c r="O665" s="403"/>
      <c r="P665" s="403"/>
      <c r="Q665" s="403"/>
      <c r="R665" s="403"/>
      <c r="S665" s="403"/>
      <c r="T665" s="403"/>
      <c r="U665" s="403"/>
      <c r="V665" s="403"/>
      <c r="W665" s="403"/>
    </row>
    <row r="666" spans="1:23">
      <c r="A666" s="57">
        <v>37181</v>
      </c>
      <c r="B666" s="386"/>
      <c r="C666" s="396"/>
      <c r="D666" s="139"/>
      <c r="E666" s="139"/>
      <c r="F666" s="139"/>
      <c r="G666" s="389"/>
      <c r="H666" s="389"/>
      <c r="I666" s="389"/>
      <c r="J666" s="389"/>
      <c r="K666" s="139"/>
      <c r="L666" s="139"/>
      <c r="M666" s="403"/>
      <c r="N666" s="403"/>
      <c r="O666" s="403"/>
      <c r="P666" s="403"/>
      <c r="Q666" s="403"/>
      <c r="R666" s="403"/>
      <c r="S666" s="403"/>
      <c r="T666" s="403"/>
      <c r="U666" s="403"/>
      <c r="V666" s="403"/>
      <c r="W666" s="403"/>
    </row>
    <row r="667" spans="1:23">
      <c r="A667" s="57">
        <v>37182</v>
      </c>
      <c r="B667" s="386"/>
      <c r="C667" s="396"/>
      <c r="D667" s="139"/>
      <c r="E667" s="139"/>
      <c r="F667" s="139"/>
      <c r="G667" s="389"/>
      <c r="H667" s="389"/>
      <c r="I667" s="389"/>
      <c r="J667" s="389"/>
      <c r="K667" s="139"/>
      <c r="L667" s="139"/>
      <c r="M667" s="403"/>
      <c r="N667" s="403"/>
      <c r="O667" s="403"/>
      <c r="P667" s="403"/>
      <c r="Q667" s="403"/>
      <c r="R667" s="403"/>
      <c r="S667" s="403"/>
      <c r="T667" s="403"/>
      <c r="U667" s="403"/>
      <c r="V667" s="403"/>
      <c r="W667" s="403"/>
    </row>
    <row r="668" spans="1:23">
      <c r="A668" s="57">
        <v>37183</v>
      </c>
      <c r="B668" s="386"/>
      <c r="C668" s="396"/>
      <c r="D668" s="139"/>
      <c r="E668" s="139"/>
      <c r="F668" s="139"/>
      <c r="G668" s="389"/>
      <c r="H668" s="389"/>
      <c r="I668" s="389"/>
      <c r="J668" s="389"/>
      <c r="K668" s="139"/>
      <c r="L668" s="139"/>
      <c r="M668" s="403"/>
      <c r="N668" s="403"/>
      <c r="O668" s="403"/>
      <c r="P668" s="403"/>
      <c r="Q668" s="403"/>
      <c r="R668" s="403"/>
      <c r="S668" s="403"/>
      <c r="T668" s="403"/>
      <c r="U668" s="403"/>
      <c r="V668" s="403"/>
      <c r="W668" s="403"/>
    </row>
    <row r="669" spans="1:23">
      <c r="A669" s="57">
        <v>37184</v>
      </c>
      <c r="B669" s="386"/>
      <c r="C669" s="396"/>
      <c r="D669" s="139"/>
      <c r="E669" s="139"/>
      <c r="F669" s="139"/>
      <c r="G669" s="389"/>
      <c r="H669" s="389"/>
      <c r="I669" s="389"/>
      <c r="J669" s="389"/>
      <c r="K669" s="139"/>
      <c r="L669" s="139"/>
      <c r="M669" s="403"/>
      <c r="N669" s="403"/>
      <c r="O669" s="403"/>
      <c r="P669" s="403"/>
      <c r="Q669" s="403"/>
      <c r="R669" s="403"/>
      <c r="S669" s="403"/>
      <c r="T669" s="403"/>
      <c r="U669" s="403"/>
      <c r="V669" s="403"/>
      <c r="W669" s="403"/>
    </row>
    <row r="670" spans="1:23">
      <c r="A670" s="57">
        <v>37185</v>
      </c>
      <c r="B670" s="386"/>
      <c r="C670" s="396"/>
      <c r="D670" s="139"/>
      <c r="E670" s="139"/>
      <c r="F670" s="139"/>
      <c r="G670" s="389"/>
      <c r="H670" s="389"/>
      <c r="I670" s="389"/>
      <c r="J670" s="389"/>
      <c r="K670" s="139"/>
      <c r="L670" s="139"/>
      <c r="M670" s="403"/>
      <c r="N670" s="403"/>
      <c r="O670" s="403"/>
      <c r="P670" s="403"/>
      <c r="Q670" s="403"/>
      <c r="R670" s="403"/>
      <c r="S670" s="403"/>
      <c r="T670" s="403"/>
      <c r="U670" s="403"/>
      <c r="V670" s="403"/>
      <c r="W670" s="403"/>
    </row>
    <row r="671" spans="1:23">
      <c r="A671" s="57">
        <v>37186</v>
      </c>
      <c r="B671" s="386"/>
      <c r="C671" s="396"/>
      <c r="D671" s="139"/>
      <c r="E671" s="139"/>
      <c r="F671" s="139"/>
      <c r="G671" s="389"/>
      <c r="H671" s="389"/>
      <c r="I671" s="389"/>
      <c r="J671" s="389"/>
      <c r="K671" s="139"/>
      <c r="L671" s="139"/>
      <c r="M671" s="403"/>
      <c r="N671" s="403"/>
      <c r="O671" s="403"/>
      <c r="P671" s="403"/>
      <c r="Q671" s="403"/>
      <c r="R671" s="403"/>
      <c r="S671" s="403"/>
      <c r="T671" s="403"/>
      <c r="U671" s="403"/>
      <c r="V671" s="403"/>
      <c r="W671" s="403"/>
    </row>
    <row r="672" spans="1:23">
      <c r="A672" s="57">
        <v>37187</v>
      </c>
      <c r="B672" s="386"/>
      <c r="C672" s="396"/>
      <c r="D672" s="139"/>
      <c r="E672" s="139"/>
      <c r="F672" s="139"/>
      <c r="G672" s="389"/>
      <c r="H672" s="389"/>
      <c r="I672" s="389"/>
      <c r="J672" s="389"/>
      <c r="K672" s="139"/>
      <c r="L672" s="139"/>
      <c r="M672" s="403"/>
      <c r="N672" s="403"/>
      <c r="O672" s="403"/>
      <c r="P672" s="403"/>
      <c r="Q672" s="403"/>
      <c r="R672" s="403"/>
      <c r="S672" s="403"/>
      <c r="T672" s="403"/>
      <c r="U672" s="403"/>
      <c r="V672" s="403"/>
      <c r="W672" s="403"/>
    </row>
    <row r="673" spans="1:23">
      <c r="A673" s="57">
        <v>37188</v>
      </c>
      <c r="B673" s="386"/>
      <c r="C673" s="396"/>
      <c r="D673" s="139"/>
      <c r="E673" s="139"/>
      <c r="F673" s="139"/>
      <c r="G673" s="389"/>
      <c r="H673" s="389"/>
      <c r="I673" s="389"/>
      <c r="J673" s="389"/>
      <c r="K673" s="139"/>
      <c r="L673" s="139"/>
      <c r="M673" s="403"/>
      <c r="N673" s="403"/>
      <c r="O673" s="403"/>
      <c r="P673" s="403"/>
      <c r="Q673" s="403"/>
      <c r="R673" s="403"/>
      <c r="S673" s="403"/>
      <c r="T673" s="403"/>
      <c r="U673" s="403"/>
      <c r="V673" s="403"/>
      <c r="W673" s="403"/>
    </row>
    <row r="674" spans="1:23">
      <c r="A674" s="57">
        <v>37189</v>
      </c>
      <c r="B674" s="386"/>
      <c r="C674" s="396"/>
      <c r="D674" s="139"/>
      <c r="E674" s="139"/>
      <c r="F674" s="139"/>
      <c r="G674" s="389"/>
      <c r="H674" s="389"/>
      <c r="I674" s="389"/>
      <c r="J674" s="389"/>
      <c r="K674" s="139"/>
      <c r="L674" s="139"/>
      <c r="M674" s="403"/>
      <c r="N674" s="403"/>
      <c r="O674" s="403"/>
      <c r="P674" s="403"/>
      <c r="Q674" s="403"/>
      <c r="R674" s="403"/>
      <c r="S674" s="403"/>
      <c r="T674" s="403"/>
      <c r="U674" s="403"/>
      <c r="V674" s="403"/>
      <c r="W674" s="403"/>
    </row>
    <row r="675" spans="1:23">
      <c r="A675" s="57">
        <v>37190</v>
      </c>
      <c r="B675" s="386"/>
      <c r="C675" s="396"/>
      <c r="D675" s="139"/>
      <c r="E675" s="139"/>
      <c r="F675" s="139"/>
      <c r="G675" s="389"/>
      <c r="H675" s="389"/>
      <c r="I675" s="389"/>
      <c r="J675" s="389"/>
      <c r="K675" s="139"/>
      <c r="L675" s="139"/>
      <c r="M675" s="403"/>
      <c r="N675" s="403"/>
      <c r="O675" s="403"/>
      <c r="P675" s="403"/>
      <c r="Q675" s="403"/>
      <c r="R675" s="403"/>
      <c r="S675" s="403"/>
      <c r="T675" s="403"/>
      <c r="U675" s="403"/>
      <c r="V675" s="403"/>
      <c r="W675" s="403"/>
    </row>
    <row r="676" spans="1:23">
      <c r="A676" s="57">
        <v>37191</v>
      </c>
      <c r="B676" s="386"/>
      <c r="C676" s="396"/>
      <c r="D676" s="139"/>
      <c r="E676" s="139"/>
      <c r="F676" s="139"/>
      <c r="G676" s="389"/>
      <c r="H676" s="389"/>
      <c r="I676" s="389"/>
      <c r="J676" s="389"/>
      <c r="K676" s="139"/>
      <c r="L676" s="139"/>
      <c r="M676" s="403"/>
      <c r="N676" s="403"/>
      <c r="O676" s="403"/>
      <c r="P676" s="403"/>
      <c r="Q676" s="403"/>
      <c r="R676" s="403"/>
      <c r="S676" s="403"/>
      <c r="T676" s="403"/>
      <c r="U676" s="403"/>
      <c r="V676" s="403"/>
      <c r="W676" s="403"/>
    </row>
    <row r="677" spans="1:23">
      <c r="A677" s="57">
        <v>37192</v>
      </c>
      <c r="B677" s="386"/>
      <c r="C677" s="396"/>
      <c r="D677" s="139"/>
      <c r="E677" s="139"/>
      <c r="F677" s="139"/>
      <c r="G677" s="389"/>
      <c r="H677" s="389"/>
      <c r="I677" s="389"/>
      <c r="J677" s="389"/>
      <c r="K677" s="139"/>
      <c r="L677" s="139"/>
      <c r="M677" s="403"/>
      <c r="N677" s="403"/>
      <c r="O677" s="403"/>
      <c r="P677" s="403"/>
      <c r="Q677" s="403"/>
      <c r="R677" s="403"/>
      <c r="S677" s="403"/>
      <c r="T677" s="403"/>
      <c r="U677" s="403"/>
      <c r="V677" s="403"/>
      <c r="W677" s="403"/>
    </row>
    <row r="678" spans="1:23">
      <c r="A678" s="57">
        <v>37193</v>
      </c>
      <c r="B678" s="386"/>
      <c r="C678" s="396"/>
      <c r="D678" s="139"/>
      <c r="E678" s="139"/>
      <c r="F678" s="139"/>
      <c r="G678" s="389"/>
      <c r="H678" s="389"/>
      <c r="I678" s="389"/>
      <c r="J678" s="389"/>
      <c r="K678" s="139"/>
      <c r="L678" s="139"/>
      <c r="M678" s="403"/>
      <c r="N678" s="403"/>
      <c r="O678" s="403"/>
      <c r="P678" s="403"/>
      <c r="Q678" s="403"/>
      <c r="R678" s="403"/>
      <c r="S678" s="403"/>
      <c r="T678" s="403"/>
      <c r="U678" s="403"/>
      <c r="V678" s="403"/>
      <c r="W678" s="403"/>
    </row>
    <row r="679" spans="1:23">
      <c r="A679" s="57">
        <v>37194</v>
      </c>
      <c r="B679" s="386"/>
      <c r="C679" s="396"/>
      <c r="D679" s="139"/>
      <c r="E679" s="139"/>
      <c r="F679" s="139"/>
      <c r="G679" s="389"/>
      <c r="H679" s="389"/>
      <c r="I679" s="389"/>
      <c r="J679" s="389"/>
      <c r="K679" s="139"/>
      <c r="L679" s="139"/>
      <c r="M679" s="403"/>
      <c r="N679" s="403"/>
      <c r="O679" s="403"/>
      <c r="P679" s="403"/>
      <c r="Q679" s="403"/>
      <c r="R679" s="403"/>
      <c r="S679" s="403"/>
      <c r="T679" s="403"/>
      <c r="U679" s="403"/>
      <c r="V679" s="403"/>
      <c r="W679" s="403"/>
    </row>
    <row r="680" spans="1:23">
      <c r="A680" s="57">
        <v>37195</v>
      </c>
      <c r="B680" s="386"/>
      <c r="C680" s="396"/>
      <c r="D680" s="139"/>
      <c r="E680" s="139"/>
      <c r="F680" s="139"/>
      <c r="G680" s="389"/>
      <c r="H680" s="389"/>
      <c r="I680" s="389"/>
      <c r="J680" s="389"/>
      <c r="K680" s="139"/>
      <c r="L680" s="139"/>
      <c r="M680" s="403"/>
      <c r="N680" s="403"/>
      <c r="O680" s="403"/>
      <c r="P680" s="403"/>
      <c r="Q680" s="403"/>
      <c r="R680" s="403"/>
      <c r="S680" s="403"/>
      <c r="T680" s="403"/>
      <c r="U680" s="403"/>
      <c r="V680" s="403"/>
      <c r="W680" s="403"/>
    </row>
    <row r="681" spans="1:23">
      <c r="A681" s="57">
        <v>37196</v>
      </c>
      <c r="B681" s="386"/>
      <c r="C681" s="396"/>
      <c r="D681" s="139"/>
      <c r="E681" s="139"/>
      <c r="F681" s="139"/>
      <c r="G681" s="389"/>
      <c r="H681" s="389"/>
      <c r="I681" s="389"/>
      <c r="J681" s="389"/>
      <c r="K681" s="139"/>
      <c r="L681" s="139"/>
      <c r="M681" s="403"/>
      <c r="N681" s="403"/>
      <c r="O681" s="403"/>
      <c r="P681" s="403"/>
      <c r="Q681" s="403"/>
      <c r="R681" s="403"/>
      <c r="S681" s="403"/>
      <c r="T681" s="403"/>
      <c r="U681" s="403"/>
      <c r="V681" s="403"/>
      <c r="W681" s="403"/>
    </row>
    <row r="682" spans="1:23">
      <c r="A682" s="57">
        <v>37197</v>
      </c>
      <c r="B682" s="386"/>
      <c r="C682" s="396"/>
      <c r="D682" s="139"/>
      <c r="E682" s="139"/>
      <c r="F682" s="139"/>
      <c r="G682" s="389"/>
      <c r="H682" s="389"/>
      <c r="I682" s="389"/>
      <c r="J682" s="389"/>
      <c r="K682" s="139"/>
      <c r="L682" s="139"/>
      <c r="M682" s="403"/>
      <c r="N682" s="403"/>
      <c r="O682" s="403"/>
      <c r="P682" s="403"/>
      <c r="Q682" s="403"/>
      <c r="R682" s="403"/>
      <c r="S682" s="403"/>
      <c r="T682" s="403"/>
      <c r="U682" s="403"/>
      <c r="V682" s="403"/>
      <c r="W682" s="403"/>
    </row>
    <row r="683" spans="1:23">
      <c r="A683" s="57">
        <v>37198</v>
      </c>
      <c r="B683" s="386"/>
      <c r="C683" s="396"/>
      <c r="D683" s="139"/>
      <c r="E683" s="139"/>
      <c r="F683" s="139"/>
      <c r="G683" s="389"/>
      <c r="H683" s="389"/>
      <c r="I683" s="389"/>
      <c r="J683" s="389"/>
      <c r="K683" s="139"/>
      <c r="L683" s="139"/>
      <c r="M683" s="403"/>
      <c r="N683" s="403"/>
      <c r="O683" s="403"/>
      <c r="P683" s="403"/>
      <c r="Q683" s="403"/>
      <c r="R683" s="403"/>
      <c r="S683" s="403"/>
      <c r="T683" s="403"/>
      <c r="U683" s="403"/>
      <c r="V683" s="403"/>
      <c r="W683" s="403"/>
    </row>
    <row r="684" spans="1:23">
      <c r="A684" s="57">
        <v>37199</v>
      </c>
      <c r="B684" s="386"/>
      <c r="C684" s="396"/>
      <c r="D684" s="139"/>
      <c r="E684" s="139"/>
      <c r="F684" s="139"/>
      <c r="G684" s="389"/>
      <c r="H684" s="389"/>
      <c r="I684" s="389"/>
      <c r="J684" s="389"/>
      <c r="K684" s="139"/>
      <c r="L684" s="139"/>
      <c r="M684" s="403"/>
      <c r="N684" s="403"/>
      <c r="O684" s="403"/>
      <c r="P684" s="403"/>
      <c r="Q684" s="403"/>
      <c r="R684" s="403"/>
      <c r="S684" s="403"/>
      <c r="T684" s="403"/>
      <c r="U684" s="403"/>
      <c r="V684" s="403"/>
      <c r="W684" s="403"/>
    </row>
    <row r="685" spans="1:23">
      <c r="A685" s="57">
        <v>37200</v>
      </c>
      <c r="B685" s="386"/>
      <c r="C685" s="396"/>
      <c r="D685" s="139"/>
      <c r="E685" s="139"/>
      <c r="F685" s="139"/>
      <c r="G685" s="389"/>
      <c r="H685" s="389"/>
      <c r="I685" s="389"/>
      <c r="J685" s="389"/>
      <c r="K685" s="139"/>
      <c r="L685" s="139"/>
      <c r="M685" s="403"/>
      <c r="N685" s="403"/>
      <c r="O685" s="403"/>
      <c r="P685" s="403"/>
      <c r="Q685" s="403"/>
      <c r="R685" s="403"/>
      <c r="S685" s="403"/>
      <c r="T685" s="403"/>
      <c r="U685" s="403"/>
      <c r="V685" s="403"/>
      <c r="W685" s="403"/>
    </row>
    <row r="686" spans="1:23">
      <c r="A686" s="57">
        <v>37201</v>
      </c>
      <c r="B686" s="386"/>
      <c r="C686" s="396"/>
      <c r="D686" s="139"/>
      <c r="E686" s="139"/>
      <c r="F686" s="139"/>
      <c r="G686" s="389"/>
      <c r="H686" s="389"/>
      <c r="I686" s="389"/>
      <c r="J686" s="389"/>
      <c r="K686" s="139"/>
      <c r="L686" s="139"/>
      <c r="M686" s="403"/>
      <c r="N686" s="403"/>
      <c r="O686" s="403"/>
      <c r="P686" s="403"/>
      <c r="Q686" s="403"/>
      <c r="R686" s="403"/>
      <c r="S686" s="403"/>
      <c r="T686" s="403"/>
      <c r="U686" s="403"/>
      <c r="V686" s="403"/>
      <c r="W686" s="403"/>
    </row>
    <row r="687" spans="1:23">
      <c r="A687" s="57">
        <v>37202</v>
      </c>
      <c r="B687" s="386"/>
      <c r="C687" s="396"/>
      <c r="D687" s="139"/>
      <c r="E687" s="139"/>
      <c r="F687" s="139"/>
      <c r="G687" s="389"/>
      <c r="H687" s="389"/>
      <c r="I687" s="389"/>
      <c r="J687" s="389"/>
      <c r="K687" s="139"/>
      <c r="L687" s="139"/>
      <c r="M687" s="403"/>
      <c r="N687" s="403"/>
      <c r="O687" s="403"/>
      <c r="P687" s="403"/>
      <c r="Q687" s="403"/>
      <c r="R687" s="403"/>
      <c r="S687" s="403"/>
      <c r="T687" s="403"/>
      <c r="U687" s="403"/>
      <c r="V687" s="403"/>
      <c r="W687" s="403"/>
    </row>
    <row r="688" spans="1:23">
      <c r="A688" s="57">
        <v>37203</v>
      </c>
      <c r="B688" s="386"/>
      <c r="C688" s="396"/>
      <c r="D688" s="139"/>
      <c r="E688" s="139"/>
      <c r="F688" s="139"/>
      <c r="G688" s="389"/>
      <c r="H688" s="389"/>
      <c r="I688" s="389"/>
      <c r="J688" s="389"/>
      <c r="K688" s="139"/>
      <c r="L688" s="139"/>
      <c r="M688" s="403"/>
      <c r="N688" s="403"/>
      <c r="O688" s="403"/>
      <c r="P688" s="403"/>
      <c r="Q688" s="403"/>
      <c r="R688" s="403"/>
      <c r="S688" s="403"/>
      <c r="T688" s="403"/>
      <c r="U688" s="403"/>
      <c r="V688" s="403"/>
      <c r="W688" s="403"/>
    </row>
    <row r="689" spans="1:23">
      <c r="A689" s="57">
        <v>37204</v>
      </c>
      <c r="B689" s="386"/>
      <c r="C689" s="396"/>
      <c r="D689" s="139"/>
      <c r="E689" s="139"/>
      <c r="F689" s="139"/>
      <c r="G689" s="389"/>
      <c r="H689" s="389"/>
      <c r="I689" s="389"/>
      <c r="J689" s="389"/>
      <c r="K689" s="139"/>
      <c r="L689" s="139"/>
      <c r="M689" s="403"/>
      <c r="N689" s="403"/>
      <c r="O689" s="403"/>
      <c r="P689" s="403"/>
      <c r="Q689" s="403"/>
      <c r="R689" s="403"/>
      <c r="S689" s="403"/>
      <c r="T689" s="403"/>
      <c r="U689" s="403"/>
      <c r="V689" s="403"/>
      <c r="W689" s="403"/>
    </row>
    <row r="690" spans="1:23">
      <c r="A690" s="57">
        <v>37205</v>
      </c>
      <c r="B690" s="386"/>
      <c r="C690" s="396"/>
      <c r="D690" s="139"/>
      <c r="E690" s="139"/>
      <c r="F690" s="139"/>
      <c r="G690" s="389"/>
      <c r="H690" s="389"/>
      <c r="I690" s="389"/>
      <c r="J690" s="389"/>
      <c r="K690" s="139"/>
      <c r="L690" s="139"/>
      <c r="M690" s="403"/>
      <c r="N690" s="403"/>
      <c r="O690" s="403"/>
      <c r="P690" s="403"/>
      <c r="Q690" s="403"/>
      <c r="R690" s="403"/>
      <c r="S690" s="403"/>
      <c r="T690" s="403"/>
      <c r="U690" s="403"/>
      <c r="V690" s="403"/>
      <c r="W690" s="403"/>
    </row>
    <row r="691" spans="1:23">
      <c r="A691" s="57">
        <v>37206</v>
      </c>
      <c r="B691" s="386"/>
      <c r="C691" s="396"/>
      <c r="D691" s="139"/>
      <c r="E691" s="139"/>
      <c r="F691" s="139"/>
      <c r="G691" s="389"/>
      <c r="H691" s="389"/>
      <c r="I691" s="389"/>
      <c r="J691" s="389"/>
      <c r="K691" s="139"/>
      <c r="L691" s="139"/>
      <c r="M691" s="403"/>
      <c r="N691" s="403"/>
      <c r="O691" s="403"/>
      <c r="P691" s="403"/>
      <c r="Q691" s="403"/>
      <c r="R691" s="403"/>
      <c r="S691" s="403"/>
      <c r="T691" s="403"/>
      <c r="U691" s="403"/>
      <c r="V691" s="403"/>
      <c r="W691" s="403"/>
    </row>
    <row r="692" spans="1:23">
      <c r="A692" s="57">
        <v>37207</v>
      </c>
      <c r="B692" s="386"/>
      <c r="C692" s="396"/>
      <c r="D692" s="139"/>
      <c r="E692" s="139"/>
      <c r="F692" s="139"/>
      <c r="G692" s="389"/>
      <c r="H692" s="389"/>
      <c r="I692" s="389"/>
      <c r="J692" s="389"/>
      <c r="K692" s="139"/>
      <c r="L692" s="139"/>
      <c r="M692" s="403"/>
      <c r="N692" s="403"/>
      <c r="O692" s="403"/>
      <c r="P692" s="403"/>
      <c r="Q692" s="403"/>
      <c r="R692" s="403"/>
      <c r="S692" s="403"/>
      <c r="T692" s="403"/>
      <c r="U692" s="403"/>
      <c r="V692" s="403"/>
      <c r="W692" s="403"/>
    </row>
    <row r="693" spans="1:23">
      <c r="A693" s="57">
        <v>37208</v>
      </c>
      <c r="B693" s="386"/>
      <c r="C693" s="396"/>
      <c r="D693" s="139"/>
      <c r="E693" s="139"/>
      <c r="F693" s="139"/>
      <c r="G693" s="389"/>
      <c r="H693" s="389"/>
      <c r="I693" s="389"/>
      <c r="J693" s="389"/>
      <c r="K693" s="139"/>
      <c r="L693" s="139"/>
      <c r="M693" s="403"/>
      <c r="N693" s="403"/>
      <c r="O693" s="403"/>
      <c r="P693" s="403"/>
      <c r="Q693" s="403"/>
      <c r="R693" s="403"/>
      <c r="S693" s="403"/>
      <c r="T693" s="403"/>
      <c r="U693" s="403"/>
      <c r="V693" s="403"/>
      <c r="W693" s="403"/>
    </row>
    <row r="694" spans="1:23">
      <c r="A694" s="57">
        <v>37209</v>
      </c>
      <c r="B694" s="386"/>
      <c r="C694" s="396"/>
      <c r="D694" s="139"/>
      <c r="E694" s="139"/>
      <c r="F694" s="139"/>
      <c r="G694" s="389"/>
      <c r="H694" s="389"/>
      <c r="I694" s="389"/>
      <c r="J694" s="389"/>
      <c r="K694" s="139"/>
      <c r="L694" s="139"/>
      <c r="M694" s="403"/>
      <c r="N694" s="403"/>
      <c r="O694" s="403"/>
      <c r="P694" s="403"/>
      <c r="Q694" s="403"/>
      <c r="R694" s="403"/>
      <c r="S694" s="403"/>
      <c r="T694" s="403"/>
      <c r="U694" s="403"/>
      <c r="V694" s="403"/>
      <c r="W694" s="403"/>
    </row>
    <row r="695" spans="1:23">
      <c r="A695" s="57">
        <v>37210</v>
      </c>
      <c r="B695" s="386"/>
      <c r="C695" s="396"/>
      <c r="D695" s="139"/>
      <c r="E695" s="139"/>
      <c r="F695" s="139"/>
      <c r="G695" s="389"/>
      <c r="H695" s="389"/>
      <c r="I695" s="389"/>
      <c r="J695" s="389"/>
      <c r="K695" s="139"/>
      <c r="L695" s="139"/>
      <c r="M695" s="403"/>
      <c r="N695" s="403"/>
      <c r="O695" s="403"/>
      <c r="P695" s="403"/>
      <c r="Q695" s="403"/>
      <c r="R695" s="403"/>
      <c r="S695" s="403"/>
      <c r="T695" s="403"/>
      <c r="U695" s="403"/>
      <c r="V695" s="403"/>
      <c r="W695" s="403"/>
    </row>
    <row r="696" spans="1:23">
      <c r="A696" s="57">
        <v>37211</v>
      </c>
      <c r="B696" s="386"/>
      <c r="C696" s="396"/>
      <c r="D696" s="139"/>
      <c r="E696" s="139"/>
      <c r="F696" s="139"/>
      <c r="G696" s="389"/>
      <c r="H696" s="389"/>
      <c r="I696" s="389"/>
      <c r="J696" s="389"/>
      <c r="K696" s="139"/>
      <c r="L696" s="139"/>
      <c r="M696" s="403"/>
      <c r="N696" s="403"/>
      <c r="O696" s="403"/>
      <c r="P696" s="403"/>
      <c r="Q696" s="403"/>
      <c r="R696" s="403"/>
      <c r="S696" s="403"/>
      <c r="T696" s="403"/>
      <c r="U696" s="403"/>
      <c r="V696" s="403"/>
      <c r="W696" s="403"/>
    </row>
    <row r="697" spans="1:23">
      <c r="A697" s="57">
        <v>37212</v>
      </c>
      <c r="B697" s="386"/>
      <c r="C697" s="396"/>
      <c r="D697" s="139"/>
      <c r="E697" s="139"/>
      <c r="F697" s="139"/>
      <c r="G697" s="389"/>
      <c r="H697" s="389"/>
      <c r="I697" s="389"/>
      <c r="J697" s="389"/>
      <c r="K697" s="139"/>
      <c r="L697" s="139"/>
      <c r="M697" s="403"/>
      <c r="N697" s="403"/>
      <c r="O697" s="403"/>
      <c r="P697" s="403"/>
      <c r="Q697" s="403"/>
      <c r="R697" s="403"/>
      <c r="S697" s="403"/>
      <c r="T697" s="403"/>
      <c r="U697" s="403"/>
      <c r="V697" s="403"/>
      <c r="W697" s="403"/>
    </row>
    <row r="698" spans="1:23">
      <c r="A698" s="57">
        <v>37213</v>
      </c>
      <c r="B698" s="386"/>
      <c r="C698" s="396"/>
      <c r="D698" s="139"/>
      <c r="E698" s="139"/>
      <c r="F698" s="139"/>
      <c r="G698" s="389"/>
      <c r="H698" s="389"/>
      <c r="I698" s="389"/>
      <c r="J698" s="389"/>
      <c r="K698" s="139"/>
      <c r="L698" s="139"/>
      <c r="M698" s="403"/>
      <c r="N698" s="403"/>
      <c r="O698" s="403"/>
      <c r="P698" s="403"/>
      <c r="Q698" s="403"/>
      <c r="R698" s="403"/>
      <c r="S698" s="403"/>
      <c r="T698" s="403"/>
      <c r="U698" s="403"/>
      <c r="V698" s="403"/>
      <c r="W698" s="403"/>
    </row>
    <row r="699" spans="1:23">
      <c r="A699" s="57">
        <v>37214</v>
      </c>
      <c r="B699" s="386"/>
      <c r="C699" s="396"/>
      <c r="D699" s="139"/>
      <c r="E699" s="139"/>
      <c r="F699" s="139"/>
      <c r="G699" s="389"/>
      <c r="H699" s="389"/>
      <c r="I699" s="389"/>
      <c r="J699" s="389"/>
      <c r="K699" s="139"/>
      <c r="L699" s="139"/>
      <c r="M699" s="403"/>
      <c r="N699" s="403"/>
      <c r="O699" s="403"/>
      <c r="P699" s="403"/>
      <c r="Q699" s="403"/>
      <c r="R699" s="403"/>
      <c r="S699" s="403"/>
      <c r="T699" s="403"/>
      <c r="U699" s="403"/>
      <c r="V699" s="403"/>
      <c r="W699" s="403"/>
    </row>
    <row r="700" spans="1:23">
      <c r="A700" s="57">
        <v>37215</v>
      </c>
      <c r="B700" s="386"/>
      <c r="C700" s="396"/>
      <c r="D700" s="139"/>
      <c r="E700" s="139"/>
      <c r="F700" s="139"/>
      <c r="G700" s="389"/>
      <c r="H700" s="389"/>
      <c r="I700" s="389"/>
      <c r="J700" s="389"/>
      <c r="K700" s="139"/>
      <c r="L700" s="139"/>
      <c r="M700" s="403"/>
      <c r="N700" s="403"/>
      <c r="O700" s="403"/>
      <c r="P700" s="403"/>
      <c r="Q700" s="403"/>
      <c r="R700" s="403"/>
      <c r="S700" s="403"/>
      <c r="T700" s="403"/>
      <c r="U700" s="403"/>
      <c r="V700" s="403"/>
      <c r="W700" s="403"/>
    </row>
    <row r="701" spans="1:23">
      <c r="A701" s="57">
        <v>37216</v>
      </c>
      <c r="B701" s="386"/>
      <c r="C701" s="396"/>
      <c r="D701" s="139"/>
      <c r="E701" s="139"/>
      <c r="F701" s="139"/>
      <c r="G701" s="389"/>
      <c r="H701" s="389"/>
      <c r="I701" s="389"/>
      <c r="J701" s="389"/>
      <c r="K701" s="139"/>
      <c r="L701" s="139"/>
      <c r="M701" s="403"/>
      <c r="N701" s="403"/>
      <c r="O701" s="403"/>
      <c r="P701" s="403"/>
      <c r="Q701" s="403"/>
      <c r="R701" s="403"/>
      <c r="S701" s="403"/>
      <c r="T701" s="403"/>
      <c r="U701" s="403"/>
      <c r="V701" s="403"/>
      <c r="W701" s="403"/>
    </row>
    <row r="702" spans="1:23">
      <c r="A702" s="57">
        <v>37217</v>
      </c>
      <c r="B702" s="386"/>
      <c r="C702" s="396"/>
      <c r="D702" s="139"/>
      <c r="E702" s="139"/>
      <c r="F702" s="139"/>
      <c r="G702" s="389"/>
      <c r="H702" s="389"/>
      <c r="I702" s="389"/>
      <c r="J702" s="389"/>
      <c r="K702" s="139"/>
      <c r="L702" s="139"/>
      <c r="M702" s="403"/>
      <c r="N702" s="403"/>
      <c r="O702" s="403"/>
      <c r="P702" s="403"/>
      <c r="Q702" s="403"/>
      <c r="R702" s="403"/>
      <c r="S702" s="403"/>
      <c r="T702" s="403"/>
      <c r="U702" s="403"/>
      <c r="V702" s="403"/>
      <c r="W702" s="403"/>
    </row>
    <row r="703" spans="1:23">
      <c r="A703" s="57">
        <v>37218</v>
      </c>
      <c r="B703" s="386"/>
      <c r="C703" s="396"/>
      <c r="D703" s="139"/>
      <c r="E703" s="139"/>
      <c r="F703" s="139"/>
      <c r="G703" s="389"/>
      <c r="H703" s="389"/>
      <c r="I703" s="389"/>
      <c r="J703" s="389"/>
      <c r="K703" s="139"/>
      <c r="L703" s="139"/>
      <c r="M703" s="403"/>
      <c r="N703" s="403"/>
      <c r="O703" s="403"/>
      <c r="P703" s="403"/>
      <c r="Q703" s="403"/>
      <c r="R703" s="403"/>
      <c r="S703" s="403"/>
      <c r="T703" s="403"/>
      <c r="U703" s="403"/>
      <c r="V703" s="403"/>
      <c r="W703" s="403"/>
    </row>
    <row r="704" spans="1:23">
      <c r="A704" s="57">
        <v>37219</v>
      </c>
      <c r="B704" s="386"/>
      <c r="C704" s="396"/>
      <c r="D704" s="139"/>
      <c r="E704" s="139"/>
      <c r="F704" s="139"/>
      <c r="G704" s="389"/>
      <c r="H704" s="389"/>
      <c r="I704" s="389"/>
      <c r="J704" s="389"/>
      <c r="K704" s="139"/>
      <c r="L704" s="139"/>
      <c r="M704" s="403"/>
      <c r="N704" s="403"/>
      <c r="O704" s="403"/>
      <c r="P704" s="403"/>
      <c r="Q704" s="403"/>
      <c r="R704" s="403"/>
      <c r="S704" s="403"/>
      <c r="T704" s="403"/>
      <c r="U704" s="403"/>
      <c r="V704" s="403"/>
      <c r="W704" s="403"/>
    </row>
    <row r="705" spans="1:23">
      <c r="A705" s="57">
        <v>37220</v>
      </c>
      <c r="B705" s="386"/>
      <c r="C705" s="396"/>
      <c r="D705" s="139"/>
      <c r="E705" s="139"/>
      <c r="F705" s="139"/>
      <c r="G705" s="389"/>
      <c r="H705" s="389"/>
      <c r="I705" s="389"/>
      <c r="J705" s="389"/>
      <c r="K705" s="139"/>
      <c r="L705" s="139"/>
      <c r="M705" s="403"/>
      <c r="N705" s="403"/>
      <c r="O705" s="403"/>
      <c r="P705" s="403"/>
      <c r="Q705" s="403"/>
      <c r="R705" s="403"/>
      <c r="S705" s="403"/>
      <c r="T705" s="403"/>
      <c r="U705" s="403"/>
      <c r="V705" s="403"/>
      <c r="W705" s="403"/>
    </row>
    <row r="706" spans="1:23">
      <c r="A706" s="57">
        <v>37221</v>
      </c>
      <c r="B706" s="386"/>
      <c r="C706" s="396"/>
      <c r="D706" s="139"/>
      <c r="E706" s="139"/>
      <c r="F706" s="139"/>
      <c r="G706" s="389"/>
      <c r="H706" s="389"/>
      <c r="I706" s="389"/>
      <c r="J706" s="389"/>
      <c r="K706" s="139"/>
      <c r="L706" s="139"/>
      <c r="M706" s="403"/>
      <c r="N706" s="403"/>
      <c r="O706" s="403"/>
      <c r="P706" s="403"/>
      <c r="Q706" s="403"/>
      <c r="R706" s="403"/>
      <c r="S706" s="403"/>
      <c r="T706" s="403"/>
      <c r="U706" s="403"/>
      <c r="V706" s="403"/>
      <c r="W706" s="403"/>
    </row>
    <row r="707" spans="1:23">
      <c r="A707" s="57">
        <v>37222</v>
      </c>
      <c r="B707" s="386"/>
      <c r="C707" s="396"/>
      <c r="D707" s="139"/>
      <c r="E707" s="139"/>
      <c r="F707" s="139"/>
      <c r="G707" s="389"/>
      <c r="H707" s="389"/>
      <c r="I707" s="389"/>
      <c r="J707" s="389"/>
      <c r="K707" s="139"/>
      <c r="L707" s="139"/>
      <c r="M707" s="403"/>
      <c r="N707" s="403"/>
      <c r="O707" s="403"/>
      <c r="P707" s="403"/>
      <c r="Q707" s="403"/>
      <c r="R707" s="403"/>
      <c r="S707" s="403"/>
      <c r="T707" s="403"/>
      <c r="U707" s="403"/>
      <c r="V707" s="403"/>
      <c r="W707" s="403"/>
    </row>
    <row r="708" spans="1:23">
      <c r="A708" s="57">
        <v>37223</v>
      </c>
      <c r="B708" s="386"/>
      <c r="C708" s="396"/>
      <c r="D708" s="139"/>
      <c r="E708" s="139"/>
      <c r="F708" s="139"/>
      <c r="G708" s="389"/>
      <c r="H708" s="389"/>
      <c r="I708" s="389"/>
      <c r="J708" s="389"/>
      <c r="K708" s="139"/>
      <c r="L708" s="139"/>
      <c r="M708" s="403"/>
      <c r="N708" s="403"/>
      <c r="O708" s="403"/>
      <c r="P708" s="403"/>
      <c r="Q708" s="403"/>
      <c r="R708" s="403"/>
      <c r="S708" s="403"/>
      <c r="T708" s="403"/>
      <c r="U708" s="403"/>
      <c r="V708" s="403"/>
      <c r="W708" s="403"/>
    </row>
    <row r="709" spans="1:23">
      <c r="A709" s="57">
        <v>37224</v>
      </c>
      <c r="B709" s="386"/>
      <c r="C709" s="396"/>
      <c r="D709" s="139"/>
      <c r="E709" s="139"/>
      <c r="F709" s="139"/>
      <c r="G709" s="389"/>
      <c r="H709" s="389"/>
      <c r="I709" s="389"/>
      <c r="J709" s="389"/>
      <c r="K709" s="139"/>
      <c r="L709" s="139"/>
      <c r="M709" s="403"/>
      <c r="N709" s="403"/>
      <c r="O709" s="403"/>
      <c r="P709" s="403"/>
      <c r="Q709" s="403"/>
      <c r="R709" s="403"/>
      <c r="S709" s="403"/>
      <c r="T709" s="403"/>
      <c r="U709" s="403"/>
      <c r="V709" s="403"/>
      <c r="W709" s="403"/>
    </row>
    <row r="710" spans="1:23">
      <c r="A710" s="57">
        <v>37225</v>
      </c>
      <c r="B710" s="386"/>
      <c r="C710" s="396"/>
      <c r="D710" s="139"/>
      <c r="E710" s="139"/>
      <c r="F710" s="139"/>
      <c r="G710" s="389"/>
      <c r="H710" s="389"/>
      <c r="I710" s="389"/>
      <c r="J710" s="389"/>
      <c r="K710" s="139"/>
      <c r="L710" s="139"/>
      <c r="M710" s="403"/>
      <c r="N710" s="403"/>
      <c r="O710" s="403"/>
      <c r="P710" s="403"/>
      <c r="Q710" s="403"/>
      <c r="R710" s="403"/>
      <c r="S710" s="403"/>
      <c r="T710" s="403"/>
      <c r="U710" s="403"/>
      <c r="V710" s="403"/>
      <c r="W710" s="403"/>
    </row>
    <row r="711" spans="1:23">
      <c r="A711" s="57">
        <v>37226</v>
      </c>
      <c r="B711" s="386"/>
      <c r="C711" s="396"/>
      <c r="D711" s="139"/>
      <c r="E711" s="139"/>
      <c r="F711" s="139"/>
      <c r="G711" s="389"/>
      <c r="H711" s="389"/>
      <c r="I711" s="389"/>
      <c r="J711" s="389"/>
      <c r="K711" s="139"/>
      <c r="L711" s="139"/>
      <c r="M711" s="403"/>
      <c r="N711" s="403"/>
      <c r="O711" s="403"/>
      <c r="P711" s="403"/>
      <c r="Q711" s="403"/>
      <c r="R711" s="403"/>
      <c r="S711" s="403"/>
      <c r="T711" s="403"/>
      <c r="U711" s="403"/>
      <c r="V711" s="403"/>
      <c r="W711" s="403"/>
    </row>
    <row r="712" spans="1:23">
      <c r="A712" s="57">
        <v>37227</v>
      </c>
      <c r="B712" s="386"/>
      <c r="C712" s="396"/>
      <c r="D712" s="139"/>
      <c r="E712" s="139"/>
      <c r="F712" s="139"/>
      <c r="G712" s="389"/>
      <c r="H712" s="389"/>
      <c r="I712" s="389"/>
      <c r="J712" s="389"/>
      <c r="K712" s="139"/>
      <c r="L712" s="139"/>
      <c r="M712" s="403"/>
      <c r="N712" s="403"/>
      <c r="O712" s="403"/>
      <c r="P712" s="403"/>
      <c r="Q712" s="403"/>
      <c r="R712" s="403"/>
      <c r="S712" s="403"/>
      <c r="T712" s="403"/>
      <c r="U712" s="403"/>
      <c r="V712" s="403"/>
      <c r="W712" s="403"/>
    </row>
    <row r="713" spans="1:23">
      <c r="A713" s="57">
        <v>37228</v>
      </c>
      <c r="B713" s="386"/>
      <c r="C713" s="396"/>
      <c r="D713" s="139"/>
      <c r="E713" s="139"/>
      <c r="F713" s="139"/>
      <c r="G713" s="389"/>
      <c r="H713" s="389"/>
      <c r="I713" s="389"/>
      <c r="J713" s="389"/>
      <c r="K713" s="139"/>
      <c r="L713" s="139"/>
      <c r="M713" s="403"/>
      <c r="N713" s="403"/>
      <c r="O713" s="403"/>
      <c r="P713" s="403"/>
      <c r="Q713" s="403"/>
      <c r="R713" s="403"/>
      <c r="S713" s="403"/>
      <c r="T713" s="403"/>
      <c r="U713" s="403"/>
      <c r="V713" s="403"/>
      <c r="W713" s="403"/>
    </row>
    <row r="714" spans="1:23">
      <c r="A714" s="57">
        <v>37229</v>
      </c>
      <c r="B714" s="386"/>
      <c r="C714" s="396"/>
      <c r="D714" s="139"/>
      <c r="E714" s="139"/>
      <c r="F714" s="139"/>
      <c r="G714" s="389"/>
      <c r="H714" s="389"/>
      <c r="I714" s="389"/>
      <c r="J714" s="389"/>
      <c r="K714" s="139"/>
      <c r="L714" s="139"/>
      <c r="M714" s="403"/>
      <c r="N714" s="403"/>
      <c r="O714" s="403"/>
      <c r="P714" s="403"/>
      <c r="Q714" s="403"/>
      <c r="R714" s="403"/>
      <c r="S714" s="403"/>
      <c r="T714" s="403"/>
      <c r="U714" s="403"/>
      <c r="V714" s="403"/>
      <c r="W714" s="403"/>
    </row>
    <row r="715" spans="1:23">
      <c r="A715" s="57">
        <v>37230</v>
      </c>
      <c r="B715" s="386"/>
      <c r="C715" s="396"/>
      <c r="D715" s="139"/>
      <c r="E715" s="139"/>
      <c r="F715" s="139"/>
      <c r="G715" s="389"/>
      <c r="H715" s="389"/>
      <c r="I715" s="389"/>
      <c r="J715" s="389"/>
      <c r="K715" s="139"/>
      <c r="L715" s="139"/>
      <c r="M715" s="403"/>
      <c r="N715" s="403"/>
      <c r="O715" s="403"/>
      <c r="P715" s="403"/>
      <c r="Q715" s="403"/>
      <c r="R715" s="403"/>
      <c r="S715" s="403"/>
      <c r="T715" s="403"/>
      <c r="U715" s="403"/>
      <c r="V715" s="403"/>
      <c r="W715" s="403"/>
    </row>
    <row r="716" spans="1:23">
      <c r="A716" s="57">
        <v>37231</v>
      </c>
      <c r="B716" s="386"/>
      <c r="C716" s="396"/>
      <c r="D716" s="139"/>
      <c r="E716" s="139"/>
      <c r="F716" s="139"/>
      <c r="G716" s="389"/>
      <c r="H716" s="389"/>
      <c r="I716" s="389"/>
      <c r="J716" s="389"/>
      <c r="K716" s="139"/>
      <c r="L716" s="139"/>
      <c r="M716" s="403"/>
      <c r="N716" s="403"/>
      <c r="O716" s="403"/>
      <c r="P716" s="403"/>
      <c r="Q716" s="403"/>
      <c r="R716" s="403"/>
      <c r="S716" s="403"/>
      <c r="T716" s="403"/>
      <c r="U716" s="403"/>
      <c r="V716" s="403"/>
      <c r="W716" s="403"/>
    </row>
    <row r="717" spans="1:23">
      <c r="A717" s="57">
        <v>37232</v>
      </c>
      <c r="B717" s="386"/>
      <c r="C717" s="396"/>
      <c r="D717" s="139"/>
      <c r="E717" s="139"/>
      <c r="F717" s="139"/>
      <c r="G717" s="389"/>
      <c r="H717" s="389"/>
      <c r="I717" s="389"/>
      <c r="J717" s="389"/>
      <c r="K717" s="139"/>
      <c r="L717" s="139"/>
      <c r="M717" s="403"/>
      <c r="N717" s="403"/>
      <c r="O717" s="403"/>
      <c r="P717" s="403"/>
      <c r="Q717" s="403"/>
      <c r="R717" s="403"/>
      <c r="S717" s="403"/>
      <c r="T717" s="403"/>
      <c r="U717" s="403"/>
      <c r="V717" s="403"/>
      <c r="W717" s="403"/>
    </row>
    <row r="718" spans="1:23">
      <c r="A718" s="57">
        <v>37233</v>
      </c>
      <c r="B718" s="386"/>
      <c r="C718" s="396"/>
      <c r="D718" s="139"/>
      <c r="E718" s="139"/>
      <c r="F718" s="139"/>
      <c r="G718" s="389"/>
      <c r="H718" s="389"/>
      <c r="I718" s="389"/>
      <c r="J718" s="389"/>
      <c r="K718" s="139"/>
      <c r="L718" s="139"/>
      <c r="M718" s="403"/>
      <c r="N718" s="403"/>
      <c r="O718" s="403"/>
      <c r="P718" s="403"/>
      <c r="Q718" s="403"/>
      <c r="R718" s="403"/>
      <c r="S718" s="403"/>
      <c r="T718" s="403"/>
      <c r="U718" s="403"/>
      <c r="V718" s="403"/>
      <c r="W718" s="403"/>
    </row>
    <row r="719" spans="1:23">
      <c r="A719" s="57">
        <v>37234</v>
      </c>
      <c r="B719" s="386"/>
      <c r="C719" s="396"/>
      <c r="D719" s="139"/>
      <c r="E719" s="139"/>
      <c r="F719" s="139"/>
      <c r="G719" s="389"/>
      <c r="H719" s="389"/>
      <c r="I719" s="389"/>
      <c r="J719" s="389"/>
      <c r="K719" s="139"/>
      <c r="L719" s="139"/>
      <c r="M719" s="403"/>
      <c r="N719" s="403"/>
      <c r="O719" s="403"/>
      <c r="P719" s="403"/>
      <c r="Q719" s="403"/>
      <c r="R719" s="403"/>
      <c r="S719" s="403"/>
      <c r="T719" s="403"/>
      <c r="U719" s="403"/>
      <c r="V719" s="403"/>
      <c r="W719" s="403"/>
    </row>
    <row r="720" spans="1:23">
      <c r="A720" s="57">
        <v>37235</v>
      </c>
      <c r="B720" s="386"/>
      <c r="C720" s="396"/>
      <c r="D720" s="139"/>
      <c r="E720" s="139"/>
      <c r="F720" s="139"/>
      <c r="G720" s="389"/>
      <c r="H720" s="389"/>
      <c r="I720" s="389"/>
      <c r="J720" s="389"/>
      <c r="K720" s="139"/>
      <c r="L720" s="139"/>
      <c r="M720" s="403"/>
      <c r="N720" s="403"/>
      <c r="O720" s="403"/>
      <c r="P720" s="403"/>
      <c r="Q720" s="403"/>
      <c r="R720" s="403"/>
      <c r="S720" s="403"/>
      <c r="T720" s="403"/>
      <c r="U720" s="403"/>
      <c r="V720" s="403"/>
      <c r="W720" s="403"/>
    </row>
    <row r="721" spans="1:23">
      <c r="A721" s="57">
        <v>37236</v>
      </c>
      <c r="B721" s="386"/>
      <c r="C721" s="396"/>
      <c r="D721" s="139"/>
      <c r="E721" s="139"/>
      <c r="F721" s="139"/>
      <c r="G721" s="389"/>
      <c r="H721" s="389"/>
      <c r="I721" s="389"/>
      <c r="J721" s="389"/>
      <c r="K721" s="139"/>
      <c r="L721" s="139"/>
      <c r="M721" s="403"/>
      <c r="N721" s="403"/>
      <c r="O721" s="403"/>
      <c r="P721" s="403"/>
      <c r="Q721" s="403"/>
      <c r="R721" s="403"/>
      <c r="S721" s="403"/>
      <c r="T721" s="403"/>
      <c r="U721" s="403"/>
      <c r="V721" s="403"/>
      <c r="W721" s="403"/>
    </row>
    <row r="722" spans="1:23">
      <c r="A722" s="57">
        <v>37237</v>
      </c>
      <c r="B722" s="386"/>
      <c r="C722" s="396"/>
      <c r="D722" s="139"/>
      <c r="E722" s="139"/>
      <c r="F722" s="139"/>
      <c r="G722" s="389"/>
      <c r="H722" s="389"/>
      <c r="I722" s="389"/>
      <c r="J722" s="389"/>
      <c r="K722" s="139"/>
      <c r="L722" s="139"/>
      <c r="M722" s="403"/>
      <c r="N722" s="403"/>
      <c r="O722" s="403"/>
      <c r="P722" s="403"/>
      <c r="Q722" s="403"/>
      <c r="R722" s="403"/>
      <c r="S722" s="403"/>
      <c r="T722" s="403"/>
      <c r="U722" s="403"/>
      <c r="V722" s="403"/>
      <c r="W722" s="403"/>
    </row>
    <row r="723" spans="1:23">
      <c r="A723" s="57">
        <v>37238</v>
      </c>
      <c r="B723" s="386"/>
      <c r="C723" s="396"/>
      <c r="D723" s="139"/>
      <c r="E723" s="139"/>
      <c r="F723" s="139"/>
      <c r="G723" s="389"/>
      <c r="H723" s="389"/>
      <c r="I723" s="389"/>
      <c r="J723" s="389"/>
      <c r="K723" s="139"/>
      <c r="L723" s="139"/>
      <c r="M723" s="403"/>
      <c r="N723" s="403"/>
      <c r="O723" s="403"/>
      <c r="P723" s="403"/>
      <c r="Q723" s="403"/>
      <c r="R723" s="403"/>
      <c r="S723" s="403"/>
      <c r="T723" s="403"/>
      <c r="U723" s="403"/>
      <c r="V723" s="403"/>
      <c r="W723" s="403"/>
    </row>
    <row r="724" spans="1:23">
      <c r="A724" s="57">
        <v>37239</v>
      </c>
      <c r="B724" s="386"/>
      <c r="C724" s="396"/>
      <c r="D724" s="139"/>
      <c r="E724" s="139"/>
      <c r="F724" s="139"/>
      <c r="G724" s="389"/>
      <c r="H724" s="389"/>
      <c r="I724" s="389"/>
      <c r="J724" s="389"/>
      <c r="K724" s="139"/>
      <c r="L724" s="139"/>
      <c r="M724" s="403"/>
      <c r="N724" s="403"/>
      <c r="O724" s="403"/>
      <c r="P724" s="403"/>
      <c r="Q724" s="403"/>
      <c r="R724" s="403"/>
      <c r="S724" s="403"/>
      <c r="T724" s="403"/>
      <c r="U724" s="403"/>
      <c r="V724" s="403"/>
      <c r="W724" s="403"/>
    </row>
    <row r="725" spans="1:23">
      <c r="A725" s="57">
        <v>37240</v>
      </c>
      <c r="B725" s="386"/>
      <c r="C725" s="396"/>
      <c r="D725" s="139"/>
      <c r="E725" s="139"/>
      <c r="F725" s="139"/>
      <c r="G725" s="389"/>
      <c r="H725" s="389"/>
      <c r="I725" s="389"/>
      <c r="J725" s="389"/>
      <c r="K725" s="139"/>
      <c r="L725" s="139"/>
      <c r="M725" s="403"/>
      <c r="N725" s="403"/>
      <c r="O725" s="403"/>
      <c r="P725" s="403"/>
      <c r="Q725" s="403"/>
      <c r="R725" s="403"/>
      <c r="S725" s="403"/>
      <c r="T725" s="403"/>
      <c r="U725" s="403"/>
      <c r="V725" s="403"/>
      <c r="W725" s="403"/>
    </row>
    <row r="726" spans="1:23">
      <c r="A726" s="57">
        <v>37241</v>
      </c>
      <c r="B726" s="386"/>
      <c r="C726" s="396"/>
      <c r="D726" s="139"/>
      <c r="E726" s="139"/>
      <c r="F726" s="139"/>
      <c r="G726" s="389"/>
      <c r="H726" s="389"/>
      <c r="I726" s="389"/>
      <c r="J726" s="389"/>
      <c r="K726" s="139"/>
      <c r="L726" s="139"/>
      <c r="M726" s="403"/>
      <c r="N726" s="403"/>
      <c r="O726" s="403"/>
      <c r="P726" s="403"/>
      <c r="Q726" s="403"/>
      <c r="R726" s="403"/>
      <c r="S726" s="403"/>
      <c r="T726" s="403"/>
      <c r="U726" s="403"/>
      <c r="V726" s="403"/>
      <c r="W726" s="403"/>
    </row>
    <row r="727" spans="1:23">
      <c r="A727" s="57">
        <v>37242</v>
      </c>
      <c r="B727" s="386"/>
      <c r="C727" s="396"/>
      <c r="D727" s="139"/>
      <c r="E727" s="139"/>
      <c r="F727" s="139"/>
      <c r="G727" s="389"/>
      <c r="H727" s="389"/>
      <c r="I727" s="389"/>
      <c r="J727" s="389"/>
      <c r="K727" s="139"/>
      <c r="L727" s="139"/>
      <c r="M727" s="403"/>
      <c r="N727" s="403"/>
      <c r="O727" s="403"/>
      <c r="P727" s="403"/>
      <c r="Q727" s="403"/>
      <c r="R727" s="403"/>
      <c r="S727" s="403"/>
      <c r="T727" s="403"/>
      <c r="U727" s="403"/>
      <c r="V727" s="403"/>
      <c r="W727" s="403"/>
    </row>
    <row r="728" spans="1:23">
      <c r="A728" s="57">
        <v>37243</v>
      </c>
      <c r="B728" s="386"/>
      <c r="C728" s="396"/>
      <c r="D728" s="139"/>
      <c r="E728" s="139"/>
      <c r="F728" s="139"/>
      <c r="G728" s="389"/>
      <c r="H728" s="389"/>
      <c r="I728" s="389"/>
      <c r="J728" s="389"/>
      <c r="K728" s="139"/>
      <c r="L728" s="139"/>
      <c r="M728" s="403"/>
      <c r="N728" s="403"/>
      <c r="O728" s="403"/>
      <c r="P728" s="403"/>
      <c r="Q728" s="403"/>
      <c r="R728" s="403"/>
      <c r="S728" s="403"/>
      <c r="T728" s="403"/>
      <c r="U728" s="403"/>
      <c r="V728" s="403"/>
      <c r="W728" s="403"/>
    </row>
    <row r="729" spans="1:23">
      <c r="A729" s="57">
        <v>37244</v>
      </c>
      <c r="B729" s="386"/>
      <c r="C729" s="396"/>
      <c r="D729" s="139"/>
      <c r="E729" s="139"/>
      <c r="F729" s="139"/>
      <c r="G729" s="389"/>
      <c r="H729" s="389"/>
      <c r="I729" s="389"/>
      <c r="J729" s="389"/>
      <c r="K729" s="139"/>
      <c r="L729" s="139"/>
      <c r="M729" s="403"/>
      <c r="N729" s="403"/>
      <c r="O729" s="403"/>
      <c r="P729" s="403"/>
      <c r="Q729" s="403"/>
      <c r="R729" s="403"/>
      <c r="S729" s="403"/>
      <c r="T729" s="403"/>
      <c r="U729" s="403"/>
      <c r="V729" s="403"/>
      <c r="W729" s="403"/>
    </row>
    <row r="730" spans="1:23">
      <c r="A730" s="57">
        <v>37245</v>
      </c>
      <c r="B730" s="386"/>
      <c r="C730" s="396"/>
      <c r="D730" s="139"/>
      <c r="E730" s="139"/>
      <c r="F730" s="139"/>
      <c r="G730" s="389"/>
      <c r="H730" s="389"/>
      <c r="I730" s="389"/>
      <c r="J730" s="389"/>
      <c r="K730" s="139"/>
      <c r="L730" s="139"/>
      <c r="M730" s="403"/>
      <c r="N730" s="403"/>
      <c r="O730" s="403"/>
      <c r="P730" s="403"/>
      <c r="Q730" s="403"/>
      <c r="R730" s="403"/>
      <c r="S730" s="403"/>
      <c r="T730" s="403"/>
      <c r="U730" s="403"/>
      <c r="V730" s="403"/>
      <c r="W730" s="403"/>
    </row>
    <row r="731" spans="1:23">
      <c r="A731" s="57">
        <v>37246</v>
      </c>
      <c r="B731" s="386"/>
      <c r="C731" s="396"/>
      <c r="D731" s="139"/>
      <c r="E731" s="139"/>
      <c r="F731" s="139"/>
      <c r="G731" s="389"/>
      <c r="H731" s="389"/>
      <c r="I731" s="389"/>
      <c r="J731" s="389"/>
      <c r="K731" s="139"/>
      <c r="L731" s="139"/>
      <c r="M731" s="403"/>
      <c r="N731" s="403"/>
      <c r="O731" s="403"/>
      <c r="P731" s="403"/>
      <c r="Q731" s="403"/>
      <c r="R731" s="403"/>
      <c r="S731" s="403"/>
      <c r="T731" s="403"/>
      <c r="U731" s="403"/>
      <c r="V731" s="403"/>
      <c r="W731" s="403"/>
    </row>
    <row r="732" spans="1:23">
      <c r="A732" s="57">
        <v>37247</v>
      </c>
      <c r="B732" s="386"/>
      <c r="C732" s="396"/>
      <c r="D732" s="139"/>
      <c r="E732" s="139"/>
      <c r="F732" s="139"/>
      <c r="G732" s="389"/>
      <c r="H732" s="389"/>
      <c r="I732" s="389"/>
      <c r="J732" s="389"/>
      <c r="K732" s="139"/>
      <c r="L732" s="139"/>
      <c r="M732" s="403"/>
      <c r="N732" s="403"/>
      <c r="O732" s="403"/>
      <c r="P732" s="403"/>
      <c r="Q732" s="403"/>
      <c r="R732" s="403"/>
      <c r="S732" s="403"/>
      <c r="T732" s="403"/>
      <c r="U732" s="403"/>
      <c r="V732" s="403"/>
      <c r="W732" s="403"/>
    </row>
    <row r="733" spans="1:23">
      <c r="A733" s="57">
        <v>37248</v>
      </c>
      <c r="B733" s="386"/>
      <c r="C733" s="396"/>
      <c r="D733" s="139"/>
      <c r="E733" s="139"/>
      <c r="F733" s="139"/>
      <c r="G733" s="389"/>
      <c r="H733" s="389"/>
      <c r="I733" s="389"/>
      <c r="J733" s="389"/>
      <c r="K733" s="139"/>
      <c r="L733" s="139"/>
      <c r="M733" s="403"/>
      <c r="N733" s="403"/>
      <c r="O733" s="403"/>
      <c r="P733" s="403"/>
      <c r="Q733" s="403"/>
      <c r="R733" s="403"/>
      <c r="S733" s="403"/>
      <c r="T733" s="403"/>
      <c r="U733" s="403"/>
      <c r="V733" s="403"/>
      <c r="W733" s="403"/>
    </row>
    <row r="734" spans="1:23">
      <c r="A734" s="57">
        <v>37249</v>
      </c>
      <c r="B734" s="386"/>
      <c r="C734" s="396"/>
      <c r="D734" s="139"/>
      <c r="E734" s="139"/>
      <c r="F734" s="139"/>
      <c r="G734" s="389"/>
      <c r="H734" s="389"/>
      <c r="I734" s="389"/>
      <c r="J734" s="389"/>
      <c r="K734" s="139"/>
      <c r="L734" s="139"/>
      <c r="M734" s="403"/>
      <c r="N734" s="403"/>
      <c r="O734" s="403"/>
      <c r="P734" s="403"/>
      <c r="Q734" s="403"/>
      <c r="R734" s="403"/>
      <c r="S734" s="403"/>
      <c r="T734" s="403"/>
      <c r="U734" s="403"/>
      <c r="V734" s="403"/>
      <c r="W734" s="403"/>
    </row>
    <row r="735" spans="1:23">
      <c r="A735" s="57">
        <v>37250</v>
      </c>
      <c r="B735" s="386"/>
      <c r="C735" s="396"/>
      <c r="D735" s="139"/>
      <c r="E735" s="139"/>
      <c r="F735" s="139"/>
      <c r="G735" s="389"/>
      <c r="H735" s="389"/>
      <c r="I735" s="389"/>
      <c r="J735" s="389"/>
      <c r="K735" s="139"/>
      <c r="L735" s="139"/>
      <c r="M735" s="403"/>
      <c r="N735" s="403"/>
      <c r="O735" s="403"/>
      <c r="P735" s="403"/>
      <c r="Q735" s="403"/>
      <c r="R735" s="403"/>
      <c r="S735" s="403"/>
      <c r="T735" s="403"/>
      <c r="U735" s="403"/>
      <c r="V735" s="403"/>
      <c r="W735" s="403"/>
    </row>
    <row r="736" spans="1:23">
      <c r="A736" s="57">
        <v>37251</v>
      </c>
      <c r="B736" s="386"/>
      <c r="C736" s="396"/>
      <c r="D736" s="139"/>
      <c r="E736" s="139"/>
      <c r="F736" s="139"/>
      <c r="G736" s="389"/>
      <c r="H736" s="389"/>
      <c r="I736" s="389"/>
      <c r="J736" s="389"/>
      <c r="K736" s="139"/>
      <c r="L736" s="139"/>
      <c r="M736" s="403"/>
      <c r="N736" s="403"/>
      <c r="O736" s="403"/>
      <c r="P736" s="403"/>
      <c r="Q736" s="403"/>
      <c r="R736" s="403"/>
      <c r="S736" s="403"/>
      <c r="T736" s="403"/>
      <c r="U736" s="403"/>
      <c r="V736" s="403"/>
      <c r="W736" s="403"/>
    </row>
    <row r="737" spans="1:23">
      <c r="A737" s="57">
        <v>37252</v>
      </c>
      <c r="B737" s="386"/>
      <c r="C737" s="396"/>
      <c r="D737" s="139"/>
      <c r="E737" s="139"/>
      <c r="F737" s="139"/>
      <c r="G737" s="389"/>
      <c r="H737" s="389"/>
      <c r="I737" s="389"/>
      <c r="J737" s="389"/>
      <c r="K737" s="139"/>
      <c r="L737" s="139"/>
      <c r="M737" s="403"/>
      <c r="N737" s="403"/>
      <c r="O737" s="403"/>
      <c r="P737" s="403"/>
      <c r="Q737" s="403"/>
      <c r="R737" s="403"/>
      <c r="S737" s="403"/>
      <c r="T737" s="403"/>
      <c r="U737" s="403"/>
      <c r="V737" s="403"/>
      <c r="W737" s="403"/>
    </row>
    <row r="738" spans="1:23">
      <c r="A738" s="57">
        <v>37253</v>
      </c>
      <c r="B738" s="386"/>
      <c r="C738" s="396"/>
      <c r="D738" s="139"/>
      <c r="E738" s="139"/>
      <c r="F738" s="139"/>
      <c r="G738" s="389"/>
      <c r="H738" s="389"/>
      <c r="I738" s="389"/>
      <c r="J738" s="389"/>
      <c r="K738" s="139"/>
      <c r="L738" s="139"/>
      <c r="M738" s="403"/>
      <c r="N738" s="403"/>
      <c r="O738" s="403"/>
      <c r="P738" s="403"/>
      <c r="Q738" s="403"/>
      <c r="R738" s="403"/>
      <c r="S738" s="403"/>
      <c r="T738" s="403"/>
      <c r="U738" s="403"/>
      <c r="V738" s="403"/>
      <c r="W738" s="403"/>
    </row>
    <row r="739" spans="1:23">
      <c r="A739" s="57">
        <v>37254</v>
      </c>
      <c r="B739" s="386"/>
      <c r="C739" s="396"/>
      <c r="D739" s="139"/>
      <c r="E739" s="139"/>
      <c r="F739" s="139"/>
      <c r="G739" s="389"/>
      <c r="H739" s="389"/>
      <c r="I739" s="389"/>
      <c r="J739" s="389"/>
      <c r="K739" s="139"/>
      <c r="L739" s="139"/>
      <c r="M739" s="403"/>
      <c r="N739" s="403"/>
      <c r="O739" s="403"/>
      <c r="P739" s="403"/>
      <c r="Q739" s="403"/>
      <c r="R739" s="403"/>
      <c r="S739" s="403"/>
      <c r="T739" s="403"/>
      <c r="U739" s="403"/>
      <c r="V739" s="403"/>
      <c r="W739" s="403"/>
    </row>
    <row r="740" spans="1:23">
      <c r="A740" s="57">
        <v>37255</v>
      </c>
      <c r="B740" s="386"/>
      <c r="C740" s="396"/>
      <c r="D740" s="139"/>
      <c r="E740" s="139"/>
      <c r="F740" s="139"/>
      <c r="G740" s="389"/>
      <c r="H740" s="389"/>
      <c r="I740" s="389"/>
      <c r="J740" s="389"/>
      <c r="K740" s="139"/>
      <c r="L740" s="139"/>
      <c r="M740" s="403"/>
      <c r="N740" s="403"/>
      <c r="O740" s="403"/>
      <c r="P740" s="403"/>
      <c r="Q740" s="403"/>
      <c r="R740" s="403"/>
      <c r="S740" s="403"/>
      <c r="T740" s="403"/>
      <c r="U740" s="403"/>
      <c r="V740" s="403"/>
      <c r="W740" s="403"/>
    </row>
    <row r="741" spans="1:23">
      <c r="A741" s="57">
        <v>37256</v>
      </c>
      <c r="B741" s="386"/>
      <c r="C741" s="396"/>
      <c r="D741" s="139"/>
      <c r="E741" s="139"/>
      <c r="F741" s="139"/>
      <c r="G741" s="389"/>
      <c r="H741" s="389"/>
      <c r="I741" s="389"/>
      <c r="J741" s="389"/>
      <c r="K741" s="139"/>
      <c r="L741" s="139"/>
      <c r="M741" s="403"/>
      <c r="N741" s="403"/>
      <c r="O741" s="403"/>
      <c r="P741" s="403"/>
      <c r="Q741" s="403"/>
      <c r="R741" s="403"/>
      <c r="S741" s="403"/>
      <c r="T741" s="403"/>
      <c r="U741" s="403"/>
      <c r="V741" s="403"/>
      <c r="W741" s="403"/>
    </row>
    <row r="742" spans="1:23">
      <c r="A742" s="57">
        <v>37257</v>
      </c>
      <c r="B742" s="386"/>
      <c r="C742" s="396"/>
      <c r="D742" s="139"/>
      <c r="E742" s="139"/>
      <c r="F742" s="139"/>
      <c r="G742" s="389"/>
      <c r="H742" s="389"/>
      <c r="I742" s="389"/>
      <c r="J742" s="389"/>
      <c r="K742" s="139"/>
      <c r="L742" s="139"/>
      <c r="M742" s="403"/>
      <c r="N742" s="403"/>
      <c r="O742" s="403"/>
      <c r="P742" s="403"/>
      <c r="Q742" s="403"/>
      <c r="R742" s="403"/>
      <c r="S742" s="403"/>
      <c r="T742" s="403"/>
      <c r="U742" s="403"/>
      <c r="V742" s="403"/>
      <c r="W742" s="403"/>
    </row>
    <row r="743" spans="1:23">
      <c r="A743" s="57">
        <v>37258</v>
      </c>
      <c r="B743" s="386"/>
      <c r="C743" s="396"/>
      <c r="D743" s="139"/>
      <c r="E743" s="139"/>
      <c r="F743" s="139"/>
      <c r="G743" s="389"/>
      <c r="H743" s="389"/>
      <c r="I743" s="389"/>
      <c r="J743" s="389"/>
      <c r="K743" s="139"/>
      <c r="L743" s="139"/>
      <c r="M743" s="403"/>
      <c r="N743" s="403"/>
      <c r="O743" s="403"/>
      <c r="P743" s="403"/>
      <c r="Q743" s="403"/>
      <c r="R743" s="403"/>
      <c r="S743" s="403"/>
      <c r="T743" s="403"/>
      <c r="U743" s="403"/>
      <c r="V743" s="403"/>
      <c r="W743" s="403"/>
    </row>
    <row r="744" spans="1:23">
      <c r="A744" s="57">
        <v>37259</v>
      </c>
      <c r="B744" s="386"/>
      <c r="C744" s="396"/>
      <c r="D744" s="139"/>
      <c r="E744" s="139"/>
      <c r="F744" s="139"/>
      <c r="G744" s="389"/>
      <c r="H744" s="389"/>
      <c r="I744" s="389"/>
      <c r="J744" s="389"/>
      <c r="K744" s="139"/>
      <c r="L744" s="139"/>
      <c r="M744" s="403"/>
      <c r="N744" s="403"/>
      <c r="O744" s="403"/>
      <c r="P744" s="403"/>
      <c r="Q744" s="403"/>
      <c r="R744" s="403"/>
      <c r="S744" s="403"/>
      <c r="T744" s="403"/>
      <c r="U744" s="403"/>
      <c r="V744" s="403"/>
      <c r="W744" s="403"/>
    </row>
    <row r="745" spans="1:23">
      <c r="A745" s="57">
        <v>37260</v>
      </c>
      <c r="B745" s="386"/>
      <c r="C745" s="396"/>
      <c r="D745" s="139"/>
      <c r="E745" s="139"/>
      <c r="F745" s="139"/>
      <c r="G745" s="389"/>
      <c r="H745" s="389"/>
      <c r="I745" s="389"/>
      <c r="J745" s="389"/>
      <c r="K745" s="139"/>
      <c r="L745" s="139"/>
      <c r="M745" s="403"/>
      <c r="N745" s="403"/>
      <c r="O745" s="403"/>
      <c r="P745" s="403"/>
      <c r="Q745" s="403"/>
      <c r="R745" s="403"/>
      <c r="S745" s="403"/>
      <c r="T745" s="403"/>
      <c r="U745" s="403"/>
      <c r="V745" s="403"/>
      <c r="W745" s="403"/>
    </row>
    <row r="746" spans="1:23">
      <c r="A746" s="57">
        <v>37261</v>
      </c>
      <c r="B746" s="386"/>
      <c r="C746" s="396"/>
      <c r="D746" s="139"/>
      <c r="E746" s="139"/>
      <c r="F746" s="139"/>
      <c r="G746" s="389"/>
      <c r="H746" s="389"/>
      <c r="I746" s="389"/>
      <c r="J746" s="389"/>
      <c r="K746" s="139"/>
      <c r="L746" s="139"/>
      <c r="M746" s="403"/>
      <c r="N746" s="403"/>
      <c r="O746" s="403"/>
      <c r="P746" s="403"/>
      <c r="Q746" s="403"/>
      <c r="R746" s="403"/>
      <c r="S746" s="403"/>
      <c r="T746" s="403"/>
      <c r="U746" s="403"/>
      <c r="V746" s="403"/>
      <c r="W746" s="403"/>
    </row>
    <row r="747" spans="1:23">
      <c r="A747" s="57">
        <v>37262</v>
      </c>
      <c r="B747" s="386"/>
      <c r="C747" s="396"/>
      <c r="D747" s="139"/>
      <c r="E747" s="139"/>
      <c r="F747" s="139"/>
      <c r="G747" s="389"/>
      <c r="H747" s="389"/>
      <c r="I747" s="389"/>
      <c r="J747" s="389"/>
      <c r="K747" s="139"/>
      <c r="L747" s="139"/>
      <c r="M747" s="403"/>
      <c r="N747" s="403"/>
      <c r="O747" s="403"/>
      <c r="P747" s="403"/>
      <c r="Q747" s="403"/>
      <c r="R747" s="403"/>
      <c r="S747" s="403"/>
      <c r="T747" s="403"/>
      <c r="U747" s="403"/>
      <c r="V747" s="403"/>
      <c r="W747" s="403"/>
    </row>
    <row r="748" spans="1:23">
      <c r="A748" s="57">
        <v>37263</v>
      </c>
      <c r="B748" s="386"/>
      <c r="C748" s="396"/>
      <c r="D748" s="139"/>
      <c r="E748" s="139"/>
      <c r="F748" s="139"/>
      <c r="G748" s="389"/>
      <c r="H748" s="389"/>
      <c r="I748" s="389"/>
      <c r="J748" s="389"/>
      <c r="K748" s="139"/>
      <c r="L748" s="139"/>
      <c r="M748" s="403"/>
      <c r="N748" s="403"/>
      <c r="O748" s="403"/>
      <c r="P748" s="403"/>
      <c r="Q748" s="403"/>
      <c r="R748" s="403"/>
      <c r="S748" s="403"/>
      <c r="T748" s="403"/>
      <c r="U748" s="403"/>
      <c r="V748" s="403"/>
      <c r="W748" s="403"/>
    </row>
    <row r="749" spans="1:23">
      <c r="A749" s="57">
        <v>37264</v>
      </c>
      <c r="B749" s="386"/>
      <c r="C749" s="396"/>
      <c r="D749" s="139"/>
      <c r="E749" s="139"/>
      <c r="F749" s="139"/>
      <c r="G749" s="389"/>
      <c r="H749" s="389"/>
      <c r="I749" s="389"/>
      <c r="J749" s="389"/>
      <c r="K749" s="139"/>
      <c r="L749" s="139"/>
      <c r="M749" s="403"/>
      <c r="N749" s="403"/>
      <c r="O749" s="403"/>
      <c r="P749" s="403"/>
      <c r="Q749" s="403"/>
      <c r="R749" s="403"/>
      <c r="S749" s="403"/>
      <c r="T749" s="403"/>
      <c r="U749" s="403"/>
      <c r="V749" s="403"/>
      <c r="W749" s="403"/>
    </row>
    <row r="750" spans="1:23">
      <c r="A750" s="57">
        <v>37265</v>
      </c>
      <c r="B750" s="386"/>
      <c r="C750" s="396"/>
      <c r="D750" s="139"/>
      <c r="E750" s="139"/>
      <c r="F750" s="139"/>
      <c r="G750" s="389"/>
      <c r="H750" s="389"/>
      <c r="I750" s="389"/>
      <c r="J750" s="389"/>
      <c r="K750" s="139"/>
      <c r="L750" s="139"/>
      <c r="M750" s="403"/>
      <c r="N750" s="403"/>
      <c r="O750" s="403"/>
      <c r="P750" s="403"/>
      <c r="Q750" s="403"/>
      <c r="R750" s="403"/>
      <c r="S750" s="403"/>
      <c r="T750" s="403"/>
      <c r="U750" s="403"/>
      <c r="V750" s="403"/>
      <c r="W750" s="403"/>
    </row>
    <row r="751" spans="1:23">
      <c r="A751" s="57">
        <v>37266</v>
      </c>
      <c r="B751" s="386"/>
      <c r="C751" s="396"/>
      <c r="D751" s="139"/>
      <c r="E751" s="139"/>
      <c r="F751" s="139"/>
      <c r="G751" s="389"/>
      <c r="H751" s="389"/>
      <c r="I751" s="389"/>
      <c r="J751" s="389"/>
      <c r="K751" s="139"/>
      <c r="L751" s="139"/>
      <c r="M751" s="403"/>
      <c r="N751" s="403"/>
      <c r="O751" s="403"/>
      <c r="P751" s="403"/>
      <c r="Q751" s="403"/>
      <c r="R751" s="403"/>
      <c r="S751" s="403"/>
      <c r="T751" s="403"/>
      <c r="U751" s="403"/>
      <c r="V751" s="403"/>
      <c r="W751" s="403"/>
    </row>
    <row r="752" spans="1:23">
      <c r="A752" s="57">
        <v>37267</v>
      </c>
      <c r="B752" s="386"/>
      <c r="C752" s="396"/>
      <c r="D752" s="139"/>
      <c r="E752" s="139"/>
      <c r="F752" s="139"/>
      <c r="G752" s="389"/>
      <c r="H752" s="389"/>
      <c r="I752" s="389"/>
      <c r="J752" s="389"/>
      <c r="K752" s="139"/>
      <c r="L752" s="139"/>
      <c r="M752" s="403"/>
      <c r="N752" s="403"/>
      <c r="O752" s="403"/>
      <c r="P752" s="403"/>
      <c r="Q752" s="403"/>
      <c r="R752" s="403"/>
      <c r="S752" s="403"/>
      <c r="T752" s="403"/>
      <c r="U752" s="403"/>
      <c r="V752" s="403"/>
      <c r="W752" s="403"/>
    </row>
    <row r="753" spans="1:23">
      <c r="A753" s="57">
        <v>37268</v>
      </c>
      <c r="B753" s="386"/>
      <c r="C753" s="396"/>
      <c r="D753" s="139"/>
      <c r="E753" s="139"/>
      <c r="F753" s="139"/>
      <c r="G753" s="389"/>
      <c r="H753" s="389"/>
      <c r="I753" s="389"/>
      <c r="J753" s="389"/>
      <c r="K753" s="139"/>
      <c r="L753" s="139"/>
      <c r="M753" s="403"/>
      <c r="N753" s="403"/>
      <c r="O753" s="403"/>
      <c r="P753" s="403"/>
      <c r="Q753" s="403"/>
      <c r="R753" s="403"/>
      <c r="S753" s="403"/>
      <c r="T753" s="403"/>
      <c r="U753" s="403"/>
      <c r="V753" s="403"/>
      <c r="W753" s="403"/>
    </row>
    <row r="754" spans="1:23">
      <c r="A754" s="57">
        <v>37269</v>
      </c>
      <c r="B754" s="386"/>
      <c r="C754" s="396"/>
      <c r="D754" s="139"/>
      <c r="E754" s="139"/>
      <c r="F754" s="139"/>
      <c r="G754" s="389"/>
      <c r="H754" s="389"/>
      <c r="I754" s="389"/>
      <c r="J754" s="389"/>
      <c r="K754" s="139"/>
      <c r="L754" s="139"/>
      <c r="M754" s="403"/>
      <c r="N754" s="403"/>
      <c r="O754" s="403"/>
      <c r="P754" s="403"/>
      <c r="Q754" s="403"/>
      <c r="R754" s="403"/>
      <c r="S754" s="403"/>
      <c r="T754" s="403"/>
      <c r="U754" s="403"/>
      <c r="V754" s="403"/>
      <c r="W754" s="403"/>
    </row>
    <row r="755" spans="1:23">
      <c r="A755" s="57">
        <v>37270</v>
      </c>
      <c r="B755" s="386"/>
      <c r="C755" s="396"/>
      <c r="D755" s="139"/>
      <c r="E755" s="139"/>
      <c r="F755" s="139"/>
      <c r="G755" s="389"/>
      <c r="H755" s="389"/>
      <c r="I755" s="389"/>
      <c r="J755" s="389"/>
      <c r="K755" s="139"/>
      <c r="L755" s="139"/>
      <c r="M755" s="403"/>
      <c r="N755" s="403"/>
      <c r="O755" s="403"/>
      <c r="P755" s="403"/>
      <c r="Q755" s="403"/>
      <c r="R755" s="403"/>
      <c r="S755" s="403"/>
      <c r="T755" s="403"/>
      <c r="U755" s="403"/>
      <c r="V755" s="403"/>
      <c r="W755" s="403"/>
    </row>
    <row r="756" spans="1:23">
      <c r="A756" s="57">
        <v>37271</v>
      </c>
      <c r="B756" s="386"/>
      <c r="C756" s="396"/>
      <c r="D756" s="139"/>
      <c r="E756" s="139"/>
      <c r="F756" s="139"/>
      <c r="G756" s="389"/>
      <c r="H756" s="389"/>
      <c r="I756" s="389"/>
      <c r="J756" s="389"/>
      <c r="K756" s="139"/>
      <c r="L756" s="139"/>
      <c r="M756" s="403"/>
      <c r="N756" s="403"/>
      <c r="O756" s="403"/>
      <c r="P756" s="403"/>
      <c r="Q756" s="403"/>
      <c r="R756" s="403"/>
      <c r="S756" s="403"/>
      <c r="T756" s="403"/>
      <c r="U756" s="403"/>
      <c r="V756" s="403"/>
      <c r="W756" s="403"/>
    </row>
    <row r="757" spans="1:23">
      <c r="A757" s="57">
        <v>37272</v>
      </c>
      <c r="B757" s="386"/>
      <c r="C757" s="396"/>
      <c r="D757" s="139"/>
      <c r="E757" s="139"/>
      <c r="F757" s="139"/>
      <c r="G757" s="389"/>
      <c r="H757" s="389"/>
      <c r="I757" s="389"/>
      <c r="J757" s="389"/>
      <c r="K757" s="139"/>
      <c r="L757" s="139"/>
      <c r="M757" s="403"/>
      <c r="N757" s="403"/>
      <c r="O757" s="403"/>
      <c r="P757" s="403"/>
      <c r="Q757" s="403"/>
      <c r="R757" s="403"/>
      <c r="S757" s="403"/>
      <c r="T757" s="403"/>
      <c r="U757" s="403"/>
      <c r="V757" s="403"/>
      <c r="W757" s="403"/>
    </row>
    <row r="758" spans="1:23">
      <c r="A758" s="57">
        <v>37273</v>
      </c>
      <c r="B758" s="386"/>
      <c r="C758" s="396"/>
      <c r="D758" s="139"/>
      <c r="E758" s="139"/>
      <c r="F758" s="139"/>
      <c r="G758" s="389"/>
      <c r="H758" s="389"/>
      <c r="I758" s="389"/>
      <c r="J758" s="389"/>
      <c r="K758" s="139"/>
      <c r="L758" s="139"/>
      <c r="M758" s="403"/>
      <c r="N758" s="403"/>
      <c r="O758" s="403"/>
      <c r="P758" s="403"/>
      <c r="Q758" s="403"/>
      <c r="R758" s="403"/>
      <c r="S758" s="403"/>
      <c r="T758" s="403"/>
      <c r="U758" s="403"/>
      <c r="V758" s="403"/>
      <c r="W758" s="403"/>
    </row>
    <row r="759" spans="1:23">
      <c r="A759" s="57">
        <v>37274</v>
      </c>
      <c r="B759" s="386"/>
      <c r="C759" s="396"/>
      <c r="D759" s="139"/>
      <c r="E759" s="139"/>
      <c r="F759" s="139"/>
      <c r="G759" s="389"/>
      <c r="H759" s="389"/>
      <c r="I759" s="389"/>
      <c r="J759" s="389"/>
      <c r="K759" s="139"/>
      <c r="L759" s="139"/>
      <c r="M759" s="403"/>
      <c r="N759" s="403"/>
      <c r="O759" s="403"/>
      <c r="P759" s="403"/>
      <c r="Q759" s="403"/>
      <c r="R759" s="403"/>
      <c r="S759" s="403"/>
      <c r="T759" s="403"/>
      <c r="U759" s="403"/>
      <c r="V759" s="403"/>
      <c r="W759" s="403"/>
    </row>
    <row r="760" spans="1:23">
      <c r="A760" s="57">
        <v>37275</v>
      </c>
      <c r="B760" s="386"/>
      <c r="C760" s="396"/>
      <c r="D760" s="139"/>
      <c r="E760" s="139"/>
      <c r="F760" s="139"/>
      <c r="G760" s="389"/>
      <c r="H760" s="389"/>
      <c r="I760" s="389"/>
      <c r="J760" s="389"/>
      <c r="K760" s="139"/>
      <c r="L760" s="139"/>
      <c r="M760" s="403"/>
      <c r="N760" s="403"/>
      <c r="O760" s="403"/>
      <c r="P760" s="403"/>
      <c r="Q760" s="403"/>
      <c r="R760" s="403"/>
      <c r="S760" s="403"/>
      <c r="T760" s="403"/>
      <c r="U760" s="403"/>
      <c r="V760" s="403"/>
      <c r="W760" s="403"/>
    </row>
    <row r="761" spans="1:23">
      <c r="A761" s="57">
        <v>37276</v>
      </c>
      <c r="B761" s="386"/>
      <c r="C761" s="396"/>
      <c r="D761" s="139"/>
      <c r="E761" s="139"/>
      <c r="F761" s="139"/>
      <c r="G761" s="389"/>
      <c r="H761" s="389"/>
      <c r="I761" s="389"/>
      <c r="J761" s="389"/>
      <c r="K761" s="139"/>
      <c r="L761" s="139"/>
      <c r="M761" s="403"/>
      <c r="N761" s="403"/>
      <c r="O761" s="403"/>
      <c r="P761" s="403"/>
      <c r="Q761" s="403"/>
      <c r="R761" s="403"/>
      <c r="S761" s="403"/>
      <c r="T761" s="403"/>
      <c r="U761" s="403"/>
      <c r="V761" s="403"/>
      <c r="W761" s="403"/>
    </row>
    <row r="762" spans="1:23">
      <c r="A762" s="57">
        <v>37277</v>
      </c>
      <c r="B762" s="386"/>
      <c r="C762" s="396"/>
      <c r="D762" s="139"/>
      <c r="E762" s="139"/>
      <c r="F762" s="139"/>
      <c r="G762" s="389"/>
      <c r="H762" s="389"/>
      <c r="I762" s="389"/>
      <c r="J762" s="389"/>
      <c r="K762" s="139"/>
      <c r="L762" s="139"/>
      <c r="M762" s="403"/>
      <c r="N762" s="403"/>
      <c r="O762" s="403"/>
      <c r="P762" s="403"/>
      <c r="Q762" s="403"/>
      <c r="R762" s="403"/>
      <c r="S762" s="403"/>
      <c r="T762" s="403"/>
      <c r="U762" s="403"/>
      <c r="V762" s="403"/>
      <c r="W762" s="403"/>
    </row>
    <row r="763" spans="1:23">
      <c r="A763" s="57">
        <v>37278</v>
      </c>
      <c r="B763" s="386"/>
      <c r="C763" s="396"/>
      <c r="D763" s="139"/>
      <c r="E763" s="139"/>
      <c r="F763" s="139"/>
      <c r="G763" s="389"/>
      <c r="H763" s="389"/>
      <c r="I763" s="389"/>
      <c r="J763" s="389"/>
      <c r="K763" s="139"/>
      <c r="L763" s="139"/>
      <c r="M763" s="403"/>
      <c r="N763" s="403"/>
      <c r="O763" s="403"/>
      <c r="P763" s="403"/>
      <c r="Q763" s="403"/>
      <c r="R763" s="403"/>
      <c r="S763" s="403"/>
      <c r="T763" s="403"/>
      <c r="U763" s="403"/>
      <c r="V763" s="403"/>
      <c r="W763" s="403"/>
    </row>
    <row r="764" spans="1:23">
      <c r="A764" s="57">
        <v>37279</v>
      </c>
      <c r="B764" s="386"/>
      <c r="C764" s="396"/>
      <c r="D764" s="139"/>
      <c r="E764" s="139"/>
      <c r="F764" s="139"/>
      <c r="G764" s="389"/>
      <c r="H764" s="389"/>
      <c r="I764" s="389"/>
      <c r="J764" s="389"/>
      <c r="K764" s="139"/>
      <c r="L764" s="139"/>
      <c r="M764" s="403"/>
      <c r="N764" s="403"/>
      <c r="O764" s="403"/>
      <c r="P764" s="403"/>
      <c r="Q764" s="403"/>
      <c r="R764" s="403"/>
      <c r="S764" s="403"/>
      <c r="T764" s="403"/>
      <c r="U764" s="403"/>
      <c r="V764" s="403"/>
      <c r="W764" s="403"/>
    </row>
    <row r="765" spans="1:23">
      <c r="A765" s="57">
        <v>37280</v>
      </c>
      <c r="B765" s="386"/>
      <c r="C765" s="396"/>
      <c r="D765" s="139"/>
      <c r="E765" s="139"/>
      <c r="F765" s="139"/>
      <c r="G765" s="389"/>
      <c r="H765" s="389"/>
      <c r="I765" s="389"/>
      <c r="J765" s="389"/>
      <c r="K765" s="139"/>
      <c r="L765" s="139"/>
      <c r="M765" s="403"/>
      <c r="N765" s="403"/>
      <c r="O765" s="403"/>
      <c r="P765" s="403"/>
      <c r="Q765" s="403"/>
      <c r="R765" s="403"/>
      <c r="S765" s="403"/>
      <c r="T765" s="403"/>
      <c r="U765" s="403"/>
      <c r="V765" s="403"/>
      <c r="W765" s="403"/>
    </row>
    <row r="766" spans="1:23">
      <c r="A766" s="57">
        <v>37281</v>
      </c>
      <c r="B766" s="386"/>
      <c r="C766" s="396"/>
      <c r="D766" s="139"/>
      <c r="E766" s="139"/>
      <c r="F766" s="139"/>
      <c r="G766" s="389"/>
      <c r="H766" s="389"/>
      <c r="I766" s="389"/>
      <c r="J766" s="389"/>
      <c r="K766" s="139"/>
      <c r="L766" s="139"/>
      <c r="M766" s="403"/>
      <c r="N766" s="403"/>
      <c r="O766" s="403"/>
      <c r="P766" s="403"/>
      <c r="Q766" s="403"/>
      <c r="R766" s="403"/>
      <c r="S766" s="403"/>
      <c r="T766" s="403"/>
      <c r="U766" s="403"/>
      <c r="V766" s="403"/>
      <c r="W766" s="403"/>
    </row>
    <row r="767" spans="1:23">
      <c r="A767" s="57">
        <v>37282</v>
      </c>
      <c r="B767" s="386"/>
      <c r="C767" s="396"/>
      <c r="D767" s="139"/>
      <c r="E767" s="139"/>
      <c r="F767" s="139"/>
      <c r="G767" s="389"/>
      <c r="H767" s="389"/>
      <c r="I767" s="389"/>
      <c r="J767" s="389"/>
      <c r="K767" s="139"/>
      <c r="L767" s="139"/>
      <c r="M767" s="403"/>
      <c r="N767" s="403"/>
      <c r="O767" s="403"/>
      <c r="P767" s="403"/>
      <c r="Q767" s="403"/>
      <c r="R767" s="403"/>
      <c r="S767" s="403"/>
      <c r="T767" s="403"/>
      <c r="U767" s="403"/>
      <c r="V767" s="403"/>
      <c r="W767" s="403"/>
    </row>
    <row r="768" spans="1:23">
      <c r="A768" s="57">
        <v>37283</v>
      </c>
      <c r="B768" s="386"/>
      <c r="C768" s="396"/>
      <c r="D768" s="139"/>
      <c r="E768" s="139"/>
      <c r="F768" s="139"/>
      <c r="G768" s="389"/>
      <c r="H768" s="389"/>
      <c r="I768" s="389"/>
      <c r="J768" s="389"/>
      <c r="K768" s="139"/>
      <c r="L768" s="139"/>
      <c r="M768" s="403"/>
      <c r="N768" s="403"/>
      <c r="O768" s="403"/>
      <c r="P768" s="403"/>
      <c r="Q768" s="403"/>
      <c r="R768" s="403"/>
      <c r="S768" s="403"/>
      <c r="T768" s="403"/>
      <c r="U768" s="403"/>
      <c r="V768" s="403"/>
      <c r="W768" s="403"/>
    </row>
    <row r="769" spans="1:23">
      <c r="A769" s="57">
        <v>37284</v>
      </c>
      <c r="B769" s="386"/>
      <c r="C769" s="396"/>
      <c r="D769" s="139"/>
      <c r="E769" s="139"/>
      <c r="F769" s="139"/>
      <c r="G769" s="389"/>
      <c r="H769" s="389"/>
      <c r="I769" s="389"/>
      <c r="J769" s="389"/>
      <c r="K769" s="139"/>
      <c r="L769" s="139"/>
      <c r="M769" s="403"/>
      <c r="N769" s="403"/>
      <c r="O769" s="403"/>
      <c r="P769" s="403"/>
      <c r="Q769" s="403"/>
      <c r="R769" s="403"/>
      <c r="S769" s="403"/>
      <c r="T769" s="403"/>
      <c r="U769" s="403"/>
      <c r="V769" s="403"/>
      <c r="W769" s="403"/>
    </row>
    <row r="770" spans="1:23">
      <c r="A770" s="57">
        <v>37285</v>
      </c>
      <c r="B770" s="386"/>
      <c r="C770" s="396"/>
      <c r="D770" s="139"/>
      <c r="E770" s="139"/>
      <c r="F770" s="139"/>
      <c r="G770" s="389"/>
      <c r="H770" s="389"/>
      <c r="I770" s="389"/>
      <c r="J770" s="389"/>
      <c r="K770" s="139"/>
      <c r="L770" s="139"/>
      <c r="M770" s="403"/>
      <c r="N770" s="403"/>
      <c r="O770" s="403"/>
      <c r="P770" s="403"/>
      <c r="Q770" s="403"/>
      <c r="R770" s="403"/>
      <c r="S770" s="403"/>
      <c r="T770" s="403"/>
      <c r="U770" s="403"/>
      <c r="V770" s="403"/>
      <c r="W770" s="403"/>
    </row>
    <row r="771" spans="1:23">
      <c r="A771" s="57">
        <v>37286</v>
      </c>
      <c r="B771" s="386"/>
      <c r="C771" s="396"/>
      <c r="D771" s="139"/>
      <c r="E771" s="139"/>
      <c r="F771" s="139"/>
      <c r="G771" s="389"/>
      <c r="H771" s="389"/>
      <c r="I771" s="389"/>
      <c r="J771" s="389"/>
      <c r="K771" s="139"/>
      <c r="L771" s="139"/>
      <c r="M771" s="403"/>
      <c r="N771" s="403"/>
      <c r="O771" s="403"/>
      <c r="P771" s="403"/>
      <c r="Q771" s="403"/>
      <c r="R771" s="403"/>
      <c r="S771" s="403"/>
      <c r="T771" s="403"/>
      <c r="U771" s="403"/>
      <c r="V771" s="403"/>
      <c r="W771" s="403"/>
    </row>
    <row r="772" spans="1:23">
      <c r="A772" s="57">
        <v>37287</v>
      </c>
      <c r="B772" s="386"/>
      <c r="C772" s="396"/>
      <c r="D772" s="139"/>
      <c r="E772" s="139"/>
      <c r="F772" s="139"/>
      <c r="G772" s="389"/>
      <c r="H772" s="389"/>
      <c r="I772" s="389"/>
      <c r="J772" s="389"/>
      <c r="K772" s="139"/>
      <c r="L772" s="139"/>
      <c r="M772" s="403"/>
      <c r="N772" s="403"/>
      <c r="O772" s="403"/>
      <c r="P772" s="403"/>
      <c r="Q772" s="403"/>
      <c r="R772" s="403"/>
      <c r="S772" s="403"/>
      <c r="T772" s="403"/>
      <c r="U772" s="403"/>
      <c r="V772" s="403"/>
      <c r="W772" s="403"/>
    </row>
    <row r="773" spans="1:23">
      <c r="A773" s="57">
        <v>37288</v>
      </c>
      <c r="B773" s="386"/>
      <c r="C773" s="396"/>
      <c r="D773" s="139"/>
      <c r="E773" s="139"/>
      <c r="F773" s="139"/>
      <c r="G773" s="389"/>
      <c r="H773" s="389"/>
      <c r="I773" s="389"/>
      <c r="J773" s="389"/>
      <c r="K773" s="139"/>
      <c r="L773" s="139"/>
      <c r="M773" s="403"/>
      <c r="N773" s="403"/>
      <c r="O773" s="403"/>
      <c r="P773" s="403"/>
      <c r="Q773" s="403"/>
      <c r="R773" s="403"/>
      <c r="S773" s="403"/>
      <c r="T773" s="403"/>
      <c r="U773" s="403"/>
      <c r="V773" s="403"/>
      <c r="W773" s="403"/>
    </row>
    <row r="774" spans="1:23">
      <c r="A774" s="57">
        <v>37289</v>
      </c>
      <c r="B774" s="386"/>
      <c r="C774" s="396"/>
      <c r="D774" s="139"/>
      <c r="E774" s="139"/>
      <c r="F774" s="139"/>
      <c r="G774" s="389"/>
      <c r="H774" s="389"/>
      <c r="I774" s="389"/>
      <c r="J774" s="389"/>
      <c r="K774" s="139"/>
      <c r="L774" s="139"/>
      <c r="M774" s="403"/>
      <c r="N774" s="403"/>
      <c r="O774" s="403"/>
      <c r="P774" s="403"/>
      <c r="Q774" s="403"/>
      <c r="R774" s="403"/>
      <c r="S774" s="403"/>
      <c r="T774" s="403"/>
      <c r="U774" s="403"/>
      <c r="V774" s="403"/>
      <c r="W774" s="403"/>
    </row>
    <row r="775" spans="1:23">
      <c r="A775" s="57">
        <v>37290</v>
      </c>
      <c r="B775" s="386"/>
      <c r="C775" s="396"/>
      <c r="D775" s="139"/>
      <c r="E775" s="139"/>
      <c r="F775" s="139"/>
      <c r="G775" s="389"/>
      <c r="H775" s="389"/>
      <c r="I775" s="389"/>
      <c r="J775" s="389"/>
      <c r="K775" s="139"/>
      <c r="L775" s="139"/>
      <c r="M775" s="403"/>
      <c r="N775" s="403"/>
      <c r="O775" s="403"/>
      <c r="P775" s="403"/>
      <c r="Q775" s="403"/>
      <c r="R775" s="403"/>
      <c r="S775" s="403"/>
      <c r="T775" s="403"/>
      <c r="U775" s="403"/>
      <c r="V775" s="403"/>
      <c r="W775" s="403"/>
    </row>
    <row r="776" spans="1:23">
      <c r="A776" s="57">
        <v>37291</v>
      </c>
      <c r="B776" s="386"/>
      <c r="C776" s="396"/>
      <c r="D776" s="139"/>
      <c r="E776" s="139"/>
      <c r="F776" s="139"/>
      <c r="G776" s="389"/>
      <c r="H776" s="389"/>
      <c r="I776" s="389"/>
      <c r="J776" s="389"/>
      <c r="K776" s="139"/>
      <c r="L776" s="139"/>
      <c r="M776" s="403"/>
      <c r="N776" s="403"/>
      <c r="O776" s="403"/>
      <c r="P776" s="403"/>
      <c r="Q776" s="403"/>
      <c r="R776" s="403"/>
      <c r="S776" s="403"/>
      <c r="T776" s="403"/>
      <c r="U776" s="403"/>
      <c r="V776" s="403"/>
      <c r="W776" s="403"/>
    </row>
    <row r="777" spans="1:23">
      <c r="A777" s="57">
        <v>37292</v>
      </c>
      <c r="B777" s="386"/>
      <c r="C777" s="396"/>
      <c r="D777" s="139"/>
      <c r="E777" s="139"/>
      <c r="F777" s="139"/>
      <c r="G777" s="389"/>
      <c r="H777" s="389"/>
      <c r="I777" s="389"/>
      <c r="J777" s="389"/>
      <c r="K777" s="139"/>
      <c r="L777" s="139"/>
      <c r="M777" s="403"/>
      <c r="N777" s="403"/>
      <c r="O777" s="403"/>
      <c r="P777" s="403"/>
      <c r="Q777" s="403"/>
      <c r="R777" s="403"/>
      <c r="S777" s="403"/>
      <c r="T777" s="403"/>
      <c r="U777" s="403"/>
      <c r="V777" s="403"/>
      <c r="W777" s="403"/>
    </row>
    <row r="778" spans="1:23">
      <c r="A778" s="57">
        <v>37293</v>
      </c>
      <c r="B778" s="386"/>
      <c r="C778" s="396"/>
      <c r="D778" s="139"/>
      <c r="E778" s="139"/>
      <c r="F778" s="139"/>
      <c r="G778" s="389"/>
      <c r="H778" s="389"/>
      <c r="I778" s="389"/>
      <c r="J778" s="389"/>
      <c r="K778" s="139"/>
      <c r="L778" s="139"/>
      <c r="M778" s="403"/>
      <c r="N778" s="403"/>
      <c r="O778" s="403"/>
      <c r="P778" s="403"/>
      <c r="Q778" s="403"/>
      <c r="R778" s="403"/>
      <c r="S778" s="403"/>
      <c r="T778" s="403"/>
      <c r="U778" s="403"/>
      <c r="V778" s="403"/>
      <c r="W778" s="403"/>
    </row>
    <row r="779" spans="1:23">
      <c r="A779" s="57">
        <v>37294</v>
      </c>
      <c r="B779" s="386"/>
      <c r="C779" s="396"/>
      <c r="D779" s="139"/>
      <c r="E779" s="139"/>
      <c r="F779" s="139"/>
      <c r="G779" s="389"/>
      <c r="H779" s="389"/>
      <c r="I779" s="389"/>
      <c r="J779" s="389"/>
      <c r="K779" s="139"/>
      <c r="L779" s="139"/>
      <c r="M779" s="403"/>
      <c r="N779" s="403"/>
      <c r="O779" s="403"/>
      <c r="P779" s="403"/>
      <c r="Q779" s="403"/>
      <c r="R779" s="403"/>
      <c r="S779" s="403"/>
      <c r="T779" s="403"/>
      <c r="U779" s="403"/>
      <c r="V779" s="403"/>
      <c r="W779" s="403"/>
    </row>
    <row r="780" spans="1:23">
      <c r="A780" s="57">
        <v>37295</v>
      </c>
      <c r="B780" s="386"/>
      <c r="C780" s="396"/>
      <c r="D780" s="139"/>
      <c r="E780" s="139"/>
      <c r="F780" s="139"/>
      <c r="G780" s="389"/>
      <c r="H780" s="389"/>
      <c r="I780" s="389"/>
      <c r="J780" s="389"/>
      <c r="K780" s="139"/>
      <c r="L780" s="139"/>
      <c r="M780" s="403"/>
      <c r="N780" s="403"/>
      <c r="O780" s="403"/>
      <c r="P780" s="403"/>
      <c r="Q780" s="403"/>
      <c r="R780" s="403"/>
      <c r="S780" s="403"/>
      <c r="T780" s="403"/>
      <c r="U780" s="403"/>
      <c r="V780" s="403"/>
      <c r="W780" s="403"/>
    </row>
    <row r="781" spans="1:23">
      <c r="A781" s="57">
        <v>37296</v>
      </c>
      <c r="B781" s="386"/>
      <c r="C781" s="396"/>
      <c r="D781" s="139"/>
      <c r="E781" s="139"/>
      <c r="F781" s="139"/>
      <c r="G781" s="389"/>
      <c r="H781" s="389"/>
      <c r="I781" s="389"/>
      <c r="J781" s="389"/>
      <c r="K781" s="139"/>
      <c r="L781" s="139"/>
      <c r="M781" s="403"/>
      <c r="N781" s="403"/>
      <c r="O781" s="403"/>
      <c r="P781" s="403"/>
      <c r="Q781" s="403"/>
      <c r="R781" s="403"/>
      <c r="S781" s="403"/>
      <c r="T781" s="403"/>
      <c r="U781" s="403"/>
      <c r="V781" s="403"/>
      <c r="W781" s="403"/>
    </row>
    <row r="782" spans="1:23">
      <c r="A782" s="57">
        <v>37297</v>
      </c>
      <c r="B782" s="386"/>
      <c r="C782" s="396"/>
      <c r="D782" s="139"/>
      <c r="E782" s="139"/>
      <c r="F782" s="139"/>
      <c r="G782" s="389"/>
      <c r="H782" s="389"/>
      <c r="I782" s="389"/>
      <c r="J782" s="389"/>
      <c r="K782" s="139"/>
      <c r="L782" s="139"/>
      <c r="M782" s="403"/>
      <c r="N782" s="403"/>
      <c r="O782" s="403"/>
      <c r="P782" s="403"/>
      <c r="Q782" s="403"/>
      <c r="R782" s="403"/>
      <c r="S782" s="403"/>
      <c r="T782" s="403"/>
      <c r="U782" s="403"/>
      <c r="V782" s="403"/>
      <c r="W782" s="403"/>
    </row>
    <row r="783" spans="1:23">
      <c r="A783" s="57">
        <v>37298</v>
      </c>
      <c r="B783" s="386"/>
      <c r="C783" s="396"/>
      <c r="D783" s="139"/>
      <c r="E783" s="139"/>
      <c r="F783" s="139"/>
      <c r="G783" s="389"/>
      <c r="H783" s="389"/>
      <c r="I783" s="389"/>
      <c r="J783" s="389"/>
      <c r="K783" s="139"/>
      <c r="L783" s="139"/>
      <c r="M783" s="403"/>
      <c r="N783" s="403"/>
      <c r="O783" s="403"/>
      <c r="P783" s="403"/>
      <c r="Q783" s="403"/>
      <c r="R783" s="403"/>
      <c r="S783" s="403"/>
      <c r="T783" s="403"/>
      <c r="U783" s="403"/>
      <c r="V783" s="403"/>
      <c r="W783" s="403"/>
    </row>
    <row r="784" spans="1:23">
      <c r="A784" s="57">
        <v>37299</v>
      </c>
      <c r="B784" s="386"/>
      <c r="C784" s="396"/>
      <c r="D784" s="139"/>
      <c r="E784" s="139"/>
      <c r="F784" s="139"/>
      <c r="G784" s="389"/>
      <c r="H784" s="389"/>
      <c r="I784" s="389"/>
      <c r="J784" s="389"/>
      <c r="K784" s="139"/>
      <c r="L784" s="139"/>
      <c r="M784" s="403"/>
      <c r="N784" s="403"/>
      <c r="O784" s="403"/>
      <c r="P784" s="403"/>
      <c r="Q784" s="403"/>
      <c r="R784" s="403"/>
      <c r="S784" s="403"/>
      <c r="T784" s="403"/>
      <c r="U784" s="403"/>
      <c r="V784" s="403"/>
      <c r="W784" s="403"/>
    </row>
    <row r="785" spans="1:23">
      <c r="A785" s="57">
        <v>37300</v>
      </c>
      <c r="B785" s="386"/>
      <c r="C785" s="396"/>
      <c r="D785" s="139"/>
      <c r="E785" s="139"/>
      <c r="F785" s="139"/>
      <c r="G785" s="389"/>
      <c r="H785" s="389"/>
      <c r="I785" s="389"/>
      <c r="J785" s="389"/>
      <c r="K785" s="139"/>
      <c r="L785" s="139"/>
      <c r="M785" s="403"/>
      <c r="N785" s="403"/>
      <c r="O785" s="403"/>
      <c r="P785" s="403"/>
      <c r="Q785" s="403"/>
      <c r="R785" s="403"/>
      <c r="S785" s="403"/>
      <c r="T785" s="403"/>
      <c r="U785" s="403"/>
      <c r="V785" s="403"/>
      <c r="W785" s="403"/>
    </row>
    <row r="786" spans="1:23">
      <c r="A786" s="57">
        <v>37301</v>
      </c>
      <c r="B786" s="386"/>
      <c r="C786" s="396"/>
      <c r="D786" s="139"/>
      <c r="E786" s="139"/>
      <c r="F786" s="139"/>
      <c r="G786" s="389"/>
      <c r="H786" s="389"/>
      <c r="I786" s="389"/>
      <c r="J786" s="389"/>
      <c r="K786" s="139"/>
      <c r="L786" s="139"/>
      <c r="M786" s="403"/>
      <c r="N786" s="403"/>
      <c r="O786" s="403"/>
      <c r="P786" s="403"/>
      <c r="Q786" s="403"/>
      <c r="R786" s="403"/>
      <c r="S786" s="403"/>
      <c r="T786" s="403"/>
      <c r="U786" s="403"/>
      <c r="V786" s="403"/>
      <c r="W786" s="403"/>
    </row>
    <row r="787" spans="1:23">
      <c r="A787" s="57">
        <v>37302</v>
      </c>
      <c r="B787" s="386"/>
      <c r="C787" s="396"/>
      <c r="D787" s="139"/>
      <c r="E787" s="139"/>
      <c r="F787" s="139"/>
      <c r="G787" s="389"/>
      <c r="H787" s="389"/>
      <c r="I787" s="389"/>
      <c r="J787" s="389"/>
      <c r="K787" s="139"/>
      <c r="L787" s="139"/>
      <c r="M787" s="403"/>
      <c r="N787" s="403"/>
      <c r="O787" s="403"/>
      <c r="P787" s="403"/>
      <c r="Q787" s="403"/>
      <c r="R787" s="403"/>
      <c r="S787" s="403"/>
      <c r="T787" s="403"/>
      <c r="U787" s="403"/>
      <c r="V787" s="403"/>
      <c r="W787" s="403"/>
    </row>
    <row r="788" spans="1:23">
      <c r="A788" s="57">
        <v>37303</v>
      </c>
      <c r="B788" s="386"/>
      <c r="C788" s="396"/>
      <c r="D788" s="139"/>
      <c r="E788" s="139"/>
      <c r="F788" s="139"/>
      <c r="G788" s="389"/>
      <c r="H788" s="389"/>
      <c r="I788" s="389"/>
      <c r="J788" s="389"/>
      <c r="K788" s="139"/>
      <c r="L788" s="139"/>
      <c r="M788" s="403"/>
      <c r="N788" s="403"/>
      <c r="O788" s="403"/>
      <c r="P788" s="403"/>
      <c r="Q788" s="403"/>
      <c r="R788" s="403"/>
      <c r="S788" s="403"/>
      <c r="T788" s="403"/>
      <c r="U788" s="403"/>
      <c r="V788" s="403"/>
      <c r="W788" s="403"/>
    </row>
    <row r="789" spans="1:23">
      <c r="A789" s="57">
        <v>37304</v>
      </c>
      <c r="B789" s="386"/>
      <c r="C789" s="396"/>
      <c r="D789" s="139"/>
      <c r="E789" s="139"/>
      <c r="F789" s="139"/>
      <c r="G789" s="389"/>
      <c r="H789" s="389"/>
      <c r="I789" s="389"/>
      <c r="J789" s="389"/>
      <c r="K789" s="139"/>
      <c r="L789" s="139"/>
      <c r="M789" s="403"/>
      <c r="N789" s="403"/>
      <c r="O789" s="403"/>
      <c r="P789" s="403"/>
      <c r="Q789" s="403"/>
      <c r="R789" s="403"/>
      <c r="S789" s="403"/>
      <c r="T789" s="403"/>
      <c r="U789" s="403"/>
      <c r="V789" s="403"/>
      <c r="W789" s="403"/>
    </row>
    <row r="790" spans="1:23">
      <c r="A790" s="57">
        <v>37305</v>
      </c>
      <c r="B790" s="386"/>
      <c r="C790" s="396"/>
      <c r="D790" s="139"/>
      <c r="E790" s="139"/>
      <c r="F790" s="139"/>
      <c r="G790" s="389"/>
      <c r="H790" s="389"/>
      <c r="I790" s="389"/>
      <c r="J790" s="389"/>
      <c r="K790" s="139"/>
      <c r="L790" s="139"/>
      <c r="M790" s="403"/>
      <c r="N790" s="403"/>
      <c r="O790" s="403"/>
      <c r="P790" s="403"/>
      <c r="Q790" s="403"/>
      <c r="R790" s="403"/>
      <c r="S790" s="403"/>
      <c r="T790" s="403"/>
      <c r="U790" s="403"/>
      <c r="V790" s="403"/>
      <c r="W790" s="403"/>
    </row>
    <row r="791" spans="1:23">
      <c r="A791" s="57">
        <v>37306</v>
      </c>
      <c r="B791" s="386"/>
      <c r="C791" s="396"/>
      <c r="D791" s="139"/>
      <c r="E791" s="139"/>
      <c r="F791" s="139"/>
      <c r="G791" s="389"/>
      <c r="H791" s="389"/>
      <c r="I791" s="389"/>
      <c r="J791" s="389"/>
      <c r="K791" s="139"/>
      <c r="L791" s="139"/>
      <c r="M791" s="403"/>
      <c r="N791" s="403"/>
      <c r="O791" s="403"/>
      <c r="P791" s="403"/>
      <c r="Q791" s="403"/>
      <c r="R791" s="403"/>
      <c r="S791" s="403"/>
      <c r="T791" s="403"/>
      <c r="U791" s="403"/>
      <c r="V791" s="403"/>
      <c r="W791" s="403"/>
    </row>
    <row r="792" spans="1:23">
      <c r="A792" s="57">
        <v>37307</v>
      </c>
      <c r="B792" s="386"/>
      <c r="C792" s="396"/>
      <c r="D792" s="139"/>
      <c r="E792" s="139"/>
      <c r="F792" s="139"/>
      <c r="G792" s="389"/>
      <c r="H792" s="389"/>
      <c r="I792" s="389"/>
      <c r="J792" s="389"/>
      <c r="K792" s="139"/>
      <c r="L792" s="139"/>
      <c r="M792" s="403"/>
      <c r="N792" s="403"/>
      <c r="O792" s="403"/>
      <c r="P792" s="403"/>
      <c r="Q792" s="403"/>
      <c r="R792" s="403"/>
      <c r="S792" s="403"/>
      <c r="T792" s="403"/>
      <c r="U792" s="403"/>
      <c r="V792" s="403"/>
      <c r="W792" s="403"/>
    </row>
    <row r="793" spans="1:23">
      <c r="A793" s="57">
        <v>37308</v>
      </c>
      <c r="B793" s="386"/>
      <c r="C793" s="396"/>
      <c r="D793" s="139"/>
      <c r="E793" s="139"/>
      <c r="F793" s="139"/>
      <c r="G793" s="389"/>
      <c r="H793" s="389"/>
      <c r="I793" s="389"/>
      <c r="J793" s="389"/>
      <c r="K793" s="139"/>
      <c r="L793" s="139"/>
      <c r="M793" s="403"/>
      <c r="N793" s="403"/>
      <c r="O793" s="403"/>
      <c r="P793" s="403"/>
      <c r="Q793" s="403"/>
      <c r="R793" s="403"/>
      <c r="S793" s="403"/>
      <c r="T793" s="403"/>
      <c r="U793" s="403"/>
      <c r="V793" s="403"/>
      <c r="W793" s="403"/>
    </row>
    <row r="794" spans="1:23">
      <c r="A794" s="57">
        <v>37309</v>
      </c>
      <c r="B794" s="386"/>
      <c r="C794" s="396"/>
      <c r="D794" s="139"/>
      <c r="E794" s="139"/>
      <c r="F794" s="139"/>
      <c r="G794" s="389"/>
      <c r="H794" s="389"/>
      <c r="I794" s="389"/>
      <c r="J794" s="389"/>
      <c r="K794" s="139"/>
      <c r="L794" s="139"/>
      <c r="M794" s="403"/>
      <c r="N794" s="403"/>
      <c r="O794" s="403"/>
      <c r="P794" s="403"/>
      <c r="Q794" s="403"/>
      <c r="R794" s="403"/>
      <c r="S794" s="403"/>
      <c r="T794" s="403"/>
      <c r="U794" s="403"/>
      <c r="V794" s="403"/>
      <c r="W794" s="403"/>
    </row>
    <row r="795" spans="1:23">
      <c r="A795" s="57">
        <v>37310</v>
      </c>
      <c r="B795" s="386"/>
      <c r="C795" s="396"/>
      <c r="D795" s="139"/>
      <c r="E795" s="139"/>
      <c r="F795" s="139"/>
      <c r="G795" s="389"/>
      <c r="H795" s="389"/>
      <c r="I795" s="389"/>
      <c r="J795" s="389"/>
      <c r="K795" s="139"/>
      <c r="L795" s="139"/>
      <c r="M795" s="403"/>
      <c r="N795" s="403"/>
      <c r="O795" s="403"/>
      <c r="P795" s="403"/>
      <c r="Q795" s="403"/>
      <c r="R795" s="403"/>
      <c r="S795" s="403"/>
      <c r="T795" s="403"/>
      <c r="U795" s="403"/>
      <c r="V795" s="403"/>
      <c r="W795" s="403"/>
    </row>
    <row r="796" spans="1:23">
      <c r="A796" s="57">
        <v>37311</v>
      </c>
      <c r="B796" s="386"/>
      <c r="C796" s="396"/>
      <c r="D796" s="139"/>
      <c r="E796" s="139"/>
      <c r="F796" s="139"/>
      <c r="G796" s="389"/>
      <c r="H796" s="389"/>
      <c r="I796" s="389"/>
      <c r="J796" s="389"/>
      <c r="K796" s="139"/>
      <c r="L796" s="139"/>
      <c r="M796" s="403"/>
      <c r="N796" s="403"/>
      <c r="O796" s="403"/>
      <c r="P796" s="403"/>
      <c r="Q796" s="403"/>
      <c r="R796" s="403"/>
      <c r="S796" s="403"/>
      <c r="T796" s="403"/>
      <c r="U796" s="403"/>
      <c r="V796" s="403"/>
      <c r="W796" s="403"/>
    </row>
    <row r="797" spans="1:23">
      <c r="A797" s="57">
        <v>37312</v>
      </c>
      <c r="B797" s="386"/>
      <c r="C797" s="396"/>
      <c r="D797" s="139"/>
      <c r="E797" s="139"/>
      <c r="F797" s="139"/>
      <c r="G797" s="389"/>
      <c r="H797" s="389"/>
      <c r="I797" s="389"/>
      <c r="J797" s="389"/>
      <c r="K797" s="139"/>
      <c r="L797" s="139"/>
      <c r="M797" s="403"/>
      <c r="N797" s="403"/>
      <c r="O797" s="403"/>
      <c r="P797" s="403"/>
      <c r="Q797" s="403"/>
      <c r="R797" s="403"/>
      <c r="S797" s="403"/>
      <c r="T797" s="403"/>
      <c r="U797" s="403"/>
      <c r="V797" s="403"/>
      <c r="W797" s="403"/>
    </row>
    <row r="798" spans="1:23">
      <c r="A798" s="57">
        <v>37313</v>
      </c>
      <c r="B798" s="386"/>
      <c r="C798" s="396"/>
      <c r="D798" s="139"/>
      <c r="E798" s="139"/>
      <c r="F798" s="139"/>
      <c r="G798" s="389"/>
      <c r="H798" s="389"/>
      <c r="I798" s="389"/>
      <c r="J798" s="389"/>
      <c r="K798" s="139"/>
      <c r="L798" s="139"/>
      <c r="M798" s="403"/>
      <c r="N798" s="403"/>
      <c r="O798" s="403"/>
      <c r="P798" s="403"/>
      <c r="Q798" s="403"/>
      <c r="R798" s="403"/>
      <c r="S798" s="403"/>
      <c r="T798" s="403"/>
      <c r="U798" s="403"/>
      <c r="V798" s="403"/>
      <c r="W798" s="403"/>
    </row>
    <row r="799" spans="1:23">
      <c r="A799" s="57">
        <v>37314</v>
      </c>
      <c r="B799" s="386"/>
      <c r="C799" s="396"/>
      <c r="D799" s="139"/>
      <c r="E799" s="139"/>
      <c r="F799" s="139"/>
      <c r="G799" s="389"/>
      <c r="H799" s="389"/>
      <c r="I799" s="389"/>
      <c r="J799" s="389"/>
      <c r="K799" s="139"/>
      <c r="L799" s="139"/>
      <c r="M799" s="403"/>
      <c r="N799" s="403"/>
      <c r="O799" s="403"/>
      <c r="P799" s="403"/>
      <c r="Q799" s="403"/>
      <c r="R799" s="403"/>
      <c r="S799" s="403"/>
      <c r="T799" s="403"/>
      <c r="U799" s="403"/>
      <c r="V799" s="403"/>
      <c r="W799" s="403"/>
    </row>
    <row r="800" spans="1:23">
      <c r="A800" s="57">
        <v>37315</v>
      </c>
      <c r="B800" s="386"/>
      <c r="C800" s="396"/>
      <c r="D800" s="139"/>
      <c r="E800" s="139"/>
      <c r="F800" s="139"/>
      <c r="G800" s="389"/>
      <c r="H800" s="389"/>
      <c r="I800" s="389"/>
      <c r="J800" s="389"/>
      <c r="K800" s="139"/>
      <c r="L800" s="139"/>
      <c r="M800" s="403"/>
      <c r="N800" s="403"/>
      <c r="O800" s="403"/>
      <c r="P800" s="403"/>
      <c r="Q800" s="403"/>
      <c r="R800" s="403"/>
      <c r="S800" s="403"/>
      <c r="T800" s="403"/>
      <c r="U800" s="403"/>
      <c r="V800" s="403"/>
      <c r="W800" s="403"/>
    </row>
    <row r="801" spans="1:23">
      <c r="A801" s="57">
        <v>37316</v>
      </c>
      <c r="B801" s="386"/>
      <c r="C801" s="396"/>
      <c r="D801" s="139"/>
      <c r="E801" s="139"/>
      <c r="F801" s="139"/>
      <c r="G801" s="389"/>
      <c r="H801" s="389"/>
      <c r="I801" s="389"/>
      <c r="J801" s="389"/>
      <c r="K801" s="139"/>
      <c r="L801" s="139"/>
      <c r="M801" s="403"/>
      <c r="N801" s="403"/>
      <c r="O801" s="403"/>
      <c r="P801" s="403"/>
      <c r="Q801" s="403"/>
      <c r="R801" s="403"/>
      <c r="S801" s="403"/>
      <c r="T801" s="403"/>
      <c r="U801" s="403"/>
      <c r="V801" s="403"/>
      <c r="W801" s="403"/>
    </row>
    <row r="802" spans="1:23">
      <c r="A802" s="57">
        <v>37317</v>
      </c>
      <c r="B802" s="386"/>
      <c r="C802" s="396"/>
      <c r="D802" s="139"/>
      <c r="E802" s="139"/>
      <c r="F802" s="139"/>
      <c r="G802" s="389"/>
      <c r="H802" s="389"/>
      <c r="I802" s="389"/>
      <c r="J802" s="389"/>
      <c r="K802" s="139"/>
      <c r="L802" s="139"/>
      <c r="M802" s="403"/>
      <c r="N802" s="403"/>
      <c r="O802" s="403"/>
      <c r="P802" s="403"/>
      <c r="Q802" s="403"/>
      <c r="R802" s="403"/>
      <c r="S802" s="403"/>
      <c r="T802" s="403"/>
      <c r="U802" s="403"/>
      <c r="V802" s="403"/>
      <c r="W802" s="403"/>
    </row>
    <row r="803" spans="1:23">
      <c r="A803" s="57">
        <v>37318</v>
      </c>
      <c r="B803" s="386"/>
      <c r="C803" s="396"/>
      <c r="D803" s="139"/>
      <c r="E803" s="139"/>
      <c r="F803" s="139"/>
      <c r="G803" s="389"/>
      <c r="H803" s="389"/>
      <c r="I803" s="389"/>
      <c r="J803" s="389"/>
      <c r="K803" s="139"/>
      <c r="L803" s="139"/>
      <c r="M803" s="403"/>
      <c r="N803" s="403"/>
      <c r="O803" s="403"/>
      <c r="P803" s="403"/>
      <c r="Q803" s="403"/>
      <c r="R803" s="403"/>
      <c r="S803" s="403"/>
      <c r="T803" s="403"/>
      <c r="U803" s="403"/>
      <c r="V803" s="403"/>
      <c r="W803" s="403"/>
    </row>
    <row r="804" spans="1:23">
      <c r="A804" s="57">
        <v>37319</v>
      </c>
      <c r="B804" s="386"/>
      <c r="C804" s="396"/>
      <c r="D804" s="139"/>
      <c r="E804" s="139"/>
      <c r="F804" s="139"/>
      <c r="G804" s="389"/>
      <c r="H804" s="389"/>
      <c r="I804" s="389"/>
      <c r="J804" s="389"/>
      <c r="K804" s="139"/>
      <c r="L804" s="139"/>
      <c r="M804" s="403"/>
      <c r="N804" s="403"/>
      <c r="O804" s="403"/>
      <c r="P804" s="403"/>
      <c r="Q804" s="403"/>
      <c r="R804" s="403"/>
      <c r="S804" s="403"/>
      <c r="T804" s="403"/>
      <c r="U804" s="403"/>
      <c r="V804" s="403"/>
      <c r="W804" s="403"/>
    </row>
    <row r="805" spans="1:23">
      <c r="A805" s="57">
        <v>37320</v>
      </c>
      <c r="B805" s="386"/>
      <c r="C805" s="396"/>
      <c r="D805" s="139"/>
      <c r="E805" s="139"/>
      <c r="F805" s="139"/>
      <c r="G805" s="389"/>
      <c r="H805" s="389"/>
      <c r="I805" s="389"/>
      <c r="J805" s="389"/>
      <c r="K805" s="139"/>
      <c r="L805" s="139"/>
      <c r="M805" s="403"/>
      <c r="N805" s="403"/>
      <c r="O805" s="403"/>
      <c r="P805" s="403"/>
      <c r="Q805" s="403"/>
      <c r="R805" s="403"/>
      <c r="S805" s="403"/>
      <c r="T805" s="403"/>
      <c r="U805" s="403"/>
      <c r="V805" s="403"/>
      <c r="W805" s="403"/>
    </row>
    <row r="806" spans="1:23">
      <c r="A806" s="57">
        <v>37321</v>
      </c>
      <c r="B806" s="386"/>
      <c r="C806" s="396"/>
      <c r="D806" s="139"/>
      <c r="E806" s="139"/>
      <c r="F806" s="139"/>
      <c r="G806" s="389"/>
      <c r="H806" s="389"/>
      <c r="I806" s="389"/>
      <c r="J806" s="389"/>
      <c r="K806" s="139"/>
      <c r="L806" s="139"/>
      <c r="M806" s="403"/>
      <c r="N806" s="403"/>
      <c r="O806" s="403"/>
      <c r="P806" s="403"/>
      <c r="Q806" s="403"/>
      <c r="R806" s="403"/>
      <c r="S806" s="403"/>
      <c r="T806" s="403"/>
      <c r="U806" s="403"/>
      <c r="V806" s="403"/>
      <c r="W806" s="403"/>
    </row>
    <row r="807" spans="1:23">
      <c r="A807" s="57">
        <v>37322</v>
      </c>
      <c r="B807" s="386"/>
      <c r="C807" s="396"/>
      <c r="D807" s="139"/>
      <c r="E807" s="139"/>
      <c r="F807" s="139"/>
      <c r="G807" s="389"/>
      <c r="H807" s="389"/>
      <c r="I807" s="389"/>
      <c r="J807" s="389"/>
      <c r="K807" s="139"/>
      <c r="L807" s="139"/>
      <c r="M807" s="403"/>
      <c r="N807" s="403"/>
      <c r="O807" s="403"/>
      <c r="P807" s="403"/>
      <c r="Q807" s="403"/>
      <c r="R807" s="403"/>
      <c r="S807" s="403"/>
      <c r="T807" s="403"/>
      <c r="U807" s="403"/>
      <c r="V807" s="403"/>
      <c r="W807" s="403"/>
    </row>
    <row r="808" spans="1:23">
      <c r="A808" s="57">
        <v>37323</v>
      </c>
      <c r="B808" s="386"/>
      <c r="C808" s="396"/>
      <c r="D808" s="139"/>
      <c r="E808" s="139"/>
      <c r="F808" s="139"/>
      <c r="G808" s="389"/>
      <c r="H808" s="389"/>
      <c r="I808" s="389"/>
      <c r="J808" s="389"/>
      <c r="K808" s="139"/>
      <c r="L808" s="139"/>
      <c r="M808" s="403"/>
      <c r="N808" s="403"/>
      <c r="O808" s="403"/>
      <c r="P808" s="403"/>
      <c r="Q808" s="403"/>
      <c r="R808" s="403"/>
      <c r="S808" s="403"/>
      <c r="T808" s="403"/>
      <c r="U808" s="403"/>
      <c r="V808" s="403"/>
      <c r="W808" s="403"/>
    </row>
    <row r="809" spans="1:23">
      <c r="A809" s="57">
        <v>37324</v>
      </c>
      <c r="B809" s="386"/>
      <c r="C809" s="396"/>
      <c r="D809" s="139"/>
      <c r="E809" s="139"/>
      <c r="F809" s="139"/>
      <c r="G809" s="389"/>
      <c r="H809" s="389"/>
      <c r="I809" s="389"/>
      <c r="J809" s="389"/>
      <c r="K809" s="139"/>
      <c r="L809" s="139"/>
      <c r="M809" s="403"/>
      <c r="N809" s="403"/>
      <c r="O809" s="403"/>
      <c r="P809" s="403"/>
      <c r="Q809" s="403"/>
      <c r="R809" s="403"/>
      <c r="S809" s="403"/>
      <c r="T809" s="403"/>
      <c r="U809" s="403"/>
      <c r="V809" s="403"/>
      <c r="W809" s="403"/>
    </row>
    <row r="810" spans="1:23">
      <c r="A810" s="57">
        <v>37325</v>
      </c>
      <c r="B810" s="386"/>
      <c r="C810" s="396"/>
      <c r="D810" s="139"/>
      <c r="E810" s="139"/>
      <c r="F810" s="139"/>
      <c r="G810" s="389"/>
      <c r="H810" s="389"/>
      <c r="I810" s="389"/>
      <c r="J810" s="389"/>
      <c r="K810" s="139"/>
      <c r="L810" s="139"/>
      <c r="M810" s="403"/>
      <c r="N810" s="403"/>
      <c r="O810" s="403"/>
      <c r="P810" s="403"/>
      <c r="Q810" s="403"/>
      <c r="R810" s="403"/>
      <c r="S810" s="403"/>
      <c r="T810" s="403"/>
      <c r="U810" s="403"/>
      <c r="V810" s="403"/>
      <c r="W810" s="403"/>
    </row>
    <row r="811" spans="1:23">
      <c r="A811" s="57">
        <v>37326</v>
      </c>
      <c r="B811" s="386"/>
      <c r="C811" s="396"/>
      <c r="D811" s="139"/>
      <c r="E811" s="139"/>
      <c r="F811" s="139"/>
      <c r="G811" s="389"/>
      <c r="H811" s="389"/>
      <c r="I811" s="389"/>
      <c r="J811" s="389"/>
      <c r="K811" s="139"/>
      <c r="L811" s="139"/>
      <c r="M811" s="403"/>
      <c r="N811" s="403"/>
      <c r="O811" s="403"/>
      <c r="P811" s="403"/>
      <c r="Q811" s="403"/>
      <c r="R811" s="403"/>
      <c r="S811" s="403"/>
      <c r="T811" s="403"/>
      <c r="U811" s="403"/>
      <c r="V811" s="403"/>
      <c r="W811" s="403"/>
    </row>
    <row r="812" spans="1:23">
      <c r="A812" s="57">
        <v>37327</v>
      </c>
      <c r="B812" s="386"/>
      <c r="C812" s="396"/>
      <c r="D812" s="139"/>
      <c r="E812" s="139"/>
      <c r="F812" s="139"/>
      <c r="G812" s="389"/>
      <c r="H812" s="389"/>
      <c r="I812" s="389"/>
      <c r="J812" s="389"/>
      <c r="K812" s="139"/>
      <c r="L812" s="139"/>
      <c r="M812" s="403"/>
      <c r="N812" s="403"/>
      <c r="O812" s="403"/>
      <c r="P812" s="403"/>
      <c r="Q812" s="403"/>
      <c r="R812" s="403"/>
      <c r="S812" s="403"/>
      <c r="T812" s="403"/>
      <c r="U812" s="403"/>
      <c r="V812" s="403"/>
      <c r="W812" s="403"/>
    </row>
    <row r="813" spans="1:23">
      <c r="A813" s="57">
        <v>37328</v>
      </c>
      <c r="B813" s="386"/>
      <c r="C813" s="396"/>
      <c r="D813" s="139"/>
      <c r="E813" s="139"/>
      <c r="F813" s="139"/>
      <c r="G813" s="389"/>
      <c r="H813" s="389"/>
      <c r="I813" s="389"/>
      <c r="J813" s="389"/>
      <c r="K813" s="139"/>
      <c r="L813" s="139"/>
      <c r="M813" s="403"/>
      <c r="N813" s="403"/>
      <c r="O813" s="403"/>
      <c r="P813" s="403"/>
      <c r="Q813" s="403"/>
      <c r="R813" s="403"/>
      <c r="S813" s="403"/>
      <c r="T813" s="403"/>
      <c r="U813" s="403"/>
      <c r="V813" s="403"/>
      <c r="W813" s="403"/>
    </row>
    <row r="814" spans="1:23">
      <c r="A814" s="57">
        <v>37329</v>
      </c>
      <c r="B814" s="386"/>
      <c r="C814" s="396"/>
      <c r="D814" s="139"/>
      <c r="E814" s="139"/>
      <c r="F814" s="139"/>
      <c r="G814" s="389"/>
      <c r="H814" s="389"/>
      <c r="I814" s="389"/>
      <c r="J814" s="389"/>
      <c r="K814" s="139"/>
      <c r="L814" s="139"/>
      <c r="M814" s="403"/>
      <c r="N814" s="403"/>
      <c r="O814" s="403"/>
      <c r="P814" s="403"/>
      <c r="Q814" s="403"/>
      <c r="R814" s="403"/>
      <c r="S814" s="403"/>
      <c r="T814" s="403"/>
      <c r="U814" s="403"/>
      <c r="V814" s="403"/>
      <c r="W814" s="403"/>
    </row>
    <row r="815" spans="1:23">
      <c r="A815" s="57">
        <v>37330</v>
      </c>
      <c r="B815" s="386"/>
      <c r="C815" s="396"/>
      <c r="D815" s="139"/>
      <c r="E815" s="139"/>
      <c r="F815" s="139"/>
      <c r="G815" s="389"/>
      <c r="H815" s="389"/>
      <c r="I815" s="389"/>
      <c r="J815" s="389"/>
      <c r="K815" s="139"/>
      <c r="L815" s="139"/>
      <c r="M815" s="403"/>
      <c r="N815" s="403"/>
      <c r="O815" s="403"/>
      <c r="P815" s="403"/>
      <c r="Q815" s="403"/>
      <c r="R815" s="403"/>
      <c r="S815" s="403"/>
      <c r="T815" s="403"/>
      <c r="U815" s="403"/>
      <c r="V815" s="403"/>
      <c r="W815" s="403"/>
    </row>
    <row r="816" spans="1:23">
      <c r="A816" s="57">
        <v>37331</v>
      </c>
      <c r="B816" s="386"/>
      <c r="C816" s="396"/>
      <c r="D816" s="139"/>
      <c r="E816" s="139"/>
      <c r="F816" s="139"/>
      <c r="G816" s="389"/>
      <c r="H816" s="389"/>
      <c r="I816" s="389"/>
      <c r="J816" s="389"/>
      <c r="K816" s="139"/>
      <c r="L816" s="139"/>
      <c r="M816" s="403"/>
      <c r="N816" s="403"/>
      <c r="O816" s="403"/>
      <c r="P816" s="403"/>
      <c r="Q816" s="403"/>
      <c r="R816" s="403"/>
      <c r="S816" s="403"/>
      <c r="T816" s="403"/>
      <c r="U816" s="403"/>
      <c r="V816" s="403"/>
      <c r="W816" s="403"/>
    </row>
    <row r="817" spans="1:23">
      <c r="A817" s="57">
        <v>37332</v>
      </c>
      <c r="B817" s="386"/>
      <c r="C817" s="396"/>
      <c r="D817" s="139"/>
      <c r="E817" s="139"/>
      <c r="F817" s="139"/>
      <c r="G817" s="389"/>
      <c r="H817" s="389"/>
      <c r="I817" s="389"/>
      <c r="J817" s="389"/>
      <c r="K817" s="139"/>
      <c r="L817" s="139"/>
      <c r="M817" s="403"/>
      <c r="N817" s="403"/>
      <c r="O817" s="403"/>
      <c r="P817" s="403"/>
      <c r="Q817" s="403"/>
      <c r="R817" s="403"/>
      <c r="S817" s="403"/>
      <c r="T817" s="403"/>
      <c r="U817" s="403"/>
      <c r="V817" s="403"/>
      <c r="W817" s="403"/>
    </row>
    <row r="818" spans="1:23">
      <c r="A818" s="57">
        <v>37333</v>
      </c>
      <c r="B818" s="386"/>
      <c r="C818" s="396"/>
      <c r="D818" s="139"/>
      <c r="E818" s="139"/>
      <c r="F818" s="139"/>
      <c r="G818" s="389"/>
      <c r="H818" s="389"/>
      <c r="I818" s="389"/>
      <c r="J818" s="389"/>
      <c r="K818" s="139"/>
      <c r="L818" s="139"/>
      <c r="M818" s="403"/>
      <c r="N818" s="403"/>
      <c r="O818" s="403"/>
      <c r="P818" s="403"/>
      <c r="Q818" s="403"/>
      <c r="R818" s="403"/>
      <c r="S818" s="403"/>
      <c r="T818" s="403"/>
      <c r="U818" s="403"/>
      <c r="V818" s="403"/>
      <c r="W818" s="403"/>
    </row>
    <row r="819" spans="1:23">
      <c r="A819" s="57">
        <v>37334</v>
      </c>
      <c r="B819" s="386"/>
      <c r="C819" s="396"/>
      <c r="D819" s="139"/>
      <c r="E819" s="139"/>
      <c r="F819" s="139"/>
      <c r="G819" s="389"/>
      <c r="H819" s="389"/>
      <c r="I819" s="389"/>
      <c r="J819" s="389"/>
      <c r="K819" s="139"/>
      <c r="L819" s="139"/>
      <c r="M819" s="403"/>
      <c r="N819" s="403"/>
      <c r="O819" s="403"/>
      <c r="P819" s="403"/>
      <c r="Q819" s="403"/>
      <c r="R819" s="403"/>
      <c r="S819" s="403"/>
      <c r="T819" s="403"/>
      <c r="U819" s="403"/>
      <c r="V819" s="403"/>
      <c r="W819" s="403"/>
    </row>
    <row r="820" spans="1:23">
      <c r="A820" s="57">
        <v>37335</v>
      </c>
      <c r="B820" s="386"/>
      <c r="C820" s="396"/>
      <c r="D820" s="139"/>
      <c r="E820" s="139"/>
      <c r="F820" s="139"/>
      <c r="G820" s="389"/>
      <c r="H820" s="389"/>
      <c r="I820" s="389"/>
      <c r="J820" s="389"/>
      <c r="K820" s="139"/>
      <c r="L820" s="139"/>
      <c r="M820" s="403"/>
      <c r="N820" s="403"/>
      <c r="O820" s="403"/>
      <c r="P820" s="403"/>
      <c r="Q820" s="403"/>
      <c r="R820" s="403"/>
      <c r="S820" s="403"/>
      <c r="T820" s="403"/>
      <c r="U820" s="403"/>
      <c r="V820" s="403"/>
      <c r="W820" s="403"/>
    </row>
    <row r="821" spans="1:23">
      <c r="A821" s="57">
        <v>37336</v>
      </c>
      <c r="B821" s="386"/>
      <c r="C821" s="396"/>
      <c r="D821" s="139"/>
      <c r="E821" s="139"/>
      <c r="F821" s="139"/>
      <c r="G821" s="389"/>
      <c r="H821" s="389"/>
      <c r="I821" s="389"/>
      <c r="J821" s="389"/>
      <c r="K821" s="139"/>
      <c r="L821" s="139"/>
      <c r="M821" s="403"/>
      <c r="N821" s="403"/>
      <c r="O821" s="403"/>
      <c r="P821" s="403"/>
      <c r="Q821" s="403"/>
      <c r="R821" s="403"/>
      <c r="S821" s="403"/>
      <c r="T821" s="403"/>
      <c r="U821" s="403"/>
      <c r="V821" s="403"/>
      <c r="W821" s="403"/>
    </row>
    <row r="822" spans="1:23">
      <c r="A822" s="57">
        <v>37337</v>
      </c>
      <c r="B822" s="386"/>
      <c r="C822" s="396"/>
      <c r="D822" s="139"/>
      <c r="E822" s="139"/>
      <c r="F822" s="139"/>
      <c r="G822" s="389"/>
      <c r="H822" s="389"/>
      <c r="I822" s="389"/>
      <c r="J822" s="389"/>
      <c r="K822" s="139"/>
      <c r="L822" s="139"/>
      <c r="M822" s="403"/>
      <c r="N822" s="403"/>
      <c r="O822" s="403"/>
      <c r="P822" s="403"/>
      <c r="Q822" s="403"/>
      <c r="R822" s="403"/>
      <c r="S822" s="403"/>
      <c r="T822" s="403"/>
      <c r="U822" s="403"/>
      <c r="V822" s="403"/>
      <c r="W822" s="403"/>
    </row>
    <row r="823" spans="1:23">
      <c r="A823" s="57">
        <v>37338</v>
      </c>
      <c r="B823" s="386"/>
      <c r="C823" s="396"/>
      <c r="D823" s="139"/>
      <c r="E823" s="139"/>
      <c r="F823" s="139"/>
      <c r="G823" s="389"/>
      <c r="H823" s="389"/>
      <c r="I823" s="389"/>
      <c r="J823" s="389"/>
      <c r="K823" s="139"/>
      <c r="L823" s="139"/>
      <c r="M823" s="403"/>
      <c r="N823" s="403"/>
      <c r="O823" s="403"/>
      <c r="P823" s="403"/>
      <c r="Q823" s="403"/>
      <c r="R823" s="403"/>
      <c r="S823" s="403"/>
      <c r="T823" s="403"/>
      <c r="U823" s="403"/>
      <c r="V823" s="403"/>
      <c r="W823" s="403"/>
    </row>
    <row r="824" spans="1:23">
      <c r="A824" s="57">
        <v>37339</v>
      </c>
      <c r="B824" s="386"/>
      <c r="C824" s="396"/>
      <c r="D824" s="139"/>
      <c r="E824" s="139"/>
      <c r="F824" s="139"/>
      <c r="G824" s="389"/>
      <c r="H824" s="389"/>
      <c r="I824" s="389"/>
      <c r="J824" s="389"/>
      <c r="K824" s="139"/>
      <c r="L824" s="139"/>
      <c r="M824" s="403"/>
      <c r="N824" s="403"/>
      <c r="O824" s="403"/>
      <c r="P824" s="403"/>
      <c r="Q824" s="403"/>
      <c r="R824" s="403"/>
      <c r="S824" s="403"/>
      <c r="T824" s="403"/>
      <c r="U824" s="403"/>
      <c r="V824" s="403"/>
      <c r="W824" s="403"/>
    </row>
    <row r="825" spans="1:23">
      <c r="A825" s="57">
        <v>37340</v>
      </c>
      <c r="B825" s="386"/>
      <c r="C825" s="396"/>
      <c r="D825" s="139"/>
      <c r="E825" s="139"/>
      <c r="F825" s="139"/>
      <c r="G825" s="389"/>
      <c r="H825" s="389"/>
      <c r="I825" s="389"/>
      <c r="J825" s="389"/>
      <c r="K825" s="139"/>
      <c r="L825" s="139"/>
      <c r="M825" s="403"/>
      <c r="N825" s="403"/>
      <c r="O825" s="403"/>
      <c r="P825" s="403"/>
      <c r="Q825" s="403"/>
      <c r="R825" s="403"/>
      <c r="S825" s="403"/>
      <c r="T825" s="403"/>
      <c r="U825" s="403"/>
      <c r="V825" s="403"/>
      <c r="W825" s="403"/>
    </row>
    <row r="826" spans="1:23" ht="8.1" customHeight="1">
      <c r="A826" s="57"/>
      <c r="B826" s="386"/>
      <c r="C826" s="396"/>
      <c r="D826" s="139"/>
      <c r="E826" s="139"/>
      <c r="F826" s="139"/>
      <c r="G826" s="389"/>
      <c r="H826" s="389"/>
      <c r="I826" s="389"/>
      <c r="J826" s="389"/>
      <c r="K826" s="139"/>
      <c r="L826" s="139"/>
      <c r="M826" s="403"/>
      <c r="N826" s="403"/>
      <c r="O826" s="403"/>
      <c r="P826" s="403"/>
      <c r="Q826" s="403"/>
      <c r="R826" s="403"/>
      <c r="S826" s="403"/>
      <c r="T826" s="403"/>
      <c r="U826" s="403"/>
      <c r="V826" s="403"/>
    </row>
    <row r="827" spans="1:23" ht="20.100000000000001" customHeight="1">
      <c r="A827" s="454" t="s">
        <v>333</v>
      </c>
      <c r="B827" s="386"/>
    </row>
    <row r="828" spans="1:23" ht="21">
      <c r="A828" s="454" t="s">
        <v>334</v>
      </c>
      <c r="B828" s="386"/>
    </row>
    <row r="829" spans="1:23" ht="21">
      <c r="A829" s="454" t="s">
        <v>335</v>
      </c>
      <c r="B829" s="386"/>
    </row>
    <row r="830" spans="1:23">
      <c r="B830" s="386"/>
    </row>
    <row r="831" spans="1:23">
      <c r="B831" s="386"/>
    </row>
    <row r="832" spans="1:23">
      <c r="B832" s="386"/>
    </row>
    <row r="833" spans="2:2">
      <c r="B833" s="386"/>
    </row>
    <row r="834" spans="2:2">
      <c r="B834" s="386"/>
    </row>
    <row r="835" spans="2:2">
      <c r="B835" s="386"/>
    </row>
    <row r="836" spans="2:2">
      <c r="B836" s="386"/>
    </row>
    <row r="837" spans="2:2">
      <c r="B837" s="386"/>
    </row>
    <row r="838" spans="2:2">
      <c r="B838" s="386"/>
    </row>
    <row r="839" spans="2:2">
      <c r="B839" s="386"/>
    </row>
    <row r="840" spans="2:2">
      <c r="B840" s="386"/>
    </row>
    <row r="841" spans="2:2">
      <c r="B841" s="386"/>
    </row>
    <row r="842" spans="2:2">
      <c r="B842" s="386"/>
    </row>
    <row r="843" spans="2:2">
      <c r="B843" s="386"/>
    </row>
    <row r="844" spans="2:2">
      <c r="B844" s="386"/>
    </row>
    <row r="845" spans="2:2">
      <c r="B845" s="386"/>
    </row>
    <row r="846" spans="2:2">
      <c r="B846" s="386"/>
    </row>
    <row r="847" spans="2:2">
      <c r="B847" s="386"/>
    </row>
    <row r="848" spans="2:2">
      <c r="B848" s="386"/>
    </row>
    <row r="849" spans="2:2">
      <c r="B849" s="386"/>
    </row>
    <row r="850" spans="2:2">
      <c r="B850" s="386"/>
    </row>
    <row r="851" spans="2:2">
      <c r="B851" s="386"/>
    </row>
    <row r="852" spans="2:2">
      <c r="B852" s="386"/>
    </row>
    <row r="853" spans="2:2">
      <c r="B853" s="386"/>
    </row>
    <row r="854" spans="2:2">
      <c r="B854" s="386"/>
    </row>
    <row r="855" spans="2:2">
      <c r="B855" s="386"/>
    </row>
    <row r="856" spans="2:2">
      <c r="B856" s="386"/>
    </row>
    <row r="857" spans="2:2">
      <c r="B857" s="386"/>
    </row>
    <row r="858" spans="2:2">
      <c r="B858" s="386"/>
    </row>
    <row r="859" spans="2:2">
      <c r="B859" s="386"/>
    </row>
    <row r="860" spans="2:2">
      <c r="B860" s="386"/>
    </row>
    <row r="861" spans="2:2">
      <c r="B861" s="386"/>
    </row>
    <row r="862" spans="2:2">
      <c r="B862" s="386"/>
    </row>
    <row r="863" spans="2:2">
      <c r="B863" s="386"/>
    </row>
    <row r="864" spans="2:2">
      <c r="B864" s="386"/>
    </row>
    <row r="865" spans="2:2">
      <c r="B865" s="386"/>
    </row>
    <row r="866" spans="2:2">
      <c r="B866" s="386"/>
    </row>
    <row r="867" spans="2:2">
      <c r="B867" s="386"/>
    </row>
    <row r="868" spans="2:2">
      <c r="B868" s="386"/>
    </row>
    <row r="869" spans="2:2">
      <c r="B869" s="386"/>
    </row>
    <row r="870" spans="2:2">
      <c r="B870" s="386"/>
    </row>
    <row r="871" spans="2:2">
      <c r="B871" s="386"/>
    </row>
    <row r="872" spans="2:2">
      <c r="B872" s="386"/>
    </row>
    <row r="873" spans="2:2">
      <c r="B873" s="386"/>
    </row>
    <row r="874" spans="2:2">
      <c r="B874" s="386"/>
    </row>
    <row r="875" spans="2:2">
      <c r="B875" s="386"/>
    </row>
    <row r="876" spans="2:2">
      <c r="B876" s="386"/>
    </row>
    <row r="877" spans="2:2">
      <c r="B877" s="386"/>
    </row>
    <row r="878" spans="2:2">
      <c r="B878" s="386"/>
    </row>
    <row r="879" spans="2:2">
      <c r="B879" s="386"/>
    </row>
    <row r="880" spans="2:2">
      <c r="B880" s="386"/>
    </row>
    <row r="881" spans="2:2">
      <c r="B881" s="386"/>
    </row>
    <row r="882" spans="2:2">
      <c r="B882" s="386"/>
    </row>
    <row r="883" spans="2:2">
      <c r="B883" s="386"/>
    </row>
    <row r="884" spans="2:2">
      <c r="B884" s="386"/>
    </row>
  </sheetData>
  <pageMargins left="0.75" right="0.75" top="1" bottom="1" header="0.5" footer="0.5"/>
  <pageSetup orientation="portrait" horizont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AA131"/>
  <sheetViews>
    <sheetView topLeftCell="A18" zoomScaleNormal="100" workbookViewId="0">
      <pane xSplit="2" ySplit="3" topLeftCell="H21" activePane="bottomRight" state="frozen"/>
      <selection activeCell="A18" sqref="A18"/>
      <selection pane="topRight" activeCell="C18" sqref="C18"/>
      <selection pane="bottomLeft" activeCell="A21" sqref="A21"/>
      <selection pane="bottomRight" activeCell="M21" sqref="M21"/>
    </sheetView>
  </sheetViews>
  <sheetFormatPr defaultRowHeight="13.2"/>
  <cols>
    <col min="1" max="1" width="16.6640625" customWidth="1"/>
    <col min="2" max="2" width="14.33203125" customWidth="1"/>
    <col min="3" max="3" width="12.6640625" style="11" customWidth="1"/>
    <col min="4" max="4" width="13.88671875" style="11" bestFit="1" customWidth="1"/>
    <col min="5" max="5" width="12.33203125" style="11" customWidth="1"/>
    <col min="6" max="6" width="1.44140625" style="11" customWidth="1"/>
    <col min="7" max="8" width="13.88671875" style="11" bestFit="1" customWidth="1"/>
    <col min="9" max="9" width="13" style="11" customWidth="1"/>
    <col min="10" max="10" width="15.88671875" customWidth="1"/>
    <col min="11" max="11" width="13.109375" customWidth="1"/>
    <col min="12" max="12" width="2" customWidth="1"/>
    <col min="13" max="13" width="13" bestFit="1" customWidth="1"/>
    <col min="14" max="16" width="13.109375" customWidth="1"/>
    <col min="17" max="17" width="14.44140625" bestFit="1" customWidth="1"/>
    <col min="18" max="18" width="1.109375" customWidth="1"/>
    <col min="19" max="19" width="12.88671875" bestFit="1" customWidth="1"/>
    <col min="20" max="22" width="12.33203125" bestFit="1" customWidth="1"/>
    <col min="23" max="23" width="9.44140625" bestFit="1" customWidth="1"/>
    <col min="24" max="24" width="1.109375" customWidth="1"/>
    <col min="25" max="25" width="14.44140625" bestFit="1" customWidth="1"/>
    <col min="26" max="26" width="17.44140625" customWidth="1"/>
  </cols>
  <sheetData>
    <row r="2" spans="2:3">
      <c r="B2" t="s">
        <v>1</v>
      </c>
    </row>
    <row r="5" spans="2:3">
      <c r="B5" t="s">
        <v>2</v>
      </c>
    </row>
    <row r="6" spans="2:3">
      <c r="C6" s="11" t="s">
        <v>3</v>
      </c>
    </row>
    <row r="7" spans="2:3">
      <c r="C7" s="11" t="s">
        <v>4</v>
      </c>
    </row>
    <row r="8" spans="2:3">
      <c r="C8" s="11" t="s">
        <v>5</v>
      </c>
    </row>
    <row r="9" spans="2:3">
      <c r="C9" s="11" t="s">
        <v>6</v>
      </c>
    </row>
    <row r="10" spans="2:3">
      <c r="C10" s="11" t="s">
        <v>7</v>
      </c>
    </row>
    <row r="12" spans="2:3">
      <c r="C12" s="11" t="s">
        <v>95</v>
      </c>
    </row>
    <row r="13" spans="2:3">
      <c r="C13" s="11" t="s">
        <v>8</v>
      </c>
    </row>
    <row r="15" spans="2:3">
      <c r="C15" s="11" t="s">
        <v>9</v>
      </c>
    </row>
    <row r="18" spans="1:27">
      <c r="A18" s="365">
        <f>LOOKUP(Input!B16,Input!A20:A498)</f>
        <v>36707</v>
      </c>
      <c r="L18" s="214"/>
      <c r="R18" s="214"/>
      <c r="S18" s="53"/>
      <c r="T18" s="53"/>
      <c r="U18" s="53"/>
      <c r="V18" s="53"/>
      <c r="W18" s="53"/>
      <c r="X18" s="53"/>
    </row>
    <row r="19" spans="1:27">
      <c r="C19" s="1" t="s">
        <v>10</v>
      </c>
      <c r="F19" s="223"/>
      <c r="G19" s="3" t="s">
        <v>152</v>
      </c>
      <c r="H19" s="3" t="s">
        <v>152</v>
      </c>
      <c r="I19" s="3" t="s">
        <v>152</v>
      </c>
      <c r="J19" s="3" t="s">
        <v>152</v>
      </c>
      <c r="K19" s="10"/>
      <c r="L19" s="340"/>
      <c r="M19" s="3" t="s">
        <v>152</v>
      </c>
      <c r="N19" s="3" t="s">
        <v>152</v>
      </c>
      <c r="O19" s="3" t="s">
        <v>152</v>
      </c>
      <c r="P19" s="3" t="s">
        <v>152</v>
      </c>
      <c r="Q19" s="10"/>
      <c r="R19" s="340"/>
      <c r="S19" s="3" t="s">
        <v>152</v>
      </c>
      <c r="T19" s="3" t="s">
        <v>152</v>
      </c>
      <c r="U19" s="3" t="s">
        <v>152</v>
      </c>
      <c r="V19" s="3" t="s">
        <v>152</v>
      </c>
      <c r="W19" s="10"/>
      <c r="X19" s="340"/>
    </row>
    <row r="20" spans="1:27">
      <c r="A20" s="5" t="s">
        <v>0</v>
      </c>
      <c r="B20" s="5"/>
      <c r="C20" s="9">
        <v>36068</v>
      </c>
      <c r="D20" s="9">
        <v>36160</v>
      </c>
      <c r="E20" s="402" t="s">
        <v>117</v>
      </c>
      <c r="F20" s="221"/>
      <c r="G20" s="373">
        <v>36250</v>
      </c>
      <c r="H20" s="373">
        <v>36341</v>
      </c>
      <c r="I20" s="373">
        <v>36433</v>
      </c>
      <c r="J20" s="373">
        <v>36525</v>
      </c>
      <c r="K20" s="195" t="s">
        <v>153</v>
      </c>
      <c r="L20" s="231"/>
      <c r="M20" s="374">
        <v>36616</v>
      </c>
      <c r="N20" s="373">
        <v>36707</v>
      </c>
      <c r="O20" s="373">
        <v>36799</v>
      </c>
      <c r="P20" s="373">
        <v>36891</v>
      </c>
      <c r="Q20" s="195" t="s">
        <v>244</v>
      </c>
      <c r="R20" s="231"/>
      <c r="S20" s="374">
        <v>36981</v>
      </c>
      <c r="T20" s="373">
        <v>37072</v>
      </c>
      <c r="U20" s="373">
        <v>37164</v>
      </c>
      <c r="V20" s="373">
        <v>37256</v>
      </c>
      <c r="W20" s="195" t="s">
        <v>273</v>
      </c>
      <c r="X20" s="231"/>
      <c r="Y20" s="195" t="s">
        <v>11</v>
      </c>
      <c r="Z20" s="5" t="s">
        <v>11</v>
      </c>
    </row>
    <row r="21" spans="1:27">
      <c r="A21" t="s">
        <v>103</v>
      </c>
      <c r="B21" t="s">
        <v>102</v>
      </c>
      <c r="C21" s="134">
        <v>53.5</v>
      </c>
      <c r="D21" s="134">
        <v>57.0625</v>
      </c>
      <c r="E21" s="341"/>
      <c r="F21" s="222"/>
      <c r="G21" s="134">
        <v>64.25</v>
      </c>
      <c r="H21" s="134">
        <v>81.75</v>
      </c>
      <c r="I21" s="199">
        <v>41.0625</v>
      </c>
      <c r="J21" s="134">
        <v>44.375</v>
      </c>
      <c r="K21" s="53"/>
      <c r="L21" s="214"/>
      <c r="M21" s="397">
        <f>IF($A$18&lt;=M20,LOOKUP(Input!$B16,Input!$A20:$A827,Input!$B20:$B827),LOOKUP(M20,Input!$A20:$A827,Input!$B20:$B827))</f>
        <v>74.875</v>
      </c>
      <c r="N21" s="397">
        <f>IF($A$18&lt;=N20,LOOKUP(Input!$B16,Input!$A20:$A827,Input!$B20:$B827),LOOKUP(N20,Input!$A20:$A827,Input!$B20:$B827))</f>
        <v>64.5</v>
      </c>
      <c r="O21" s="397">
        <f>IF($A$18&lt;=O20,LOOKUP(Input!$B16,Input!$A20:$A827,Input!$B20:$B827),LOOKUP(O20,Input!$A20:$A827,Input!$B20:$B827))</f>
        <v>64.5</v>
      </c>
      <c r="P21" s="397">
        <f>IF($A$18&lt;=P20,LOOKUP(Input!$B16,Input!$A20:$A827,Input!$B20:$B827),LOOKUP(P20,Input!$A20:$A827,Input!$B20:$B827))</f>
        <v>64.5</v>
      </c>
      <c r="Q21" s="53"/>
      <c r="R21" s="214"/>
      <c r="S21" s="388">
        <f>IF($A$18&lt;=S20,LOOKUP(Input!$B16,Input!$A20:$A827,Input!$B20:$B827),LOOKUP(S20,Input!$A20:$A827,Input!$B20:$B827))</f>
        <v>64.5</v>
      </c>
      <c r="T21" s="388">
        <f>IF($A$18&lt;=T20,LOOKUP(Input!$B16,Input!$A20:$A827,Input!$B20:$B827),LOOKUP(T20,Input!$A20:$A827,Input!$B20:$B827))</f>
        <v>64.5</v>
      </c>
      <c r="U21" s="388">
        <f>IF($A$18&lt;=U20,LOOKUP(Input!$B16,Input!$A20:$A827,Input!$B20:$B827),LOOKUP(U20,Input!$A20:$A827,Input!$B20:$B827))</f>
        <v>64.5</v>
      </c>
      <c r="V21" s="388">
        <f>IF($A$18&lt;=V20,LOOKUP(Input!$B16,Input!$A20:$A827,Input!$B20:$B827),LOOKUP(V20,Input!$A20:$A827,Input!$B20:$B827))</f>
        <v>64.5</v>
      </c>
      <c r="W21" s="53"/>
      <c r="X21" s="214"/>
    </row>
    <row r="22" spans="1:27">
      <c r="A22" s="138">
        <v>54.0625</v>
      </c>
      <c r="B22" s="208" t="s">
        <v>25</v>
      </c>
      <c r="C22" s="134">
        <v>54.0625</v>
      </c>
      <c r="D22" s="134">
        <v>54.0625</v>
      </c>
      <c r="E22" s="341"/>
      <c r="F22" s="222"/>
      <c r="G22" s="199">
        <v>71</v>
      </c>
      <c r="H22" s="199">
        <v>71</v>
      </c>
      <c r="I22" s="199">
        <v>35.5</v>
      </c>
      <c r="J22" s="199">
        <v>35.5</v>
      </c>
      <c r="K22" s="53"/>
      <c r="L22" s="214"/>
      <c r="M22" s="390">
        <v>35.5</v>
      </c>
      <c r="N22" s="390">
        <v>35.5</v>
      </c>
      <c r="O22" s="390">
        <v>35.5</v>
      </c>
      <c r="P22" s="390">
        <v>35.5</v>
      </c>
      <c r="Q22" s="391"/>
      <c r="R22" s="392"/>
      <c r="S22" s="390">
        <v>35.5</v>
      </c>
      <c r="T22" s="390">
        <v>35.5</v>
      </c>
      <c r="U22" s="390">
        <v>35.5</v>
      </c>
      <c r="V22" s="390">
        <v>35.5</v>
      </c>
      <c r="W22" s="53"/>
      <c r="X22" s="214"/>
    </row>
    <row r="23" spans="1:27">
      <c r="A23" t="s">
        <v>219</v>
      </c>
      <c r="E23" s="342"/>
      <c r="F23" s="223"/>
      <c r="H23" s="215"/>
      <c r="I23" s="329"/>
      <c r="J23" s="329"/>
      <c r="K23" s="53"/>
      <c r="L23" s="214"/>
      <c r="M23" s="11"/>
      <c r="N23" s="215"/>
      <c r="O23" s="329"/>
      <c r="P23" s="329"/>
      <c r="Q23" s="53"/>
      <c r="R23" s="214"/>
      <c r="S23" s="11"/>
      <c r="T23" s="215"/>
      <c r="U23" s="329"/>
      <c r="V23" s="329"/>
      <c r="W23" s="53"/>
      <c r="X23" s="214"/>
    </row>
    <row r="24" spans="1:27">
      <c r="A24" s="135">
        <v>6006402</v>
      </c>
      <c r="B24" s="135"/>
      <c r="E24" s="342"/>
      <c r="F24" s="223"/>
      <c r="G24" s="203"/>
      <c r="H24" s="215"/>
      <c r="I24" s="215"/>
      <c r="J24" s="215"/>
      <c r="K24" s="53"/>
      <c r="L24" s="214"/>
      <c r="M24" s="203"/>
      <c r="N24" s="215"/>
      <c r="O24" s="215"/>
      <c r="P24" s="215"/>
      <c r="Q24" s="53"/>
      <c r="R24" s="214"/>
      <c r="S24" s="203"/>
      <c r="T24" s="215"/>
      <c r="U24" s="215"/>
      <c r="V24" s="215"/>
      <c r="W24" s="53"/>
      <c r="X24" s="214"/>
      <c r="AA24" s="204" t="s">
        <v>101</v>
      </c>
    </row>
    <row r="25" spans="1:27">
      <c r="A25" s="208" t="s">
        <v>220</v>
      </c>
      <c r="E25" s="342"/>
      <c r="F25" s="223"/>
      <c r="G25" s="203"/>
      <c r="H25" s="215"/>
      <c r="I25" s="215"/>
      <c r="J25" s="215"/>
      <c r="K25" s="53"/>
      <c r="L25" s="214"/>
      <c r="M25" s="203"/>
      <c r="N25" s="215"/>
      <c r="O25" s="215"/>
      <c r="P25" s="215"/>
      <c r="Q25" s="53"/>
      <c r="R25" s="214"/>
      <c r="S25" s="203"/>
      <c r="T25" s="215"/>
      <c r="U25" s="215"/>
      <c r="V25" s="215"/>
      <c r="W25" s="53"/>
      <c r="X25" s="214"/>
      <c r="AA25" s="204"/>
    </row>
    <row r="26" spans="1:27">
      <c r="A26" s="135">
        <v>12012804</v>
      </c>
      <c r="E26" s="342"/>
      <c r="F26" s="223"/>
      <c r="G26" s="203"/>
      <c r="H26" s="215"/>
      <c r="I26" s="215"/>
      <c r="J26" s="204"/>
      <c r="K26" s="53"/>
      <c r="L26" s="214"/>
      <c r="N26" s="215"/>
      <c r="O26" s="215"/>
      <c r="P26" s="204"/>
      <c r="Q26" s="53"/>
      <c r="R26" s="214"/>
      <c r="S26" s="203"/>
      <c r="T26" s="215"/>
      <c r="U26" s="215"/>
      <c r="V26" s="204"/>
      <c r="W26" s="53"/>
      <c r="X26" s="214"/>
      <c r="AA26" s="204"/>
    </row>
    <row r="27" spans="1:27">
      <c r="A27" s="326"/>
      <c r="E27" s="342"/>
      <c r="F27" s="223"/>
      <c r="G27" s="203"/>
      <c r="H27" s="215"/>
      <c r="I27" s="215"/>
      <c r="K27" s="53"/>
      <c r="L27" s="214"/>
      <c r="M27" s="203"/>
      <c r="N27" s="215"/>
      <c r="O27" s="215"/>
      <c r="Q27" s="53"/>
      <c r="R27" s="214"/>
      <c r="S27" s="203"/>
      <c r="T27" s="215"/>
      <c r="U27" s="215"/>
      <c r="W27" s="53"/>
      <c r="X27" s="214"/>
      <c r="AA27" s="204"/>
    </row>
    <row r="28" spans="1:27">
      <c r="B28" s="136"/>
      <c r="E28" s="342"/>
      <c r="F28" s="223"/>
      <c r="H28" s="215"/>
      <c r="I28" s="215"/>
      <c r="K28" s="53"/>
      <c r="L28" s="214"/>
      <c r="M28" s="190" t="s">
        <v>276</v>
      </c>
      <c r="N28" s="215"/>
      <c r="O28" s="215"/>
      <c r="Q28" s="53"/>
      <c r="R28" s="214"/>
      <c r="S28" s="11"/>
      <c r="T28" s="215"/>
      <c r="U28" s="215"/>
      <c r="W28" s="53"/>
      <c r="X28" s="214"/>
    </row>
    <row r="29" spans="1:27" ht="12.75" customHeight="1">
      <c r="A29" s="200" t="s">
        <v>106</v>
      </c>
      <c r="C29" s="8"/>
      <c r="D29" s="137"/>
      <c r="E29" s="344"/>
      <c r="F29" s="224"/>
      <c r="G29" s="188"/>
      <c r="H29" s="8"/>
      <c r="I29" s="8"/>
      <c r="J29" s="8"/>
      <c r="K29" s="116"/>
      <c r="L29" s="232"/>
      <c r="M29" s="393">
        <v>47.625</v>
      </c>
      <c r="N29" s="8"/>
      <c r="O29" s="8"/>
      <c r="P29" s="8"/>
      <c r="Q29" s="116"/>
      <c r="R29" s="232"/>
      <c r="S29" s="188"/>
      <c r="T29" s="8"/>
      <c r="U29" s="8"/>
      <c r="V29" s="8"/>
      <c r="W29" s="116"/>
      <c r="X29" s="232"/>
    </row>
    <row r="30" spans="1:27" ht="12.75" customHeight="1">
      <c r="B30" t="s">
        <v>96</v>
      </c>
      <c r="C30" s="8"/>
      <c r="D30" s="190">
        <f>+A24*$A22</f>
        <v>324721108.125</v>
      </c>
      <c r="E30" s="191"/>
      <c r="F30" s="225"/>
      <c r="G30" s="196">
        <f>+D31</f>
        <v>342740314.125</v>
      </c>
      <c r="H30" s="196">
        <f>+G31</f>
        <v>385911328.5</v>
      </c>
      <c r="I30" s="196">
        <f>+H31</f>
        <v>491023363.5</v>
      </c>
      <c r="J30" s="196">
        <f>+I31</f>
        <v>493275764.25</v>
      </c>
      <c r="K30" s="377"/>
      <c r="L30" s="233"/>
      <c r="M30" s="196">
        <f>+J31</f>
        <v>533068177.5</v>
      </c>
      <c r="N30" s="196"/>
      <c r="O30" s="196"/>
      <c r="P30" s="196"/>
      <c r="Q30" s="377"/>
      <c r="R30" s="233"/>
      <c r="S30" s="196"/>
      <c r="T30" s="196"/>
      <c r="U30" s="196"/>
      <c r="V30" s="196"/>
      <c r="W30" s="377"/>
      <c r="X30" s="233"/>
    </row>
    <row r="31" spans="1:27" ht="12.75" customHeight="1">
      <c r="B31" t="s">
        <v>97</v>
      </c>
      <c r="C31" s="190"/>
      <c r="D31" s="190">
        <f>+D21*$A24</f>
        <v>342740314.125</v>
      </c>
      <c r="E31" s="191"/>
      <c r="F31" s="225"/>
      <c r="G31" s="190">
        <f>+G21*$A24</f>
        <v>385911328.5</v>
      </c>
      <c r="H31" s="190">
        <f>+H21*$A24</f>
        <v>491023363.5</v>
      </c>
      <c r="I31" s="190">
        <f>+I21*$A26</f>
        <v>493275764.25</v>
      </c>
      <c r="J31" s="190">
        <f>+J21*$A26</f>
        <v>533068177.5</v>
      </c>
      <c r="K31" s="116"/>
      <c r="L31" s="232"/>
      <c r="M31" s="190">
        <f>+M29*$A26</f>
        <v>572109790.5</v>
      </c>
      <c r="N31" s="190"/>
      <c r="O31" s="190"/>
      <c r="P31" s="190"/>
      <c r="Q31" s="116"/>
      <c r="R31" s="232"/>
      <c r="S31" s="190"/>
      <c r="T31" s="190"/>
      <c r="U31" s="190"/>
      <c r="V31" s="190"/>
      <c r="W31" s="116"/>
      <c r="X31" s="232"/>
      <c r="Z31" s="404" t="s">
        <v>94</v>
      </c>
    </row>
    <row r="32" spans="1:27" ht="12.75" customHeight="1" thickBot="1">
      <c r="B32" t="s">
        <v>100</v>
      </c>
      <c r="C32" s="189">
        <f t="shared" ref="C32:J32" si="0">+C31-C30</f>
        <v>0</v>
      </c>
      <c r="D32" s="189">
        <f t="shared" si="0"/>
        <v>18019206</v>
      </c>
      <c r="E32" s="189">
        <f>SUM(C32:D32)</f>
        <v>18019206</v>
      </c>
      <c r="F32" s="226"/>
      <c r="G32" s="189">
        <f t="shared" si="0"/>
        <v>43171014.375</v>
      </c>
      <c r="H32" s="189">
        <f t="shared" si="0"/>
        <v>105112035</v>
      </c>
      <c r="I32" s="189">
        <f t="shared" si="0"/>
        <v>2252400.75</v>
      </c>
      <c r="J32" s="189">
        <f t="shared" si="0"/>
        <v>39792413.25</v>
      </c>
      <c r="K32" s="189">
        <f>SUM(G32:J32)</f>
        <v>190327863.375</v>
      </c>
      <c r="L32" s="226"/>
      <c r="M32" s="189">
        <f>+M31-M30</f>
        <v>39041613</v>
      </c>
      <c r="N32" s="189">
        <f>+N31-N30</f>
        <v>0</v>
      </c>
      <c r="O32" s="189">
        <f>+O31-O30</f>
        <v>0</v>
      </c>
      <c r="P32" s="189">
        <f>+P31-P30</f>
        <v>0</v>
      </c>
      <c r="Q32" s="189">
        <f>SUM(M32:P32)</f>
        <v>39041613</v>
      </c>
      <c r="R32" s="226"/>
      <c r="S32" s="189">
        <f>+S31-S30</f>
        <v>0</v>
      </c>
      <c r="T32" s="189">
        <f>+T31-T30</f>
        <v>0</v>
      </c>
      <c r="U32" s="189">
        <f>+U31-U30</f>
        <v>0</v>
      </c>
      <c r="V32" s="189">
        <f>+V31-V30</f>
        <v>0</v>
      </c>
      <c r="W32" s="189">
        <f>SUM(S32:V32)</f>
        <v>0</v>
      </c>
      <c r="X32" s="226"/>
      <c r="Y32" s="226">
        <f>+E32+K32+Q32+W32</f>
        <v>247388682.375</v>
      </c>
      <c r="Z32" s="194">
        <f>+Y32</f>
        <v>247388682.375</v>
      </c>
    </row>
    <row r="33" spans="1:26" ht="12.75" customHeight="1" thickBot="1">
      <c r="B33" s="217" t="s">
        <v>154</v>
      </c>
      <c r="C33" s="211">
        <f t="shared" ref="C33:J33" si="1">+C32*0.6</f>
        <v>0</v>
      </c>
      <c r="D33" s="211">
        <f t="shared" si="1"/>
        <v>10811523.6</v>
      </c>
      <c r="E33" s="211">
        <f>SUM(C33:D33)</f>
        <v>10811523.6</v>
      </c>
      <c r="F33" s="227"/>
      <c r="G33" s="211">
        <f t="shared" si="1"/>
        <v>25902608.625</v>
      </c>
      <c r="H33" s="319">
        <f t="shared" si="1"/>
        <v>63067221</v>
      </c>
      <c r="I33" s="319">
        <f t="shared" si="1"/>
        <v>1351440.45</v>
      </c>
      <c r="J33" s="319">
        <f t="shared" si="1"/>
        <v>23875447.949999999</v>
      </c>
      <c r="K33" s="319">
        <f>SUM(G33:J33)</f>
        <v>114196718.02500001</v>
      </c>
      <c r="L33" s="234"/>
      <c r="M33" s="211">
        <f>+M32*0.6</f>
        <v>23424967.800000001</v>
      </c>
      <c r="N33" s="319">
        <f>+N32*0.6</f>
        <v>0</v>
      </c>
      <c r="O33" s="319">
        <f>+O32*0.6</f>
        <v>0</v>
      </c>
      <c r="P33" s="319">
        <f>+P32*0.6</f>
        <v>0</v>
      </c>
      <c r="Q33" s="319">
        <f>SUM(M33:P33)</f>
        <v>23424967.800000001</v>
      </c>
      <c r="R33" s="234"/>
      <c r="S33" s="211">
        <f>+S32*0.6</f>
        <v>0</v>
      </c>
      <c r="T33" s="319">
        <f>+T32*0.6</f>
        <v>0</v>
      </c>
      <c r="U33" s="319">
        <f>+U32*0.6</f>
        <v>0</v>
      </c>
      <c r="V33" s="319">
        <f>+V32*0.6</f>
        <v>0</v>
      </c>
      <c r="W33" s="319">
        <f>SUM(S33:V33)</f>
        <v>0</v>
      </c>
      <c r="X33" s="234"/>
      <c r="Y33" s="234">
        <f>+E33+K33+Q33+W33</f>
        <v>148433209.42500001</v>
      </c>
      <c r="Z33" s="194"/>
    </row>
    <row r="34" spans="1:26" ht="12.75" customHeight="1">
      <c r="C34" s="8"/>
      <c r="D34" s="191"/>
      <c r="E34" s="191"/>
      <c r="F34" s="225"/>
      <c r="G34" s="188"/>
      <c r="H34" s="8"/>
      <c r="I34" s="8"/>
      <c r="J34" s="8"/>
      <c r="K34" s="380"/>
      <c r="L34" s="232"/>
      <c r="M34" s="190" t="s">
        <v>276</v>
      </c>
      <c r="N34" s="8"/>
      <c r="O34" s="8"/>
      <c r="P34" s="8"/>
      <c r="Q34" s="380"/>
      <c r="R34" s="232"/>
      <c r="S34" s="188"/>
      <c r="T34" s="8"/>
      <c r="U34" s="8"/>
      <c r="V34" s="8"/>
      <c r="W34" s="380"/>
      <c r="X34" s="232"/>
    </row>
    <row r="35" spans="1:26" ht="12.75" customHeight="1">
      <c r="A35" s="200" t="s">
        <v>230</v>
      </c>
      <c r="D35" s="191"/>
      <c r="E35" s="191"/>
      <c r="F35" s="225"/>
      <c r="G35" s="188"/>
      <c r="H35" s="8"/>
      <c r="I35" s="8"/>
      <c r="J35" s="8"/>
      <c r="K35" s="380"/>
      <c r="L35" s="232"/>
      <c r="M35" s="393">
        <v>47.625</v>
      </c>
      <c r="N35" s="8"/>
      <c r="O35" s="8"/>
      <c r="P35" s="8"/>
      <c r="Q35" s="380"/>
      <c r="R35" s="232"/>
      <c r="S35" s="188"/>
      <c r="T35" s="8"/>
      <c r="U35" s="8"/>
      <c r="V35" s="8"/>
      <c r="W35" s="380"/>
      <c r="X35" s="232"/>
    </row>
    <row r="36" spans="1:26" ht="12.75" customHeight="1">
      <c r="A36" t="s">
        <v>87</v>
      </c>
      <c r="B36" t="s">
        <v>231</v>
      </c>
      <c r="C36" s="365">
        <v>36413</v>
      </c>
      <c r="D36" s="191"/>
      <c r="E36" s="191"/>
      <c r="F36" s="225"/>
      <c r="G36" s="188"/>
      <c r="H36" s="8"/>
      <c r="I36" s="8">
        <f>$A$39*$A$37</f>
        <v>513547371</v>
      </c>
      <c r="J36" s="8">
        <f>+I37</f>
        <v>493275764.25</v>
      </c>
      <c r="K36" s="380"/>
      <c r="L36" s="232"/>
      <c r="M36" s="190">
        <f>+J37</f>
        <v>533068177.5</v>
      </c>
      <c r="N36" s="8"/>
      <c r="O36" s="8"/>
      <c r="P36" s="8"/>
      <c r="Q36" s="380"/>
      <c r="R36" s="232"/>
      <c r="S36" s="190"/>
      <c r="T36" s="8"/>
      <c r="U36" s="8"/>
      <c r="V36" s="8"/>
      <c r="W36" s="380"/>
      <c r="X36" s="232"/>
    </row>
    <row r="37" spans="1:26" ht="12.75" customHeight="1">
      <c r="A37" s="199">
        <v>42.75</v>
      </c>
      <c r="B37" t="s">
        <v>97</v>
      </c>
      <c r="C37" s="365">
        <v>36536</v>
      </c>
      <c r="D37" s="191"/>
      <c r="E37" s="191"/>
      <c r="F37" s="225"/>
      <c r="G37" s="188"/>
      <c r="H37" s="8"/>
      <c r="I37" s="8">
        <f>+$A$39*I21</f>
        <v>493275764.25</v>
      </c>
      <c r="J37" s="8">
        <f>+$A$39*J21</f>
        <v>533068177.5</v>
      </c>
      <c r="K37" s="380"/>
      <c r="L37" s="232"/>
      <c r="M37" s="8">
        <f>+$A$39*M35</f>
        <v>572109790.5</v>
      </c>
      <c r="N37" s="8"/>
      <c r="O37" s="8"/>
      <c r="P37" s="8"/>
      <c r="Q37" s="380"/>
      <c r="R37" s="232"/>
      <c r="S37" s="8"/>
      <c r="T37" s="8"/>
      <c r="U37" s="8"/>
      <c r="V37" s="8"/>
      <c r="W37" s="380"/>
      <c r="X37" s="232"/>
      <c r="Z37" s="404" t="s">
        <v>272</v>
      </c>
    </row>
    <row r="38" spans="1:26" ht="12.75" customHeight="1" thickBot="1">
      <c r="A38" t="s">
        <v>42</v>
      </c>
      <c r="B38" t="s">
        <v>100</v>
      </c>
      <c r="C38" s="8"/>
      <c r="D38" s="191"/>
      <c r="E38" s="191"/>
      <c r="F38" s="225"/>
      <c r="G38" s="188"/>
      <c r="H38" s="8"/>
      <c r="I38" s="205">
        <f>+I36-I37</f>
        <v>20271606.75</v>
      </c>
      <c r="J38" s="205">
        <f>+J36-J37</f>
        <v>-39792413.25</v>
      </c>
      <c r="K38" s="205">
        <f>SUM(G38:J38)</f>
        <v>-19520806.5</v>
      </c>
      <c r="L38" s="230"/>
      <c r="M38" s="205">
        <f>+M36-M37</f>
        <v>-39041613</v>
      </c>
      <c r="N38" s="205">
        <f>+N36-N37</f>
        <v>0</v>
      </c>
      <c r="O38" s="205">
        <f>+O36-O37</f>
        <v>0</v>
      </c>
      <c r="P38" s="205">
        <f>+P36-P37</f>
        <v>0</v>
      </c>
      <c r="Q38" s="205">
        <f>SUM(M38:P38)</f>
        <v>-39041613</v>
      </c>
      <c r="R38" s="230"/>
      <c r="S38" s="205">
        <f>+S36-S37</f>
        <v>0</v>
      </c>
      <c r="T38" s="205">
        <f>+T36-T37</f>
        <v>0</v>
      </c>
      <c r="U38" s="205">
        <f>+U36-U37</f>
        <v>0</v>
      </c>
      <c r="V38" s="205">
        <f>+V36-V37</f>
        <v>0</v>
      </c>
      <c r="W38" s="205">
        <f>SUM(S38:V38)</f>
        <v>0</v>
      </c>
      <c r="X38" s="230"/>
      <c r="Y38" s="333">
        <f>+K38+Q38+W38</f>
        <v>-58562419.5</v>
      </c>
      <c r="Z38" s="194">
        <f>+Y38</f>
        <v>-58562419.5</v>
      </c>
    </row>
    <row r="39" spans="1:26" ht="12.75" customHeight="1" thickBot="1">
      <c r="A39" s="135">
        <v>12012804</v>
      </c>
      <c r="B39" s="217" t="s">
        <v>154</v>
      </c>
      <c r="C39" s="213"/>
      <c r="D39" s="211"/>
      <c r="E39" s="211"/>
      <c r="F39" s="227"/>
      <c r="G39" s="332"/>
      <c r="H39" s="213"/>
      <c r="I39" s="336">
        <f>+I38*0.6</f>
        <v>12162964.049999999</v>
      </c>
      <c r="J39" s="379">
        <f>+J38*0.6</f>
        <v>-23875447.949999999</v>
      </c>
      <c r="K39" s="379">
        <f>SUM(G39:J39)</f>
        <v>-11712483.9</v>
      </c>
      <c r="L39" s="234"/>
      <c r="M39" s="336">
        <f>+M38*0.6</f>
        <v>-23424967.800000001</v>
      </c>
      <c r="N39" s="336">
        <f>+N38*0.6</f>
        <v>0</v>
      </c>
      <c r="O39" s="336">
        <f>+O38*0.6</f>
        <v>0</v>
      </c>
      <c r="P39" s="336">
        <f>+P38*0.6</f>
        <v>0</v>
      </c>
      <c r="Q39" s="379">
        <f>SUM(M39:P39)</f>
        <v>-23424967.800000001</v>
      </c>
      <c r="R39" s="234"/>
      <c r="S39" s="336">
        <f>+S38*0.6</f>
        <v>0</v>
      </c>
      <c r="T39" s="336">
        <f>+T38*0.6</f>
        <v>0</v>
      </c>
      <c r="U39" s="336">
        <f>+U38*0.6</f>
        <v>0</v>
      </c>
      <c r="V39" s="336">
        <f>+V38*0.6</f>
        <v>0</v>
      </c>
      <c r="W39" s="379">
        <f>SUM(S39:V39)</f>
        <v>0</v>
      </c>
      <c r="X39" s="234"/>
      <c r="Y39" s="334">
        <f>+K39+Q39+W39</f>
        <v>-35137451.700000003</v>
      </c>
    </row>
    <row r="40" spans="1:26" ht="12.75" customHeight="1" thickBot="1">
      <c r="A40" s="57">
        <v>36497</v>
      </c>
      <c r="B40" s="217" t="s">
        <v>232</v>
      </c>
      <c r="C40" s="213"/>
      <c r="D40" s="211"/>
      <c r="E40" s="211">
        <f t="shared" ref="E40:K40" si="2">+E33+E39</f>
        <v>10811523.6</v>
      </c>
      <c r="F40" s="228"/>
      <c r="G40" s="213">
        <f t="shared" si="2"/>
        <v>25902608.625</v>
      </c>
      <c r="H40" s="213">
        <f t="shared" si="2"/>
        <v>63067221</v>
      </c>
      <c r="I40" s="213">
        <f t="shared" si="2"/>
        <v>13514404.499999998</v>
      </c>
      <c r="J40" s="213">
        <f t="shared" si="2"/>
        <v>0</v>
      </c>
      <c r="K40" s="213">
        <f t="shared" si="2"/>
        <v>102484234.125</v>
      </c>
      <c r="L40" s="228"/>
      <c r="M40" s="213">
        <f>+M33+M39</f>
        <v>0</v>
      </c>
      <c r="N40" s="213">
        <f>+N33+N39</f>
        <v>0</v>
      </c>
      <c r="O40" s="213">
        <f>+O33+O39</f>
        <v>0</v>
      </c>
      <c r="P40" s="213">
        <f>+P33+P39</f>
        <v>0</v>
      </c>
      <c r="Q40" s="213">
        <f>+Q33+Q39</f>
        <v>0</v>
      </c>
      <c r="R40" s="228"/>
      <c r="S40" s="213">
        <f>+S33+S39</f>
        <v>0</v>
      </c>
      <c r="T40" s="213">
        <f>+T33+T39</f>
        <v>0</v>
      </c>
      <c r="U40" s="213">
        <f>+U33+U39</f>
        <v>0</v>
      </c>
      <c r="V40" s="213">
        <f>+V33+V39</f>
        <v>0</v>
      </c>
      <c r="W40" s="213">
        <f>+W33+W39</f>
        <v>0</v>
      </c>
      <c r="X40" s="228"/>
      <c r="Y40" s="334">
        <f>+Y33+Y39</f>
        <v>113295757.72500001</v>
      </c>
    </row>
    <row r="41" spans="1:26" ht="12.75" customHeight="1">
      <c r="B41" s="53"/>
      <c r="C41" s="242"/>
      <c r="D41" s="191"/>
      <c r="E41" s="191"/>
      <c r="F41" s="317"/>
      <c r="G41" s="242"/>
      <c r="H41" s="242"/>
      <c r="I41" s="242"/>
      <c r="J41" s="242"/>
      <c r="K41" s="242"/>
      <c r="L41" s="317"/>
      <c r="M41" s="242" t="s">
        <v>276</v>
      </c>
      <c r="N41" s="242"/>
      <c r="O41" s="242"/>
      <c r="P41" s="242"/>
      <c r="Q41" s="242"/>
      <c r="R41" s="317"/>
      <c r="S41" s="242"/>
      <c r="T41" s="242"/>
      <c r="U41" s="242"/>
      <c r="V41" s="242"/>
      <c r="W41" s="242"/>
      <c r="X41" s="317"/>
      <c r="Y41" s="237"/>
    </row>
    <row r="42" spans="1:26" ht="12.75" customHeight="1">
      <c r="A42" s="200" t="s">
        <v>106</v>
      </c>
      <c r="B42" s="53"/>
      <c r="C42" s="242"/>
      <c r="D42" s="191"/>
      <c r="E42" s="191"/>
      <c r="F42" s="317"/>
      <c r="G42" s="242"/>
      <c r="H42" s="242"/>
      <c r="I42" s="242"/>
      <c r="J42" s="242"/>
      <c r="K42" s="242"/>
      <c r="L42" s="317"/>
      <c r="M42" s="393">
        <v>61</v>
      </c>
      <c r="N42" s="242"/>
      <c r="O42" s="242"/>
      <c r="P42" s="242"/>
      <c r="Q42" s="242"/>
      <c r="R42" s="317"/>
      <c r="S42" s="242"/>
      <c r="T42" s="242"/>
      <c r="U42" s="242"/>
      <c r="V42" s="242"/>
      <c r="W42" s="242"/>
      <c r="X42" s="317"/>
      <c r="Y42" s="237"/>
    </row>
    <row r="43" spans="1:26" ht="12.75" customHeight="1">
      <c r="A43" t="s">
        <v>87</v>
      </c>
      <c r="B43" t="s">
        <v>96</v>
      </c>
      <c r="C43" s="242"/>
      <c r="D43" s="242"/>
      <c r="E43" s="242"/>
      <c r="F43" s="317"/>
      <c r="G43" s="242"/>
      <c r="H43" s="242"/>
      <c r="I43" s="242"/>
      <c r="J43" s="242"/>
      <c r="K43" s="242"/>
      <c r="L43" s="317"/>
      <c r="M43" s="196">
        <f>+A44*A46</f>
        <v>572109790.5</v>
      </c>
      <c r="N43" s="196"/>
      <c r="O43" s="196"/>
      <c r="P43" s="196"/>
      <c r="Q43" s="377"/>
      <c r="R43" s="233"/>
      <c r="S43" s="196"/>
      <c r="T43" s="196"/>
      <c r="U43" s="196"/>
      <c r="V43" s="196"/>
      <c r="W43" s="377"/>
      <c r="X43" s="233"/>
    </row>
    <row r="44" spans="1:26" ht="12.75" customHeight="1">
      <c r="A44" s="199">
        <v>47.625</v>
      </c>
      <c r="B44" t="s">
        <v>97</v>
      </c>
      <c r="C44" s="242"/>
      <c r="D44" s="242"/>
      <c r="E44" s="242"/>
      <c r="F44" s="317"/>
      <c r="G44" s="242"/>
      <c r="H44" s="242"/>
      <c r="I44" s="242"/>
      <c r="J44" s="242"/>
      <c r="K44" s="242"/>
      <c r="L44" s="317"/>
      <c r="M44" s="196">
        <f>+M42*$A46</f>
        <v>732781044</v>
      </c>
      <c r="N44" s="190"/>
      <c r="O44" s="190"/>
      <c r="P44" s="190"/>
      <c r="Q44" s="116"/>
      <c r="R44" s="232"/>
      <c r="S44" s="190"/>
      <c r="T44" s="190"/>
      <c r="U44" s="190"/>
      <c r="V44" s="190"/>
      <c r="W44" s="116"/>
      <c r="X44" s="232"/>
      <c r="Z44" s="404" t="s">
        <v>283</v>
      </c>
    </row>
    <row r="45" spans="1:26" ht="12.75" customHeight="1" thickBot="1">
      <c r="A45" t="s">
        <v>42</v>
      </c>
      <c r="B45" t="s">
        <v>100</v>
      </c>
      <c r="C45" s="242"/>
      <c r="D45" s="242"/>
      <c r="E45" s="242"/>
      <c r="F45" s="317"/>
      <c r="G45" s="242"/>
      <c r="H45" s="242"/>
      <c r="I45" s="242"/>
      <c r="J45" s="242"/>
      <c r="K45" s="242"/>
      <c r="L45" s="317"/>
      <c r="M45" s="189">
        <f>+M44-M43</f>
        <v>160671253.5</v>
      </c>
      <c r="N45" s="189">
        <f>+N44-N43</f>
        <v>0</v>
      </c>
      <c r="O45" s="189">
        <f>+O44-O43</f>
        <v>0</v>
      </c>
      <c r="P45" s="189">
        <f>+P44-P43</f>
        <v>0</v>
      </c>
      <c r="Q45" s="189">
        <f>SUM(M45:P45)</f>
        <v>160671253.5</v>
      </c>
      <c r="R45" s="226"/>
      <c r="S45" s="189">
        <f>+S44-S43</f>
        <v>0</v>
      </c>
      <c r="T45" s="189">
        <f>+T44-T43</f>
        <v>0</v>
      </c>
      <c r="U45" s="189">
        <f>+U44-U43</f>
        <v>0</v>
      </c>
      <c r="V45" s="189">
        <f>+V44-V43</f>
        <v>0</v>
      </c>
      <c r="W45" s="189">
        <f>SUM(S45:V45)</f>
        <v>0</v>
      </c>
      <c r="X45" s="226"/>
      <c r="Y45" s="226">
        <f>+E45+K45+Q45+W45</f>
        <v>160671253.5</v>
      </c>
      <c r="Z45" s="194">
        <f>+Y45</f>
        <v>160671253.5</v>
      </c>
    </row>
    <row r="46" spans="1:26" ht="12.75" customHeight="1" thickBot="1">
      <c r="A46" s="137">
        <v>12012804</v>
      </c>
      <c r="B46" s="217" t="s">
        <v>154</v>
      </c>
      <c r="C46" s="213"/>
      <c r="D46" s="211"/>
      <c r="E46" s="211"/>
      <c r="F46" s="228"/>
      <c r="G46" s="213"/>
      <c r="H46" s="213"/>
      <c r="I46" s="213"/>
      <c r="J46" s="213"/>
      <c r="K46" s="213"/>
      <c r="L46" s="228"/>
      <c r="M46" s="211">
        <f>+M45*0.6</f>
        <v>96402752.099999994</v>
      </c>
      <c r="N46" s="319">
        <f>+N45*0.6</f>
        <v>0</v>
      </c>
      <c r="O46" s="319">
        <f>+O45*0.6</f>
        <v>0</v>
      </c>
      <c r="P46" s="319">
        <f>+P45*0.6</f>
        <v>0</v>
      </c>
      <c r="Q46" s="319">
        <f>SUM(M46:P46)</f>
        <v>96402752.099999994</v>
      </c>
      <c r="R46" s="234"/>
      <c r="S46" s="211">
        <f>+S45*0.6</f>
        <v>0</v>
      </c>
      <c r="T46" s="319">
        <f>+T45*0.6</f>
        <v>0</v>
      </c>
      <c r="U46" s="319">
        <f>+U45*0.6</f>
        <v>0</v>
      </c>
      <c r="V46" s="319">
        <f>+V45*0.6</f>
        <v>0</v>
      </c>
      <c r="W46" s="319">
        <f>SUM(S46:V46)</f>
        <v>0</v>
      </c>
      <c r="X46" s="234"/>
      <c r="Y46" s="234">
        <f>+E46+K46+Q46+W46</f>
        <v>96402752.099999994</v>
      </c>
    </row>
    <row r="47" spans="1:26" ht="12.75" customHeight="1">
      <c r="A47" s="137"/>
      <c r="B47" s="53"/>
      <c r="C47" s="242"/>
      <c r="D47" s="191"/>
      <c r="E47" s="191"/>
      <c r="F47" s="317"/>
      <c r="G47" s="242"/>
      <c r="H47" s="242"/>
      <c r="I47" s="242"/>
      <c r="J47" s="242"/>
      <c r="K47" s="242"/>
      <c r="L47" s="317"/>
      <c r="M47" s="191"/>
      <c r="N47" s="383"/>
      <c r="O47" s="383"/>
      <c r="P47" s="383"/>
      <c r="Q47" s="383"/>
      <c r="R47" s="232"/>
      <c r="S47" s="191"/>
      <c r="T47" s="383"/>
      <c r="U47" s="383"/>
      <c r="V47" s="383"/>
      <c r="W47" s="383"/>
      <c r="X47" s="232"/>
      <c r="Y47" s="116"/>
    </row>
    <row r="48" spans="1:26" ht="12.75" customHeight="1">
      <c r="A48" s="200" t="s">
        <v>106</v>
      </c>
      <c r="B48" s="53"/>
      <c r="C48" s="242"/>
      <c r="D48" s="191"/>
      <c r="E48" s="191"/>
      <c r="F48" s="317"/>
      <c r="G48" s="242"/>
      <c r="H48" s="242"/>
      <c r="I48" s="242"/>
      <c r="J48" s="242"/>
      <c r="K48" s="242"/>
      <c r="L48" s="317"/>
      <c r="M48" s="393"/>
      <c r="N48" s="242"/>
      <c r="O48" s="242"/>
      <c r="P48" s="242"/>
      <c r="Q48" s="242"/>
      <c r="R48" s="317"/>
      <c r="S48" s="242"/>
      <c r="T48" s="242"/>
      <c r="U48" s="242"/>
      <c r="V48" s="242"/>
      <c r="W48" s="242"/>
      <c r="X48" s="317"/>
      <c r="Y48" s="237"/>
    </row>
    <row r="49" spans="1:26" ht="12.75" customHeight="1">
      <c r="A49" t="s">
        <v>87</v>
      </c>
      <c r="B49" t="s">
        <v>96</v>
      </c>
      <c r="C49" s="242"/>
      <c r="D49" s="242"/>
      <c r="E49" s="242"/>
      <c r="F49" s="317"/>
      <c r="G49" s="242"/>
      <c r="H49" s="242"/>
      <c r="I49" s="242"/>
      <c r="J49" s="242"/>
      <c r="K49" s="242"/>
      <c r="L49" s="317"/>
      <c r="M49" s="196">
        <f>+A50*A52</f>
        <v>732781044</v>
      </c>
      <c r="N49" s="196">
        <f>+M50</f>
        <v>899458699.5</v>
      </c>
      <c r="O49" s="196">
        <f>+N50</f>
        <v>774825858</v>
      </c>
      <c r="P49" s="196">
        <f>+O50</f>
        <v>774825858</v>
      </c>
      <c r="Q49" s="377"/>
      <c r="R49" s="233"/>
      <c r="S49" s="196">
        <f>+P50</f>
        <v>774825858</v>
      </c>
      <c r="T49" s="196">
        <f>+S50</f>
        <v>774825858</v>
      </c>
      <c r="U49" s="196">
        <f>+T50</f>
        <v>774825858</v>
      </c>
      <c r="V49" s="196">
        <f>+U50</f>
        <v>774825858</v>
      </c>
      <c r="W49" s="377"/>
      <c r="X49" s="233"/>
    </row>
    <row r="50" spans="1:26" ht="12.75" customHeight="1">
      <c r="A50" s="199">
        <v>61</v>
      </c>
      <c r="B50" t="s">
        <v>97</v>
      </c>
      <c r="C50" s="242"/>
      <c r="D50" s="242"/>
      <c r="E50" s="242"/>
      <c r="F50" s="317"/>
      <c r="G50" s="242"/>
      <c r="H50" s="242"/>
      <c r="I50" s="242"/>
      <c r="J50" s="242"/>
      <c r="K50" s="242"/>
      <c r="L50" s="317"/>
      <c r="M50" s="196">
        <f>+M21*$A52</f>
        <v>899458699.5</v>
      </c>
      <c r="N50" s="190">
        <f>+N$21*$A52</f>
        <v>774825858</v>
      </c>
      <c r="O50" s="190">
        <f>+O$21*$A52</f>
        <v>774825858</v>
      </c>
      <c r="P50" s="190">
        <f>+P$21*$A52</f>
        <v>774825858</v>
      </c>
      <c r="Q50" s="116"/>
      <c r="R50" s="232"/>
      <c r="S50" s="190">
        <f>+S$21*$A52</f>
        <v>774825858</v>
      </c>
      <c r="T50" s="190">
        <f>+T$21*$A52</f>
        <v>774825858</v>
      </c>
      <c r="U50" s="190">
        <f>+U$21*$A52</f>
        <v>774825858</v>
      </c>
      <c r="V50" s="190">
        <f>+V$21*$A52</f>
        <v>774825858</v>
      </c>
      <c r="W50" s="116"/>
      <c r="X50" s="232"/>
      <c r="Z50" s="404" t="s">
        <v>310</v>
      </c>
    </row>
    <row r="51" spans="1:26" ht="12.75" customHeight="1" thickBot="1">
      <c r="A51" t="s">
        <v>42</v>
      </c>
      <c r="B51" t="s">
        <v>100</v>
      </c>
      <c r="C51" s="242"/>
      <c r="D51" s="242"/>
      <c r="E51" s="242"/>
      <c r="F51" s="317"/>
      <c r="G51" s="242"/>
      <c r="H51" s="242"/>
      <c r="I51" s="242"/>
      <c r="J51" s="242"/>
      <c r="K51" s="242"/>
      <c r="L51" s="317"/>
      <c r="M51" s="189">
        <f>+M50-M49</f>
        <v>166677655.5</v>
      </c>
      <c r="N51" s="189">
        <f>+N50-N49</f>
        <v>-124632841.5</v>
      </c>
      <c r="O51" s="189">
        <f>+O50-O49</f>
        <v>0</v>
      </c>
      <c r="P51" s="189">
        <f>+P50-P49</f>
        <v>0</v>
      </c>
      <c r="Q51" s="189">
        <f>SUM(M51:P51)</f>
        <v>42044814</v>
      </c>
      <c r="R51" s="226"/>
      <c r="S51" s="189">
        <f>+S50-S49</f>
        <v>0</v>
      </c>
      <c r="T51" s="189">
        <f>+T50-T49</f>
        <v>0</v>
      </c>
      <c r="U51" s="189">
        <f>+U50-U49</f>
        <v>0</v>
      </c>
      <c r="V51" s="189">
        <f>+V50-V49</f>
        <v>0</v>
      </c>
      <c r="W51" s="189">
        <f>SUM(S51:V51)</f>
        <v>0</v>
      </c>
      <c r="X51" s="226"/>
      <c r="Y51" s="226">
        <f>+E51+K51+Q51+W51</f>
        <v>42044814</v>
      </c>
      <c r="Z51" s="194">
        <f>+Y51</f>
        <v>42044814</v>
      </c>
    </row>
    <row r="52" spans="1:26" ht="12.75" customHeight="1" thickBot="1">
      <c r="A52" s="137">
        <v>12012804</v>
      </c>
      <c r="B52" s="217" t="s">
        <v>154</v>
      </c>
      <c r="C52" s="213"/>
      <c r="D52" s="211"/>
      <c r="E52" s="211"/>
      <c r="F52" s="228"/>
      <c r="G52" s="213"/>
      <c r="H52" s="213"/>
      <c r="I52" s="213"/>
      <c r="J52" s="213"/>
      <c r="K52" s="213"/>
      <c r="L52" s="228"/>
      <c r="M52" s="211">
        <f>+M51*0.6</f>
        <v>100006593.3</v>
      </c>
      <c r="N52" s="319">
        <f>+N51*0.6</f>
        <v>-74779704.899999991</v>
      </c>
      <c r="O52" s="319">
        <f>+O51*0.6</f>
        <v>0</v>
      </c>
      <c r="P52" s="319">
        <f>+P51*0.6</f>
        <v>0</v>
      </c>
      <c r="Q52" s="319">
        <f>SUM(M52:P52)</f>
        <v>25226888.400000006</v>
      </c>
      <c r="R52" s="234"/>
      <c r="S52" s="211">
        <f>+S51*0.6</f>
        <v>0</v>
      </c>
      <c r="T52" s="319">
        <f>+T51*0.6</f>
        <v>0</v>
      </c>
      <c r="U52" s="319">
        <f>+U51*0.6</f>
        <v>0</v>
      </c>
      <c r="V52" s="319">
        <f>+V51*0.6</f>
        <v>0</v>
      </c>
      <c r="W52" s="319">
        <f>SUM(S52:V52)</f>
        <v>0</v>
      </c>
      <c r="X52" s="234"/>
      <c r="Y52" s="234">
        <f>+E52+K52+Q52+W52</f>
        <v>25226888.400000006</v>
      </c>
    </row>
    <row r="53" spans="1:26" ht="12.75" customHeight="1">
      <c r="C53" s="8"/>
      <c r="D53" s="191"/>
      <c r="E53" s="191"/>
      <c r="F53" s="225"/>
      <c r="G53" s="188"/>
      <c r="H53" s="8"/>
      <c r="I53" s="8"/>
      <c r="J53" s="8"/>
      <c r="K53" s="380"/>
      <c r="L53" s="232"/>
      <c r="M53" s="188"/>
      <c r="N53" s="8"/>
      <c r="O53" s="8"/>
      <c r="P53" s="8"/>
      <c r="Q53" s="380"/>
      <c r="R53" s="232"/>
      <c r="S53" s="188"/>
      <c r="T53" s="8"/>
      <c r="U53" s="8"/>
      <c r="V53" s="8"/>
      <c r="W53" s="380"/>
      <c r="X53" s="232"/>
    </row>
    <row r="54" spans="1:26" ht="12.75" customHeight="1">
      <c r="A54" s="200" t="s">
        <v>230</v>
      </c>
      <c r="D54" s="191"/>
      <c r="E54" s="191"/>
      <c r="F54" s="225"/>
      <c r="G54" s="188"/>
      <c r="H54" s="8"/>
      <c r="I54" s="8"/>
      <c r="J54" s="8"/>
      <c r="K54" s="8"/>
      <c r="L54" s="232"/>
      <c r="M54" s="393"/>
      <c r="N54" s="8"/>
      <c r="O54" s="8"/>
      <c r="P54" s="8"/>
      <c r="Q54" s="380"/>
      <c r="R54" s="232"/>
      <c r="S54" s="188"/>
      <c r="T54" s="8"/>
      <c r="U54" s="8"/>
      <c r="V54" s="8"/>
      <c r="W54" s="380"/>
      <c r="X54" s="232"/>
    </row>
    <row r="55" spans="1:26" ht="12.75" customHeight="1">
      <c r="A55" t="s">
        <v>87</v>
      </c>
      <c r="B55" t="s">
        <v>231</v>
      </c>
      <c r="C55" s="365">
        <v>36536</v>
      </c>
      <c r="D55" s="191"/>
      <c r="E55" s="191"/>
      <c r="F55" s="225"/>
      <c r="G55" s="188"/>
      <c r="H55" s="8"/>
      <c r="I55" s="8"/>
      <c r="J55" s="8"/>
      <c r="K55" s="8"/>
      <c r="L55" s="232"/>
      <c r="M55" s="196">
        <f>+A56*A58</f>
        <v>732781044</v>
      </c>
      <c r="N55" s="196">
        <f>+M56</f>
        <v>899458699.5</v>
      </c>
      <c r="O55" s="196">
        <f>+N56</f>
        <v>774825858</v>
      </c>
      <c r="P55" s="196">
        <f>+O56</f>
        <v>774825858</v>
      </c>
      <c r="Q55" s="380"/>
      <c r="R55" s="232"/>
      <c r="S55" s="196">
        <f>+P56</f>
        <v>774825858</v>
      </c>
      <c r="T55" s="196">
        <f>+S56</f>
        <v>774825858</v>
      </c>
      <c r="U55" s="196">
        <f>+T56</f>
        <v>774825858</v>
      </c>
      <c r="V55" s="196">
        <f>+U56</f>
        <v>774825858</v>
      </c>
      <c r="W55" s="380"/>
      <c r="X55" s="232"/>
    </row>
    <row r="56" spans="1:26" ht="12.75" customHeight="1">
      <c r="A56" s="199">
        <v>61</v>
      </c>
      <c r="B56" t="s">
        <v>97</v>
      </c>
      <c r="C56" s="365">
        <v>36545</v>
      </c>
      <c r="D56" s="191"/>
      <c r="E56" s="191"/>
      <c r="F56" s="225"/>
      <c r="G56" s="188"/>
      <c r="H56" s="8"/>
      <c r="I56" s="8"/>
      <c r="J56" s="8"/>
      <c r="K56" s="8"/>
      <c r="L56" s="232"/>
      <c r="M56" s="8">
        <f>+$M$21*A58</f>
        <v>899458699.5</v>
      </c>
      <c r="N56" s="190">
        <f>+N$21*$A58</f>
        <v>774825858</v>
      </c>
      <c r="O56" s="190">
        <f>+O$21*$A58</f>
        <v>774825858</v>
      </c>
      <c r="P56" s="190">
        <f>+P$21*$A58</f>
        <v>774825858</v>
      </c>
      <c r="Q56" s="380"/>
      <c r="R56" s="232"/>
      <c r="S56" s="190">
        <f>+S$21*$A58</f>
        <v>774825858</v>
      </c>
      <c r="T56" s="190">
        <f>+T$21*$A58</f>
        <v>774825858</v>
      </c>
      <c r="U56" s="190">
        <f>+U$21*$A58</f>
        <v>774825858</v>
      </c>
      <c r="V56" s="190">
        <f>+V$21*$A58</f>
        <v>774825858</v>
      </c>
      <c r="W56" s="380"/>
      <c r="X56" s="232"/>
      <c r="Z56" s="404" t="s">
        <v>311</v>
      </c>
    </row>
    <row r="57" spans="1:26" ht="12.75" customHeight="1" thickBot="1">
      <c r="A57" t="s">
        <v>42</v>
      </c>
      <c r="B57" t="s">
        <v>100</v>
      </c>
      <c r="C57" s="8"/>
      <c r="D57" s="191"/>
      <c r="E57" s="191"/>
      <c r="F57" s="225"/>
      <c r="G57" s="188"/>
      <c r="H57" s="8"/>
      <c r="I57" s="8"/>
      <c r="J57" s="8"/>
      <c r="K57" s="8"/>
      <c r="L57" s="230"/>
      <c r="M57" s="205">
        <f>+M55-M56</f>
        <v>-166677655.5</v>
      </c>
      <c r="N57" s="205">
        <f>+N55-N56</f>
        <v>124632841.5</v>
      </c>
      <c r="O57" s="205">
        <f>+O55-O56</f>
        <v>0</v>
      </c>
      <c r="P57" s="205">
        <f>+P55-P56</f>
        <v>0</v>
      </c>
      <c r="Q57" s="205">
        <f>SUM(M57:P57)</f>
        <v>-42044814</v>
      </c>
      <c r="R57" s="230"/>
      <c r="S57" s="205">
        <f>+S55-S56</f>
        <v>0</v>
      </c>
      <c r="T57" s="205">
        <f>+T55-T56</f>
        <v>0</v>
      </c>
      <c r="U57" s="205">
        <f>+U55-U56</f>
        <v>0</v>
      </c>
      <c r="V57" s="205">
        <f>+V55-V56</f>
        <v>0</v>
      </c>
      <c r="W57" s="205">
        <f>SUM(S57:V57)</f>
        <v>0</v>
      </c>
      <c r="X57" s="230"/>
      <c r="Y57" s="333">
        <f>+K57+Q57+W57</f>
        <v>-42044814</v>
      </c>
      <c r="Z57" s="194">
        <f>+Y57</f>
        <v>-42044814</v>
      </c>
    </row>
    <row r="58" spans="1:26" ht="12.75" customHeight="1" thickBot="1">
      <c r="A58" s="137">
        <v>12012804</v>
      </c>
      <c r="B58" s="217" t="s">
        <v>154</v>
      </c>
      <c r="C58" s="213"/>
      <c r="D58" s="211"/>
      <c r="E58" s="211"/>
      <c r="F58" s="227"/>
      <c r="G58" s="332"/>
      <c r="H58" s="213"/>
      <c r="I58" s="336"/>
      <c r="J58" s="379"/>
      <c r="K58" s="379"/>
      <c r="L58" s="234"/>
      <c r="M58" s="336">
        <f>+M57*0.6</f>
        <v>-100006593.3</v>
      </c>
      <c r="N58" s="336">
        <f>+N57*0.6</f>
        <v>74779704.899999991</v>
      </c>
      <c r="O58" s="336">
        <f>+O57*0.6</f>
        <v>0</v>
      </c>
      <c r="P58" s="336">
        <f>+P57*0.6</f>
        <v>0</v>
      </c>
      <c r="Q58" s="379">
        <f>SUM(M58:P58)</f>
        <v>-25226888.400000006</v>
      </c>
      <c r="R58" s="234"/>
      <c r="S58" s="336">
        <f>+S57*0.6</f>
        <v>0</v>
      </c>
      <c r="T58" s="336">
        <f>+T57*0.6</f>
        <v>0</v>
      </c>
      <c r="U58" s="336">
        <f>+U57*0.6</f>
        <v>0</v>
      </c>
      <c r="V58" s="336">
        <f>+V57*0.6</f>
        <v>0</v>
      </c>
      <c r="W58" s="379">
        <f>SUM(S58:V58)</f>
        <v>0</v>
      </c>
      <c r="X58" s="234"/>
      <c r="Y58" s="334">
        <f>+K58+Q58+W58</f>
        <v>-25226888.400000006</v>
      </c>
    </row>
    <row r="59" spans="1:26" ht="12.75" customHeight="1" thickBot="1">
      <c r="A59" s="57">
        <v>36545</v>
      </c>
      <c r="B59" s="217" t="s">
        <v>232</v>
      </c>
      <c r="C59" s="213"/>
      <c r="D59" s="211"/>
      <c r="E59" s="211"/>
      <c r="F59" s="228"/>
      <c r="G59" s="213"/>
      <c r="H59" s="213"/>
      <c r="I59" s="213"/>
      <c r="J59" s="213"/>
      <c r="K59" s="213"/>
      <c r="L59" s="228"/>
      <c r="M59" s="213">
        <f>+M52+M58</f>
        <v>0</v>
      </c>
      <c r="N59" s="213">
        <f>+N52+N58</f>
        <v>0</v>
      </c>
      <c r="O59" s="213">
        <f>+O52+O58</f>
        <v>0</v>
      </c>
      <c r="P59" s="213">
        <f>+P52+P58</f>
        <v>0</v>
      </c>
      <c r="Q59" s="213">
        <f>+Q52+Q58</f>
        <v>0</v>
      </c>
      <c r="R59" s="228"/>
      <c r="S59" s="213">
        <f>+S52+S58</f>
        <v>0</v>
      </c>
      <c r="T59" s="213">
        <f>+T52+T58</f>
        <v>0</v>
      </c>
      <c r="U59" s="213">
        <f>+U52+U58</f>
        <v>0</v>
      </c>
      <c r="V59" s="213">
        <f>+V52+V58</f>
        <v>0</v>
      </c>
      <c r="W59" s="213">
        <f>+W52+W58</f>
        <v>0</v>
      </c>
      <c r="X59" s="228"/>
      <c r="Y59" s="334">
        <f>+Y52+Y58</f>
        <v>0</v>
      </c>
    </row>
    <row r="60" spans="1:26" ht="12.75" customHeight="1">
      <c r="C60" s="8"/>
      <c r="D60" s="191"/>
      <c r="E60" s="191"/>
      <c r="F60" s="225"/>
      <c r="G60" s="188"/>
      <c r="H60" s="8"/>
      <c r="I60" s="8"/>
      <c r="J60" s="8"/>
      <c r="K60" s="380"/>
      <c r="L60" s="232"/>
      <c r="M60" s="188"/>
      <c r="N60" s="8"/>
      <c r="O60" s="8"/>
      <c r="P60" s="8"/>
      <c r="Q60" s="380"/>
      <c r="R60" s="232"/>
      <c r="S60" s="188"/>
      <c r="T60" s="8"/>
      <c r="U60" s="8"/>
      <c r="V60" s="8"/>
      <c r="W60" s="380"/>
      <c r="X60" s="232"/>
    </row>
    <row r="61" spans="1:26" ht="12.75" customHeight="1">
      <c r="A61" s="200" t="s">
        <v>98</v>
      </c>
      <c r="C61" s="8"/>
      <c r="D61" s="191"/>
      <c r="E61" s="191"/>
      <c r="F61" s="225"/>
      <c r="G61" s="188"/>
      <c r="H61" s="8"/>
      <c r="I61" s="8"/>
      <c r="J61" s="8"/>
      <c r="K61" s="380"/>
      <c r="L61" s="232"/>
      <c r="M61" s="188"/>
      <c r="N61" s="188"/>
      <c r="O61" s="188"/>
      <c r="P61" s="188"/>
      <c r="Q61" s="188"/>
      <c r="R61" s="232"/>
      <c r="S61" s="188"/>
      <c r="T61" s="188"/>
      <c r="U61" s="188"/>
      <c r="V61" s="188"/>
      <c r="W61" s="188"/>
      <c r="X61" s="232"/>
    </row>
    <row r="62" spans="1:26" ht="12.75" customHeight="1">
      <c r="A62" s="57">
        <v>35989</v>
      </c>
      <c r="B62" s="193">
        <v>22824327</v>
      </c>
      <c r="C62" s="137">
        <v>-1141216.3500000001</v>
      </c>
      <c r="D62" s="137">
        <v>-1141216.3500000001</v>
      </c>
      <c r="E62" s="137">
        <f>SUM(C62:D62)</f>
        <v>-2282432.7000000002</v>
      </c>
      <c r="F62" s="225"/>
      <c r="G62" s="137">
        <f>-22824327/60*3</f>
        <v>-1141216.3500000001</v>
      </c>
      <c r="H62" s="137">
        <v>0</v>
      </c>
      <c r="I62" s="137">
        <v>0</v>
      </c>
      <c r="J62" s="137">
        <v>0</v>
      </c>
      <c r="K62" s="380">
        <f>SUM(G62:J62)</f>
        <v>-1141216.3500000001</v>
      </c>
      <c r="L62" s="232"/>
      <c r="M62" s="188"/>
      <c r="N62" s="188"/>
      <c r="O62" s="188"/>
      <c r="P62" s="188"/>
      <c r="Q62" s="188"/>
      <c r="R62" s="232"/>
      <c r="S62" s="188"/>
      <c r="T62" s="188"/>
      <c r="U62" s="188"/>
      <c r="V62" s="188"/>
      <c r="W62" s="188"/>
      <c r="X62" s="232"/>
      <c r="Y62" s="190">
        <f>+E62+K62</f>
        <v>-3423649.0500000003</v>
      </c>
    </row>
    <row r="63" spans="1:26" ht="12.75" customHeight="1">
      <c r="A63" s="57">
        <v>36172</v>
      </c>
      <c r="B63" s="193"/>
      <c r="C63" s="8"/>
      <c r="D63" s="191"/>
      <c r="E63" s="191"/>
      <c r="F63" s="225"/>
      <c r="G63" s="137"/>
      <c r="H63" s="137"/>
      <c r="I63" s="137"/>
      <c r="J63" s="137"/>
      <c r="K63" s="380">
        <f>SUM(G63:J63)</f>
        <v>0</v>
      </c>
      <c r="L63" s="232"/>
      <c r="M63" s="188"/>
      <c r="N63" s="188"/>
      <c r="O63" s="188"/>
      <c r="P63" s="188"/>
      <c r="Q63" s="188"/>
      <c r="R63" s="232"/>
      <c r="S63" s="188"/>
      <c r="T63" s="188"/>
      <c r="U63" s="188"/>
      <c r="V63" s="188"/>
      <c r="W63" s="188"/>
      <c r="X63" s="232"/>
      <c r="Y63" s="190">
        <f>+E63+K63</f>
        <v>0</v>
      </c>
    </row>
    <row r="64" spans="1:26" ht="12.75" customHeight="1" thickBot="1">
      <c r="A64" s="57">
        <v>36230</v>
      </c>
      <c r="B64" s="193"/>
      <c r="C64" s="8"/>
      <c r="D64" s="190"/>
      <c r="E64" s="190"/>
      <c r="F64" s="225"/>
      <c r="G64" s="137"/>
      <c r="H64" s="137"/>
      <c r="I64" s="137"/>
      <c r="J64" s="137"/>
      <c r="K64" s="380">
        <f>SUM(G64:J64)</f>
        <v>0</v>
      </c>
      <c r="L64" s="232"/>
      <c r="M64" s="188"/>
      <c r="N64" s="188"/>
      <c r="O64" s="188"/>
      <c r="P64" s="188"/>
      <c r="Q64" s="188"/>
      <c r="R64" s="232"/>
      <c r="S64" s="188"/>
      <c r="T64" s="188"/>
      <c r="U64" s="188"/>
      <c r="V64" s="188"/>
      <c r="W64" s="188"/>
      <c r="X64" s="232"/>
      <c r="Y64" s="190">
        <f>+E64+K64</f>
        <v>0</v>
      </c>
      <c r="Z64" s="404" t="s">
        <v>90</v>
      </c>
    </row>
    <row r="65" spans="1:27" ht="12.75" customHeight="1" thickBot="1">
      <c r="A65" s="217" t="s">
        <v>99</v>
      </c>
      <c r="B65" s="218">
        <f>SUM(B62:B64)</f>
        <v>22824327</v>
      </c>
      <c r="C65" s="213">
        <f>SUM(C62:C64)</f>
        <v>-1141216.3500000001</v>
      </c>
      <c r="D65" s="213">
        <f t="shared" ref="D65:J65" si="3">SUM(D62:D64)</f>
        <v>-1141216.3500000001</v>
      </c>
      <c r="E65" s="213">
        <f t="shared" si="3"/>
        <v>-2282432.7000000002</v>
      </c>
      <c r="F65" s="228"/>
      <c r="G65" s="213">
        <f t="shared" si="3"/>
        <v>-1141216.3500000001</v>
      </c>
      <c r="H65" s="244">
        <f t="shared" si="3"/>
        <v>0</v>
      </c>
      <c r="I65" s="337">
        <f t="shared" si="3"/>
        <v>0</v>
      </c>
      <c r="J65" s="244">
        <f t="shared" si="3"/>
        <v>0</v>
      </c>
      <c r="K65" s="244">
        <f>SUM(G65:J65)</f>
        <v>-1141216.3500000001</v>
      </c>
      <c r="L65" s="234"/>
      <c r="M65" s="188"/>
      <c r="N65" s="188"/>
      <c r="O65" s="188"/>
      <c r="P65" s="188"/>
      <c r="Q65" s="188"/>
      <c r="R65" s="232"/>
      <c r="S65" s="188"/>
      <c r="T65" s="188"/>
      <c r="U65" s="188"/>
      <c r="V65" s="188"/>
      <c r="W65" s="188"/>
      <c r="X65" s="232"/>
      <c r="Y65" s="213">
        <f>+E65+K65</f>
        <v>-3423649.0500000003</v>
      </c>
      <c r="Z65" s="194">
        <f>+Y65</f>
        <v>-3423649.0500000003</v>
      </c>
    </row>
    <row r="66" spans="1:27" ht="12.75" customHeight="1">
      <c r="A66" s="198"/>
      <c r="F66" s="223"/>
      <c r="J66" s="11"/>
      <c r="K66" s="381"/>
      <c r="L66" s="223"/>
      <c r="M66" s="188"/>
      <c r="N66" s="188"/>
      <c r="O66" s="188"/>
      <c r="P66" s="188"/>
      <c r="Q66" s="188"/>
      <c r="R66" s="232"/>
      <c r="S66" s="188"/>
      <c r="T66" s="188"/>
      <c r="U66" s="188"/>
      <c r="V66" s="188"/>
      <c r="W66" s="188"/>
      <c r="X66" s="232"/>
      <c r="Y66" s="11"/>
    </row>
    <row r="67" spans="1:27" ht="12.75" customHeight="1">
      <c r="A67" s="201" t="s">
        <v>107</v>
      </c>
      <c r="F67" s="223"/>
      <c r="J67" s="11"/>
      <c r="K67" s="381"/>
      <c r="L67" s="223"/>
      <c r="M67" s="11"/>
      <c r="N67" s="11"/>
      <c r="O67" s="11"/>
      <c r="P67" s="11"/>
      <c r="Q67" s="11"/>
      <c r="R67" s="232"/>
      <c r="S67" s="11"/>
      <c r="T67" s="11"/>
      <c r="U67" s="11"/>
      <c r="V67" s="11"/>
      <c r="W67" s="11"/>
      <c r="X67" s="232"/>
      <c r="Y67" s="11"/>
      <c r="Z67" s="404" t="s">
        <v>286</v>
      </c>
    </row>
    <row r="68" spans="1:27" ht="12.75" customHeight="1">
      <c r="A68" s="198"/>
      <c r="B68" s="207">
        <v>1</v>
      </c>
      <c r="F68" s="223"/>
      <c r="G68" s="137">
        <f>-(56-54.0625)*6006402</f>
        <v>-11637403.875</v>
      </c>
      <c r="H68" s="137"/>
      <c r="I68" s="137"/>
      <c r="J68" s="137"/>
      <c r="K68" s="382">
        <f>SUM(G68:J68)</f>
        <v>-11637403.875</v>
      </c>
      <c r="L68" s="235"/>
      <c r="M68" s="11"/>
      <c r="N68" s="11"/>
      <c r="O68" s="11"/>
      <c r="P68" s="11"/>
      <c r="Q68" s="11"/>
      <c r="R68" s="232"/>
      <c r="S68" s="11"/>
      <c r="T68" s="11"/>
      <c r="U68" s="11"/>
      <c r="V68" s="11"/>
      <c r="W68" s="11"/>
      <c r="X68" s="232"/>
      <c r="Y68" s="8">
        <f>+E68+K68</f>
        <v>-11637403.875</v>
      </c>
      <c r="Z68" s="194">
        <f>+Y68</f>
        <v>-11637403.875</v>
      </c>
    </row>
    <row r="69" spans="1:27" ht="12.75" customHeight="1">
      <c r="B69" s="245" t="s">
        <v>154</v>
      </c>
      <c r="C69" s="246">
        <f t="shared" ref="C69:J69" si="4">+C68*0.6</f>
        <v>0</v>
      </c>
      <c r="D69" s="246">
        <f t="shared" si="4"/>
        <v>0</v>
      </c>
      <c r="E69" s="246">
        <f>SUM(C69:D69)</f>
        <v>0</v>
      </c>
      <c r="F69" s="254"/>
      <c r="G69" s="246">
        <f t="shared" si="4"/>
        <v>-6982442.3250000002</v>
      </c>
      <c r="H69" s="247">
        <f t="shared" si="4"/>
        <v>0</v>
      </c>
      <c r="I69" s="246">
        <f t="shared" si="4"/>
        <v>0</v>
      </c>
      <c r="J69" s="248">
        <f t="shared" si="4"/>
        <v>0</v>
      </c>
      <c r="K69" s="248">
        <f>SUM(G69:J69)</f>
        <v>-6982442.3250000002</v>
      </c>
      <c r="L69" s="318"/>
      <c r="M69" s="11"/>
      <c r="N69" s="11"/>
      <c r="O69" s="11"/>
      <c r="P69" s="11"/>
      <c r="Q69" s="11"/>
      <c r="R69" s="232"/>
      <c r="S69" s="11"/>
      <c r="T69" s="11"/>
      <c r="U69" s="11"/>
      <c r="V69" s="11"/>
      <c r="W69" s="11"/>
      <c r="X69" s="232"/>
      <c r="Y69" s="246">
        <f>+E69+K69</f>
        <v>-6982442.3250000002</v>
      </c>
    </row>
    <row r="70" spans="1:27" ht="12.75" customHeight="1">
      <c r="A70" s="200" t="s">
        <v>160</v>
      </c>
      <c r="B70" s="53"/>
      <c r="C70" s="242"/>
      <c r="D70" s="242"/>
      <c r="E70" s="242"/>
      <c r="F70" s="225"/>
      <c r="G70" s="242"/>
      <c r="H70" s="197"/>
      <c r="I70" s="242"/>
      <c r="J70" s="242"/>
      <c r="K70" s="380"/>
      <c r="L70" s="232"/>
      <c r="M70" s="11"/>
      <c r="N70" s="11"/>
      <c r="O70" s="11"/>
      <c r="P70" s="11"/>
      <c r="Q70" s="11"/>
      <c r="R70" s="232"/>
      <c r="S70" s="11"/>
      <c r="T70" s="11"/>
      <c r="U70" s="11"/>
      <c r="V70" s="11"/>
      <c r="W70" s="11"/>
      <c r="X70" s="232"/>
      <c r="Y70" s="242"/>
    </row>
    <row r="71" spans="1:27" ht="12.75" customHeight="1">
      <c r="A71" s="208" t="s">
        <v>161</v>
      </c>
      <c r="B71" s="258">
        <v>74.125</v>
      </c>
      <c r="C71"/>
      <c r="D71" s="257"/>
      <c r="E71" s="257"/>
      <c r="F71" s="225"/>
      <c r="G71" s="242"/>
      <c r="H71" s="197"/>
      <c r="I71" s="242"/>
      <c r="J71" s="242"/>
      <c r="K71" s="380"/>
      <c r="L71" s="232"/>
      <c r="M71" s="11"/>
      <c r="N71" s="11"/>
      <c r="O71" s="11"/>
      <c r="P71" s="11"/>
      <c r="Q71" s="11"/>
      <c r="R71" s="232"/>
      <c r="S71" s="11"/>
      <c r="T71" s="11"/>
      <c r="U71" s="11"/>
      <c r="V71" s="11"/>
      <c r="W71" s="11"/>
      <c r="X71" s="232"/>
      <c r="Y71" s="242"/>
      <c r="AA71" s="138"/>
    </row>
    <row r="72" spans="1:27" ht="12.75" customHeight="1">
      <c r="A72" t="s">
        <v>219</v>
      </c>
      <c r="B72" s="257">
        <v>300000</v>
      </c>
      <c r="C72" s="242"/>
      <c r="D72" s="242"/>
      <c r="E72" s="242"/>
      <c r="F72" s="317"/>
      <c r="G72" s="242"/>
      <c r="H72" s="242">
        <f>+B71*B72</f>
        <v>22237500</v>
      </c>
      <c r="I72" s="242">
        <f>H74</f>
        <v>24525000</v>
      </c>
      <c r="J72" s="242"/>
      <c r="K72" s="380"/>
      <c r="L72" s="232"/>
      <c r="M72" s="11"/>
      <c r="N72" s="11"/>
      <c r="O72" s="11"/>
      <c r="P72" s="11"/>
      <c r="Q72" s="11"/>
      <c r="R72" s="232"/>
      <c r="S72" s="11"/>
      <c r="T72" s="11"/>
      <c r="U72" s="11"/>
      <c r="V72" s="11"/>
      <c r="W72" s="11"/>
      <c r="X72" s="232"/>
      <c r="Y72" s="242"/>
      <c r="AA72" s="138"/>
    </row>
    <row r="73" spans="1:27" ht="12.75" customHeight="1">
      <c r="A73" s="208" t="s">
        <v>220</v>
      </c>
      <c r="B73" s="257">
        <v>600000</v>
      </c>
      <c r="C73" s="242"/>
      <c r="D73" s="242"/>
      <c r="E73" s="242"/>
      <c r="F73" s="317"/>
      <c r="G73" s="242"/>
      <c r="H73" s="242"/>
      <c r="I73" s="242"/>
      <c r="J73" s="242"/>
      <c r="K73" s="380"/>
      <c r="L73" s="232"/>
      <c r="M73" s="11"/>
      <c r="N73" s="11"/>
      <c r="O73" s="11"/>
      <c r="P73" s="11"/>
      <c r="Q73" s="11"/>
      <c r="R73" s="232"/>
      <c r="S73" s="11"/>
      <c r="T73" s="11"/>
      <c r="U73" s="11"/>
      <c r="V73" s="11"/>
      <c r="W73" s="11"/>
      <c r="X73" s="232"/>
      <c r="Y73" s="242"/>
      <c r="AA73" s="138"/>
    </row>
    <row r="74" spans="1:27" ht="12.75" customHeight="1">
      <c r="A74" s="201" t="s">
        <v>162</v>
      </c>
      <c r="F74" s="223"/>
      <c r="G74" s="137"/>
      <c r="H74" s="197">
        <f>+$B$72*$H$21</f>
        <v>24525000</v>
      </c>
      <c r="I74" s="197">
        <f>+$B$73*I$21</f>
        <v>24637500</v>
      </c>
      <c r="J74" s="197"/>
      <c r="K74" s="380"/>
      <c r="L74" s="232"/>
      <c r="M74" s="11"/>
      <c r="N74" s="11"/>
      <c r="O74" s="11"/>
      <c r="P74" s="11"/>
      <c r="Q74" s="11"/>
      <c r="R74" s="232"/>
      <c r="S74" s="11"/>
      <c r="T74" s="11"/>
      <c r="U74" s="11"/>
      <c r="V74" s="11"/>
      <c r="W74" s="11"/>
      <c r="X74" s="232"/>
      <c r="Y74" s="194"/>
      <c r="Z74" s="404" t="s">
        <v>287</v>
      </c>
    </row>
    <row r="75" spans="1:27" ht="12.75" customHeight="1" thickBot="1">
      <c r="A75" s="201"/>
      <c r="B75" s="249" t="s">
        <v>101</v>
      </c>
      <c r="C75" s="250"/>
      <c r="D75" s="250"/>
      <c r="E75" s="250"/>
      <c r="F75" s="251"/>
      <c r="G75" s="252"/>
      <c r="H75" s="253">
        <f>-H74+H72</f>
        <v>-2287500</v>
      </c>
      <c r="I75" s="253">
        <f>-I74+I72</f>
        <v>-112500</v>
      </c>
      <c r="J75" s="253">
        <f>-J74+J72</f>
        <v>0</v>
      </c>
      <c r="K75" s="253">
        <f>SUM(G75:J75)</f>
        <v>-2400000</v>
      </c>
      <c r="L75" s="226"/>
      <c r="M75" s="11"/>
      <c r="N75" s="11"/>
      <c r="O75" s="11"/>
      <c r="P75" s="11"/>
      <c r="Q75" s="11"/>
      <c r="R75" s="232"/>
      <c r="S75" s="11"/>
      <c r="T75" s="11"/>
      <c r="U75" s="11"/>
      <c r="V75" s="11"/>
      <c r="W75" s="11"/>
      <c r="X75" s="232"/>
      <c r="Y75" s="255">
        <f>+K75</f>
        <v>-2400000</v>
      </c>
      <c r="Z75" s="194">
        <f>+Y75</f>
        <v>-2400000</v>
      </c>
    </row>
    <row r="76" spans="1:27" ht="12.75" customHeight="1" thickBot="1">
      <c r="A76" s="243"/>
      <c r="B76" s="217"/>
      <c r="C76" s="218"/>
      <c r="D76" s="213"/>
      <c r="E76" s="213"/>
      <c r="F76" s="228"/>
      <c r="G76" s="228">
        <f>+G69+G75</f>
        <v>-6982442.3250000002</v>
      </c>
      <c r="H76" s="244">
        <f>+H69+H75</f>
        <v>-2287500</v>
      </c>
      <c r="I76" s="337">
        <f>+I69+I75</f>
        <v>-112500</v>
      </c>
      <c r="J76" s="244">
        <f>+J69+J75</f>
        <v>0</v>
      </c>
      <c r="K76" s="244">
        <f>+K69+K75</f>
        <v>-9382442.3249999993</v>
      </c>
      <c r="L76" s="378"/>
      <c r="M76" s="11"/>
      <c r="N76" s="11"/>
      <c r="O76" s="11"/>
      <c r="P76" s="11"/>
      <c r="Q76" s="11"/>
      <c r="R76" s="232"/>
      <c r="S76" s="11"/>
      <c r="T76" s="11"/>
      <c r="U76" s="11"/>
      <c r="V76" s="11"/>
      <c r="W76" s="11"/>
      <c r="X76" s="232"/>
      <c r="Y76" s="256">
        <f>SUM(Y69:Y75)</f>
        <v>-9382442.3249999993</v>
      </c>
    </row>
    <row r="77" spans="1:27">
      <c r="A77" s="200" t="s">
        <v>104</v>
      </c>
      <c r="F77" s="223"/>
      <c r="G77" s="197"/>
      <c r="H77" s="240"/>
      <c r="K77" s="383"/>
      <c r="L77" s="225"/>
      <c r="M77" s="11"/>
      <c r="N77" s="11"/>
      <c r="O77" s="11"/>
      <c r="P77" s="11"/>
      <c r="Q77" s="11"/>
      <c r="R77" s="232"/>
      <c r="S77" s="11"/>
      <c r="T77" s="11"/>
      <c r="U77" s="11"/>
      <c r="V77" s="11"/>
      <c r="W77" s="11"/>
      <c r="X77" s="232"/>
      <c r="Z77" s="53"/>
    </row>
    <row r="78" spans="1:27">
      <c r="A78" s="3"/>
      <c r="B78" s="3" t="s">
        <v>224</v>
      </c>
      <c r="C78" s="206"/>
      <c r="D78" s="206">
        <v>6.77</v>
      </c>
      <c r="E78" s="206"/>
      <c r="F78" s="223"/>
      <c r="J78" t="s">
        <v>274</v>
      </c>
      <c r="K78" s="383"/>
      <c r="L78" s="225"/>
      <c r="M78" s="388" t="s">
        <v>340</v>
      </c>
      <c r="N78" s="11"/>
      <c r="O78" s="11"/>
      <c r="P78" s="11"/>
      <c r="Q78" s="11"/>
      <c r="R78" s="225"/>
      <c r="S78" s="11"/>
      <c r="T78" s="11"/>
      <c r="U78" s="11"/>
      <c r="V78" s="11"/>
      <c r="W78" s="11"/>
      <c r="X78" s="225"/>
    </row>
    <row r="79" spans="1:27">
      <c r="A79" s="259" t="s">
        <v>221</v>
      </c>
      <c r="B79" t="s">
        <v>105</v>
      </c>
      <c r="C79" s="137">
        <v>6006402</v>
      </c>
      <c r="D79" s="206"/>
      <c r="E79" s="206"/>
      <c r="F79" s="229"/>
      <c r="G79" s="206">
        <v>15.242000000000001</v>
      </c>
      <c r="H79" s="206">
        <v>9.7340979999999995</v>
      </c>
      <c r="I79" s="206">
        <v>4.6909020000000003</v>
      </c>
      <c r="J79" s="241">
        <v>4.3516320000000004</v>
      </c>
      <c r="K79" s="383"/>
      <c r="L79" s="225"/>
      <c r="M79" s="409">
        <v>2.94</v>
      </c>
      <c r="N79" s="398"/>
      <c r="O79" s="398"/>
      <c r="P79" s="398"/>
      <c r="Q79" s="11"/>
      <c r="R79" s="225"/>
      <c r="S79" s="11"/>
      <c r="T79" s="11"/>
      <c r="U79" s="11"/>
      <c r="V79" s="11"/>
      <c r="W79" s="11"/>
      <c r="X79" s="225"/>
    </row>
    <row r="80" spans="1:27">
      <c r="A80" s="259" t="s">
        <v>222</v>
      </c>
      <c r="B80" t="s">
        <v>105</v>
      </c>
      <c r="C80" s="137">
        <v>12012804</v>
      </c>
      <c r="D80" s="206"/>
      <c r="E80" s="206"/>
      <c r="F80" s="229"/>
      <c r="G80" s="206"/>
      <c r="H80" s="206"/>
      <c r="I80" s="241"/>
      <c r="J80" s="206"/>
      <c r="K80" s="383"/>
      <c r="L80" s="225"/>
      <c r="M80" s="137">
        <v>12012804</v>
      </c>
      <c r="N80" s="401"/>
      <c r="O80" s="11"/>
      <c r="P80" s="11"/>
      <c r="Q80" s="11"/>
      <c r="R80" s="225"/>
      <c r="S80" s="11"/>
      <c r="T80" s="11"/>
      <c r="U80" s="11"/>
      <c r="V80" s="11"/>
      <c r="W80" s="11"/>
      <c r="X80" s="225"/>
    </row>
    <row r="81" spans="1:26">
      <c r="A81" s="3"/>
      <c r="C81" s="137"/>
      <c r="F81" s="223"/>
      <c r="K81" s="383"/>
      <c r="L81" s="225"/>
      <c r="M81" s="11"/>
      <c r="N81" s="11"/>
      <c r="O81" s="11"/>
      <c r="P81" s="11"/>
      <c r="Q81" s="11"/>
      <c r="R81" s="225"/>
      <c r="S81" s="11"/>
      <c r="T81" s="11"/>
      <c r="U81" s="11"/>
      <c r="V81" s="11"/>
      <c r="W81" s="11"/>
      <c r="X81" s="225"/>
    </row>
    <row r="82" spans="1:26">
      <c r="A82" t="s">
        <v>108</v>
      </c>
      <c r="C82" s="190">
        <f>+C79*$C78</f>
        <v>0</v>
      </c>
      <c r="D82" s="190">
        <f>+C79*$D78</f>
        <v>40663341.539999999</v>
      </c>
      <c r="E82" s="190"/>
      <c r="F82" s="224"/>
      <c r="G82" s="327">
        <f>+G79*$C79</f>
        <v>91549579.284000009</v>
      </c>
      <c r="H82" s="327">
        <f>+H79*$C79</f>
        <v>58466905.695395999</v>
      </c>
      <c r="I82" s="190">
        <f>+I79*$C80</f>
        <v>56350886.309208006</v>
      </c>
      <c r="J82" s="190">
        <f>+J79*$C80</f>
        <v>52275302.296128005</v>
      </c>
      <c r="K82" s="383"/>
      <c r="L82" s="225"/>
      <c r="M82" s="190">
        <f>+M79*$M80</f>
        <v>35317643.759999998</v>
      </c>
      <c r="N82" s="190"/>
      <c r="O82" s="190"/>
      <c r="P82" s="190"/>
      <c r="Q82" s="11"/>
      <c r="R82" s="225"/>
      <c r="S82" s="11"/>
      <c r="T82" s="11"/>
      <c r="U82" s="11"/>
      <c r="V82" s="11"/>
      <c r="W82" s="11"/>
      <c r="X82" s="225"/>
    </row>
    <row r="83" spans="1:26">
      <c r="A83" s="3" t="s">
        <v>155</v>
      </c>
      <c r="C83" s="190">
        <f t="shared" ref="C83:J83" si="5">+C82*0.6</f>
        <v>0</v>
      </c>
      <c r="D83" s="190">
        <f t="shared" si="5"/>
        <v>24398004.923999999</v>
      </c>
      <c r="E83" s="190"/>
      <c r="F83" s="225"/>
      <c r="G83" s="190">
        <f t="shared" si="5"/>
        <v>54929747.570400007</v>
      </c>
      <c r="H83" s="190">
        <f t="shared" si="5"/>
        <v>35080143.417237595</v>
      </c>
      <c r="I83" s="190">
        <f t="shared" si="5"/>
        <v>33810531.7855248</v>
      </c>
      <c r="J83" s="190">
        <f t="shared" si="5"/>
        <v>31365181.3776768</v>
      </c>
      <c r="K83" s="383"/>
      <c r="L83" s="225"/>
      <c r="M83" s="190">
        <f>+M82*0.6</f>
        <v>21190586.255999997</v>
      </c>
      <c r="N83" s="190"/>
      <c r="O83" s="190"/>
      <c r="P83" s="190"/>
      <c r="Q83" s="11"/>
      <c r="R83" s="225"/>
      <c r="S83" s="11"/>
      <c r="T83" s="11"/>
      <c r="U83" s="11"/>
      <c r="V83" s="11"/>
      <c r="W83" s="11"/>
      <c r="X83" s="225"/>
    </row>
    <row r="84" spans="1:26">
      <c r="F84" s="223"/>
      <c r="K84" s="384"/>
      <c r="L84" s="214"/>
      <c r="M84" s="11"/>
      <c r="N84" s="11"/>
      <c r="O84" s="11"/>
      <c r="P84" s="11"/>
      <c r="Q84" s="11"/>
      <c r="R84" s="214"/>
      <c r="S84" s="11"/>
      <c r="T84" s="11"/>
      <c r="U84" s="11"/>
      <c r="V84" s="11"/>
      <c r="W84" s="11"/>
      <c r="X84" s="214"/>
    </row>
    <row r="85" spans="1:26">
      <c r="F85" s="223"/>
      <c r="K85" s="384"/>
      <c r="L85" s="214"/>
      <c r="M85" s="11"/>
      <c r="N85" s="11"/>
      <c r="O85" s="11"/>
      <c r="P85" s="11"/>
      <c r="Q85" s="11"/>
      <c r="R85" s="214"/>
      <c r="S85" s="11"/>
      <c r="T85" s="11"/>
      <c r="U85" s="11"/>
      <c r="V85" s="11"/>
      <c r="W85" s="11"/>
      <c r="X85" s="214"/>
    </row>
    <row r="86" spans="1:26">
      <c r="A86" t="s">
        <v>109</v>
      </c>
      <c r="F86" s="223"/>
      <c r="K86" s="384"/>
      <c r="L86" s="214"/>
      <c r="M86" s="11"/>
      <c r="N86" s="11"/>
      <c r="O86" s="11"/>
      <c r="P86" s="11"/>
      <c r="Q86" s="11"/>
      <c r="R86" s="214"/>
      <c r="S86" s="11"/>
      <c r="T86" s="11"/>
      <c r="U86" s="11"/>
      <c r="V86" s="11"/>
      <c r="W86" s="11"/>
      <c r="X86" s="214"/>
    </row>
    <row r="87" spans="1:26">
      <c r="A87" t="s">
        <v>112</v>
      </c>
      <c r="D87" s="137">
        <v>0</v>
      </c>
      <c r="E87" s="137"/>
      <c r="F87" s="224"/>
      <c r="G87" s="197">
        <f>+D82</f>
        <v>40663341.539999999</v>
      </c>
      <c r="H87" s="197">
        <f>+G82</f>
        <v>91549579.284000009</v>
      </c>
      <c r="I87" s="197">
        <f>+H82</f>
        <v>58466905.695395999</v>
      </c>
      <c r="J87" s="197">
        <f>+I82</f>
        <v>56350886.309208006</v>
      </c>
      <c r="K87" s="384"/>
      <c r="L87" s="214"/>
      <c r="M87" s="394">
        <v>0</v>
      </c>
      <c r="N87" s="197"/>
      <c r="O87" s="197"/>
      <c r="P87" s="197"/>
      <c r="Q87" s="11"/>
      <c r="R87" s="214"/>
      <c r="S87" s="11"/>
      <c r="T87" s="11"/>
      <c r="U87" s="11"/>
      <c r="V87" s="11"/>
      <c r="W87" s="11"/>
      <c r="X87" s="214"/>
    </row>
    <row r="88" spans="1:26">
      <c r="F88" s="223"/>
      <c r="K88" s="384"/>
      <c r="L88" s="214"/>
      <c r="M88" s="11"/>
      <c r="N88" s="11"/>
      <c r="O88" s="11"/>
      <c r="P88" s="11"/>
      <c r="Q88" s="11"/>
      <c r="R88" s="214"/>
      <c r="S88" s="11"/>
      <c r="T88" s="11"/>
      <c r="U88" s="11"/>
      <c r="V88" s="11"/>
      <c r="W88" s="11"/>
      <c r="X88" s="214"/>
    </row>
    <row r="89" spans="1:26">
      <c r="A89" s="208" t="s">
        <v>110</v>
      </c>
      <c r="F89" s="223"/>
      <c r="K89" s="384"/>
      <c r="L89" s="214"/>
      <c r="M89" s="399">
        <v>36536</v>
      </c>
      <c r="N89" s="11"/>
      <c r="O89" s="11"/>
      <c r="P89" s="11"/>
      <c r="Q89" s="11"/>
      <c r="R89" s="214"/>
      <c r="S89" s="11"/>
      <c r="T89" s="11"/>
      <c r="U89" s="11"/>
      <c r="V89" s="11"/>
      <c r="W89" s="11"/>
      <c r="X89" s="214"/>
    </row>
    <row r="90" spans="1:26">
      <c r="A90" s="57">
        <v>35989</v>
      </c>
      <c r="B90" s="193">
        <v>22824327</v>
      </c>
      <c r="C90" s="137"/>
      <c r="D90" s="137">
        <v>22824327</v>
      </c>
      <c r="E90" s="137">
        <f>SUM(C90:D90)</f>
        <v>22824327</v>
      </c>
      <c r="F90" s="225"/>
      <c r="G90" s="137"/>
      <c r="H90" s="137"/>
      <c r="I90" s="335"/>
      <c r="J90" s="137"/>
      <c r="K90" s="382">
        <f>SUM(G90:J90)</f>
        <v>0</v>
      </c>
      <c r="L90" s="235"/>
      <c r="M90" s="400">
        <f>5.33*12012804</f>
        <v>64028245.32</v>
      </c>
      <c r="N90" s="57"/>
      <c r="O90" s="11"/>
      <c r="P90" s="11"/>
      <c r="Q90" s="11"/>
      <c r="R90" s="235"/>
      <c r="S90" s="11"/>
      <c r="T90" s="11"/>
      <c r="U90" s="11"/>
      <c r="V90" s="11"/>
      <c r="W90" s="11"/>
      <c r="X90" s="235"/>
    </row>
    <row r="91" spans="1:26">
      <c r="A91" s="57">
        <v>36172</v>
      </c>
      <c r="B91" s="193">
        <v>23184711.719999999</v>
      </c>
      <c r="C91" s="137"/>
      <c r="D91" s="137"/>
      <c r="E91" s="137">
        <f>SUM(C91:D91)</f>
        <v>0</v>
      </c>
      <c r="F91" s="225"/>
      <c r="G91" s="137">
        <v>23184711.719999999</v>
      </c>
      <c r="H91" s="137"/>
      <c r="I91" s="137"/>
      <c r="J91" s="137"/>
      <c r="K91" s="382">
        <f>SUM(G91:J91)</f>
        <v>23184711.719999999</v>
      </c>
      <c r="L91" s="235"/>
      <c r="M91" s="11"/>
      <c r="N91" s="11"/>
      <c r="O91" s="11"/>
      <c r="P91" s="11"/>
      <c r="Q91" s="11"/>
      <c r="R91" s="235"/>
      <c r="S91" s="11"/>
      <c r="T91" s="11"/>
      <c r="U91" s="11"/>
      <c r="V91" s="11"/>
      <c r="W91" s="11"/>
      <c r="X91" s="235"/>
      <c r="Y91" s="190"/>
    </row>
    <row r="92" spans="1:26">
      <c r="A92" s="57">
        <v>36230</v>
      </c>
      <c r="B92" s="193">
        <v>13334212.439999999</v>
      </c>
      <c r="C92" s="137"/>
      <c r="D92" s="137"/>
      <c r="E92" s="137">
        <f>SUM(C92:D92)</f>
        <v>0</v>
      </c>
      <c r="F92" s="225"/>
      <c r="G92" s="137">
        <v>13334212.439999999</v>
      </c>
      <c r="H92" s="137"/>
      <c r="I92" s="137"/>
      <c r="J92" s="137"/>
      <c r="K92" s="382">
        <f>SUM(G92:J92)</f>
        <v>13334212.439999999</v>
      </c>
      <c r="L92" s="235"/>
      <c r="M92" s="11"/>
      <c r="N92" s="11"/>
      <c r="O92" s="11"/>
      <c r="P92" s="11"/>
      <c r="Q92" s="11"/>
      <c r="R92" s="235"/>
      <c r="S92" s="11"/>
      <c r="T92" s="11"/>
      <c r="U92" s="11"/>
      <c r="V92" s="11"/>
      <c r="W92" s="11"/>
      <c r="X92" s="235"/>
      <c r="Y92" s="190"/>
    </row>
    <row r="93" spans="1:26">
      <c r="A93" t="s">
        <v>111</v>
      </c>
      <c r="B93" s="192">
        <f t="shared" ref="B93:J93" si="6">SUM(B90:B92)</f>
        <v>59343251.159999996</v>
      </c>
      <c r="C93" s="205">
        <f t="shared" si="6"/>
        <v>0</v>
      </c>
      <c r="D93" s="205">
        <f t="shared" si="6"/>
        <v>22824327</v>
      </c>
      <c r="E93" s="205">
        <f>SUM(C93:D93)</f>
        <v>22824327</v>
      </c>
      <c r="F93" s="230"/>
      <c r="G93" s="205">
        <f t="shared" si="6"/>
        <v>36518924.159999996</v>
      </c>
      <c r="H93" s="205">
        <f t="shared" si="6"/>
        <v>0</v>
      </c>
      <c r="I93" s="205">
        <f t="shared" si="6"/>
        <v>0</v>
      </c>
      <c r="J93" s="205">
        <f t="shared" si="6"/>
        <v>0</v>
      </c>
      <c r="K93" s="205">
        <f>SUM(G93:J93)</f>
        <v>36518924.159999996</v>
      </c>
      <c r="L93" s="317"/>
      <c r="M93" s="205">
        <f>SUM(M90:M92)</f>
        <v>64028245.32</v>
      </c>
      <c r="N93" s="205">
        <f>SUM(N90:N92)</f>
        <v>0</v>
      </c>
      <c r="O93" s="205">
        <f>SUM(O90:O92)</f>
        <v>0</v>
      </c>
      <c r="P93" s="205">
        <f>SUM(P90:P92)</f>
        <v>0</v>
      </c>
      <c r="Q93" s="205">
        <f>SUM(M93:P93)</f>
        <v>64028245.32</v>
      </c>
      <c r="R93" s="317"/>
      <c r="S93" s="11"/>
      <c r="T93" s="11"/>
      <c r="U93" s="11"/>
      <c r="V93" s="11"/>
      <c r="W93" s="11"/>
      <c r="X93" s="317"/>
      <c r="Y93" s="190"/>
    </row>
    <row r="94" spans="1:26">
      <c r="A94" s="3" t="s">
        <v>155</v>
      </c>
      <c r="C94" s="190">
        <f t="shared" ref="C94:K94" si="7">+C93*0.6</f>
        <v>0</v>
      </c>
      <c r="D94" s="190">
        <f t="shared" si="7"/>
        <v>13694596.199999999</v>
      </c>
      <c r="E94" s="190">
        <f>SUM(C94:D94)</f>
        <v>13694596.199999999</v>
      </c>
      <c r="F94" s="225"/>
      <c r="G94" s="190">
        <f t="shared" si="7"/>
        <v>21911354.495999996</v>
      </c>
      <c r="H94" s="190">
        <f t="shared" si="7"/>
        <v>0</v>
      </c>
      <c r="I94" s="190">
        <f t="shared" si="7"/>
        <v>0</v>
      </c>
      <c r="J94" s="190">
        <f t="shared" si="7"/>
        <v>0</v>
      </c>
      <c r="K94" s="190">
        <f t="shared" si="7"/>
        <v>21911354.495999996</v>
      </c>
      <c r="L94" s="214"/>
      <c r="M94" s="190">
        <f>+M93*0.6</f>
        <v>38416947.192000002</v>
      </c>
      <c r="N94" s="190">
        <f>+N93*0.6</f>
        <v>0</v>
      </c>
      <c r="O94" s="190">
        <f>+O93*0.6</f>
        <v>0</v>
      </c>
      <c r="P94" s="190">
        <f>+P93*0.6</f>
        <v>0</v>
      </c>
      <c r="Q94" s="190">
        <f>+Q93*0.6</f>
        <v>38416947.192000002</v>
      </c>
      <c r="R94" s="214"/>
      <c r="S94" s="11"/>
      <c r="T94" s="11"/>
      <c r="U94" s="11"/>
      <c r="V94" s="11"/>
      <c r="W94" s="11"/>
      <c r="X94" s="214"/>
      <c r="Y94" s="190"/>
      <c r="Z94" s="404" t="s">
        <v>284</v>
      </c>
    </row>
    <row r="95" spans="1:26">
      <c r="B95" s="3"/>
      <c r="C95" s="190"/>
      <c r="D95" s="190"/>
      <c r="E95" s="190"/>
      <c r="F95" s="225"/>
      <c r="G95" s="190"/>
      <c r="H95" s="190"/>
      <c r="I95" s="190"/>
      <c r="J95" s="190"/>
      <c r="K95" s="384"/>
      <c r="L95" s="214"/>
      <c r="M95" s="11"/>
      <c r="N95" s="11"/>
      <c r="O95" s="11"/>
      <c r="P95" s="11"/>
      <c r="Q95" s="11"/>
      <c r="R95" s="214"/>
      <c r="S95" s="11"/>
      <c r="T95" s="11"/>
      <c r="U95" s="11"/>
      <c r="V95" s="11"/>
      <c r="W95" s="11"/>
      <c r="X95" s="214"/>
      <c r="Z95" s="194">
        <f>+E98+K98</f>
        <v>-7067948.8638719842</v>
      </c>
    </row>
    <row r="96" spans="1:26">
      <c r="A96" t="s">
        <v>113</v>
      </c>
      <c r="B96" s="3"/>
      <c r="C96" s="190"/>
      <c r="D96" s="190">
        <f>+D87+D93</f>
        <v>22824327</v>
      </c>
      <c r="E96" s="190"/>
      <c r="F96" s="225"/>
      <c r="G96" s="190">
        <f>+G87+G93</f>
        <v>77182265.699999988</v>
      </c>
      <c r="H96" s="190">
        <f>+H87+H93</f>
        <v>91549579.284000009</v>
      </c>
      <c r="I96" s="190">
        <f>+I87+I93</f>
        <v>58466905.695395999</v>
      </c>
      <c r="J96" s="190">
        <f>+J87+J93</f>
        <v>56350886.309208006</v>
      </c>
      <c r="K96" s="384"/>
      <c r="L96" s="214"/>
      <c r="M96" s="197">
        <f>+M87+M93</f>
        <v>64028245.32</v>
      </c>
      <c r="N96" s="197">
        <f>+N87+N93</f>
        <v>0</v>
      </c>
      <c r="O96" s="197">
        <f>+O87+O93</f>
        <v>0</v>
      </c>
      <c r="P96" s="197">
        <f>+P87+P93</f>
        <v>0</v>
      </c>
      <c r="Q96" s="11"/>
      <c r="R96" s="214"/>
      <c r="S96" s="11"/>
      <c r="T96" s="11"/>
      <c r="U96" s="11"/>
      <c r="V96" s="11"/>
      <c r="W96" s="11"/>
      <c r="X96" s="214"/>
      <c r="Z96" s="404" t="s">
        <v>285</v>
      </c>
    </row>
    <row r="97" spans="1:26">
      <c r="B97" s="3"/>
      <c r="C97" s="190"/>
      <c r="D97" s="190"/>
      <c r="E97" s="190"/>
      <c r="F97" s="225"/>
      <c r="G97" s="190"/>
      <c r="H97" s="190"/>
      <c r="I97" s="190"/>
      <c r="J97" s="190"/>
      <c r="K97" s="384"/>
      <c r="L97" s="214"/>
      <c r="M97" s="11"/>
      <c r="N97" s="11"/>
      <c r="O97" s="11"/>
      <c r="P97" s="11"/>
      <c r="Q97" s="11"/>
      <c r="R97" s="214"/>
      <c r="S97" s="11"/>
      <c r="T97" s="11"/>
      <c r="U97" s="11"/>
      <c r="V97" s="11"/>
      <c r="W97" s="11"/>
      <c r="X97" s="214"/>
      <c r="Z97" s="405">
        <f>+Q98+W98</f>
        <v>-28710601.560000002</v>
      </c>
    </row>
    <row r="98" spans="1:26" ht="13.8" thickBot="1">
      <c r="A98" t="s">
        <v>114</v>
      </c>
      <c r="B98" s="3"/>
      <c r="C98" s="190"/>
      <c r="D98" s="190">
        <f>+D82-D96</f>
        <v>17839014.539999999</v>
      </c>
      <c r="E98" s="190">
        <f>SUM(C98:D98)</f>
        <v>17839014.539999999</v>
      </c>
      <c r="F98" s="225"/>
      <c r="G98" s="190">
        <f>+G82-G96</f>
        <v>14367313.584000021</v>
      </c>
      <c r="H98" s="190">
        <f>+H82-H96</f>
        <v>-33082673.588604011</v>
      </c>
      <c r="I98" s="190">
        <f>+I82-I96</f>
        <v>-2116019.386187993</v>
      </c>
      <c r="J98" s="190">
        <f>+J82-J96</f>
        <v>-4075584.0130800009</v>
      </c>
      <c r="K98" s="382">
        <f>SUM(G98:J98)</f>
        <v>-24906963.403871983</v>
      </c>
      <c r="L98" s="235"/>
      <c r="M98" s="190">
        <f>+M82-M96</f>
        <v>-28710601.560000002</v>
      </c>
      <c r="N98" s="190">
        <f>+N82-N96</f>
        <v>0</v>
      </c>
      <c r="O98" s="190">
        <f>+O82-O96</f>
        <v>0</v>
      </c>
      <c r="P98" s="190">
        <f>+P82-P96</f>
        <v>0</v>
      </c>
      <c r="Q98" s="190">
        <f>SUM(M98:P98)</f>
        <v>-28710601.560000002</v>
      </c>
      <c r="R98" s="214"/>
      <c r="S98" s="11"/>
      <c r="T98" s="11"/>
      <c r="U98" s="11"/>
      <c r="V98" s="11"/>
      <c r="W98" s="11"/>
      <c r="X98" s="214"/>
      <c r="Y98" s="190">
        <f>+E98+K98+Q98+W98</f>
        <v>-35778550.423871987</v>
      </c>
    </row>
    <row r="99" spans="1:26" ht="13.8" thickBot="1">
      <c r="A99" s="209" t="s">
        <v>155</v>
      </c>
      <c r="B99" s="210"/>
      <c r="C99" s="211">
        <f t="shared" ref="C99:J99" si="8">+C98*0.6</f>
        <v>0</v>
      </c>
      <c r="D99" s="211">
        <f t="shared" si="8"/>
        <v>10703408.723999999</v>
      </c>
      <c r="E99" s="211">
        <f>SUM(C99:D99)</f>
        <v>10703408.723999999</v>
      </c>
      <c r="F99" s="227"/>
      <c r="G99" s="211">
        <f t="shared" si="8"/>
        <v>8620388.1504000127</v>
      </c>
      <c r="H99" s="319">
        <f t="shared" si="8"/>
        <v>-19849604.153162405</v>
      </c>
      <c r="I99" s="336">
        <f t="shared" si="8"/>
        <v>-1269611.6317127957</v>
      </c>
      <c r="J99" s="319">
        <f t="shared" si="8"/>
        <v>-2445350.4078480005</v>
      </c>
      <c r="K99" s="319">
        <f>SUM(G99:J99)</f>
        <v>-14944178.042323189</v>
      </c>
      <c r="L99" s="234"/>
      <c r="M99" s="319">
        <f>+M98*0.6</f>
        <v>-17226360.936000001</v>
      </c>
      <c r="N99" s="319">
        <f>+N98*0.6</f>
        <v>0</v>
      </c>
      <c r="O99" s="319">
        <f>+O98*0.6</f>
        <v>0</v>
      </c>
      <c r="P99" s="319">
        <f>+P98*0.6</f>
        <v>0</v>
      </c>
      <c r="Q99" s="319">
        <f>SUM(M99:P99)</f>
        <v>-17226360.936000001</v>
      </c>
      <c r="R99" s="214"/>
      <c r="S99" s="11"/>
      <c r="T99" s="11"/>
      <c r="U99" s="11"/>
      <c r="V99" s="11"/>
      <c r="W99" s="11"/>
      <c r="X99" s="214"/>
      <c r="Y99" s="211">
        <f>+E99+K99+Q99+W99</f>
        <v>-21467130.254323192</v>
      </c>
    </row>
    <row r="100" spans="1:26" ht="13.8" thickBot="1">
      <c r="F100" s="223"/>
      <c r="L100" s="214"/>
      <c r="M100" s="11"/>
      <c r="N100" s="11"/>
      <c r="O100" s="11"/>
      <c r="R100" s="214"/>
      <c r="S100" s="11"/>
      <c r="T100" s="11"/>
      <c r="U100" s="11"/>
      <c r="X100" s="214"/>
    </row>
    <row r="101" spans="1:26" ht="13.8" thickBot="1">
      <c r="A101" s="212" t="s">
        <v>116</v>
      </c>
      <c r="B101" s="220" t="s">
        <v>155</v>
      </c>
      <c r="C101" s="219">
        <f>+C33+C39+C46+C52+C58+C65+C76+C99</f>
        <v>-1141216.3500000001</v>
      </c>
      <c r="D101" s="219">
        <f>+D33+D39+D46+D52+D58+D65+D76+D99</f>
        <v>20373715.973999999</v>
      </c>
      <c r="E101" s="219">
        <f>+E33+E39+E46+E52+E58+E65+E76+E99</f>
        <v>19232499.623999998</v>
      </c>
      <c r="F101" s="227"/>
      <c r="G101" s="219">
        <f>+G33+G39+G46+G52+G58+G65+G76+G99</f>
        <v>26399338.100400012</v>
      </c>
      <c r="H101" s="219">
        <f>+H33+H39+H46+H52+H58+H65+H76+H99</f>
        <v>40930116.846837595</v>
      </c>
      <c r="I101" s="219">
        <f>+I33+I39+I46+I52+I58+I65+I76+I99</f>
        <v>12132292.868287202</v>
      </c>
      <c r="J101" s="219">
        <f>+J33+J39+J46+J52+J58+J65+J76+J99</f>
        <v>-2445350.4078480005</v>
      </c>
      <c r="K101" s="219">
        <f>SUM(G101:J101)</f>
        <v>77016397.407676816</v>
      </c>
      <c r="L101" s="234"/>
      <c r="M101" s="219">
        <f>+M33+M39+M46+M52+M58+M65+M76+M99</f>
        <v>79176391.163999975</v>
      </c>
      <c r="N101" s="219">
        <f>+N33+N39+N46+N52+N58+N65+N76+N99</f>
        <v>0</v>
      </c>
      <c r="O101" s="219">
        <f>+O33+O39+O46+O52+O58+O65+O76+O99</f>
        <v>0</v>
      </c>
      <c r="P101" s="219">
        <f>+P33+P39+P46+P52+P58+P65+P76+P99</f>
        <v>0</v>
      </c>
      <c r="Q101" s="219">
        <f>SUM(M101:P101)</f>
        <v>79176391.163999975</v>
      </c>
      <c r="R101" s="234"/>
      <c r="S101" s="219">
        <f>+S33+S39+S46+S52+S58+S65+S76+S99</f>
        <v>0</v>
      </c>
      <c r="T101" s="219">
        <f>+T33+T39+T46+T52+T58+T65+T76+T99</f>
        <v>0</v>
      </c>
      <c r="U101" s="219">
        <f>+U33+U39+U46+U52+U58+U65+U76+U99</f>
        <v>0</v>
      </c>
      <c r="V101" s="219">
        <f>+V33+V39+V46+V52+V58+V65+V76+V99</f>
        <v>0</v>
      </c>
      <c r="W101" s="219">
        <f>SUM(S101:V101)</f>
        <v>0</v>
      </c>
      <c r="X101" s="234"/>
      <c r="Y101" s="219">
        <f>+Y33+Y39+Y46+Y52+Y58+Y65+Y76+Y99</f>
        <v>175425288.1956768</v>
      </c>
      <c r="Z101" s="219"/>
    </row>
    <row r="102" spans="1:26">
      <c r="F102" s="223"/>
      <c r="K102" s="384"/>
      <c r="L102" s="214"/>
      <c r="M102" s="11"/>
      <c r="N102" s="11"/>
      <c r="O102" s="11"/>
      <c r="Q102" s="384"/>
      <c r="R102" s="214"/>
      <c r="S102" s="11"/>
      <c r="T102" s="11"/>
      <c r="U102" s="11"/>
      <c r="W102" s="384"/>
      <c r="X102" s="214"/>
    </row>
    <row r="103" spans="1:26">
      <c r="F103" s="223"/>
      <c r="K103" s="384"/>
      <c r="L103" s="214"/>
      <c r="M103" s="11"/>
      <c r="N103" s="11"/>
      <c r="O103" s="11"/>
      <c r="Q103" s="384"/>
      <c r="R103" s="214"/>
      <c r="S103" s="11"/>
      <c r="T103" s="11"/>
      <c r="U103" s="11"/>
      <c r="W103" s="384"/>
      <c r="X103" s="214"/>
    </row>
    <row r="104" spans="1:26">
      <c r="B104" t="s">
        <v>94</v>
      </c>
      <c r="C104" s="197">
        <f>+C33</f>
        <v>0</v>
      </c>
      <c r="D104" s="197">
        <f t="shared" ref="D104:J104" si="9">+D33</f>
        <v>10811523.6</v>
      </c>
      <c r="E104" s="197">
        <f>SUM(C104:D104)</f>
        <v>10811523.6</v>
      </c>
      <c r="F104" s="235"/>
      <c r="G104" s="197">
        <f t="shared" si="9"/>
        <v>25902608.625</v>
      </c>
      <c r="H104" s="197">
        <f t="shared" si="9"/>
        <v>63067221</v>
      </c>
      <c r="I104" s="197">
        <f t="shared" si="9"/>
        <v>1351440.45</v>
      </c>
      <c r="J104" s="197">
        <f t="shared" si="9"/>
        <v>23875447.949999999</v>
      </c>
      <c r="K104" s="385">
        <f>SUM(G104:J104)</f>
        <v>114196718.02500001</v>
      </c>
      <c r="L104" s="316"/>
      <c r="M104" s="197">
        <f>+M33</f>
        <v>23424967.800000001</v>
      </c>
      <c r="N104" s="197">
        <f>+N33</f>
        <v>0</v>
      </c>
      <c r="O104" s="197">
        <f>+O33</f>
        <v>0</v>
      </c>
      <c r="P104" s="197">
        <f>+P33</f>
        <v>0</v>
      </c>
      <c r="Q104" s="385">
        <f>SUM(M104:P104)</f>
        <v>23424967.800000001</v>
      </c>
      <c r="R104" s="316"/>
      <c r="S104" s="197">
        <f>+S33</f>
        <v>0</v>
      </c>
      <c r="T104" s="197">
        <f>+T33</f>
        <v>0</v>
      </c>
      <c r="U104" s="197">
        <f>+U33</f>
        <v>0</v>
      </c>
      <c r="V104" s="197">
        <f>+V33</f>
        <v>0</v>
      </c>
      <c r="W104" s="385">
        <f>SUM(S104:V104)</f>
        <v>0</v>
      </c>
      <c r="X104" s="316"/>
      <c r="Y104" s="194">
        <f>+E104+K104+Q104+W104</f>
        <v>148433209.42500001</v>
      </c>
    </row>
    <row r="105" spans="1:26">
      <c r="B105" t="s">
        <v>191</v>
      </c>
      <c r="C105" s="197">
        <f>+C99</f>
        <v>0</v>
      </c>
      <c r="D105" s="197">
        <f t="shared" ref="D105:J105" si="10">+D99</f>
        <v>10703408.723999999</v>
      </c>
      <c r="E105" s="197">
        <f>SUM(C105:D105)</f>
        <v>10703408.723999999</v>
      </c>
      <c r="F105" s="235"/>
      <c r="G105" s="197">
        <f t="shared" si="10"/>
        <v>8620388.1504000127</v>
      </c>
      <c r="H105" s="197">
        <f t="shared" si="10"/>
        <v>-19849604.153162405</v>
      </c>
      <c r="I105" s="197">
        <f t="shared" si="10"/>
        <v>-1269611.6317127957</v>
      </c>
      <c r="J105" s="197">
        <f t="shared" si="10"/>
        <v>-2445350.4078480005</v>
      </c>
      <c r="K105" s="385">
        <f>SUM(G105:J105)</f>
        <v>-14944178.042323189</v>
      </c>
      <c r="L105" s="316"/>
      <c r="M105" s="197">
        <f>+M99</f>
        <v>-17226360.936000001</v>
      </c>
      <c r="N105" s="197">
        <f>+N99</f>
        <v>0</v>
      </c>
      <c r="O105" s="197">
        <f>+O99</f>
        <v>0</v>
      </c>
      <c r="P105" s="197">
        <f>+P99</f>
        <v>0</v>
      </c>
      <c r="Q105" s="385">
        <f>SUM(M105:P105)</f>
        <v>-17226360.936000001</v>
      </c>
      <c r="R105" s="316"/>
      <c r="S105" s="197">
        <f>+S99</f>
        <v>0</v>
      </c>
      <c r="T105" s="197">
        <f>+T99</f>
        <v>0</v>
      </c>
      <c r="U105" s="197">
        <f>+U99</f>
        <v>0</v>
      </c>
      <c r="V105" s="197">
        <f>+V99</f>
        <v>0</v>
      </c>
      <c r="W105" s="385">
        <f>SUM(S105:V105)</f>
        <v>0</v>
      </c>
      <c r="X105" s="316"/>
      <c r="Y105" s="194">
        <f>+E105+K105+Q105+W105</f>
        <v>-21467130.254323192</v>
      </c>
    </row>
    <row r="106" spans="1:26">
      <c r="B106" s="313">
        <v>0.6</v>
      </c>
      <c r="C106" s="253">
        <f t="shared" ref="C106:K106" si="11">SUM(C104:C105)</f>
        <v>0</v>
      </c>
      <c r="D106" s="253">
        <f t="shared" si="11"/>
        <v>21514932.324000001</v>
      </c>
      <c r="E106" s="253">
        <f t="shared" si="11"/>
        <v>21514932.324000001</v>
      </c>
      <c r="F106" s="315"/>
      <c r="G106" s="253">
        <f t="shared" si="11"/>
        <v>34522996.775400013</v>
      </c>
      <c r="H106" s="253">
        <f t="shared" si="11"/>
        <v>43217616.846837595</v>
      </c>
      <c r="I106" s="253">
        <f t="shared" si="11"/>
        <v>81828.818287204253</v>
      </c>
      <c r="J106" s="253">
        <f t="shared" si="11"/>
        <v>21430097.542151999</v>
      </c>
      <c r="K106" s="253">
        <f t="shared" si="11"/>
        <v>99252539.982676819</v>
      </c>
      <c r="L106" s="315"/>
      <c r="M106" s="253">
        <f>SUM(M104:M105)</f>
        <v>6198606.8640000001</v>
      </c>
      <c r="N106" s="253">
        <f>SUM(N104:N105)</f>
        <v>0</v>
      </c>
      <c r="O106" s="253">
        <f>SUM(O104:O105)</f>
        <v>0</v>
      </c>
      <c r="P106" s="253">
        <f>SUM(P104:P105)</f>
        <v>0</v>
      </c>
      <c r="Q106" s="253">
        <f>SUM(Q104:Q105)</f>
        <v>6198606.8640000001</v>
      </c>
      <c r="R106" s="315"/>
      <c r="S106" s="253">
        <f>SUM(S104:S105)</f>
        <v>0</v>
      </c>
      <c r="T106" s="253">
        <f>SUM(T104:T105)</f>
        <v>0</v>
      </c>
      <c r="U106" s="253">
        <f>SUM(U104:U105)</f>
        <v>0</v>
      </c>
      <c r="V106" s="253">
        <f>SUM(V104:V105)</f>
        <v>0</v>
      </c>
      <c r="W106" s="253">
        <f>SUM(W104:W105)</f>
        <v>0</v>
      </c>
      <c r="X106" s="315"/>
      <c r="Y106" s="253">
        <f>SUM(Y104:Y105)</f>
        <v>126966079.17067683</v>
      </c>
    </row>
    <row r="107" spans="1:26">
      <c r="A107" s="314"/>
      <c r="F107" s="223"/>
      <c r="K107" s="384"/>
      <c r="L107" s="214"/>
      <c r="M107" s="11"/>
      <c r="N107" s="11"/>
      <c r="O107" s="11"/>
      <c r="Q107" s="384"/>
      <c r="R107" s="214"/>
      <c r="S107" s="11"/>
      <c r="T107" s="11"/>
      <c r="U107" s="11"/>
      <c r="W107" s="384"/>
      <c r="X107" s="214"/>
    </row>
    <row r="108" spans="1:26">
      <c r="B108" t="s">
        <v>94</v>
      </c>
      <c r="C108" s="197">
        <f>+C32</f>
        <v>0</v>
      </c>
      <c r="D108" s="197">
        <f>+D32</f>
        <v>18019206</v>
      </c>
      <c r="E108" s="197">
        <f>SUM(C108:D108)</f>
        <v>18019206</v>
      </c>
      <c r="F108" s="235"/>
      <c r="G108" s="197">
        <f>+G32</f>
        <v>43171014.375</v>
      </c>
      <c r="H108" s="197">
        <f>+H32</f>
        <v>105112035</v>
      </c>
      <c r="I108" s="197">
        <f>+I32</f>
        <v>2252400.75</v>
      </c>
      <c r="J108" s="197">
        <f>+J32</f>
        <v>39792413.25</v>
      </c>
      <c r="K108" s="385">
        <f>SUM(G108:J108)</f>
        <v>190327863.375</v>
      </c>
      <c r="L108" s="316"/>
      <c r="M108" s="197">
        <f>+M32</f>
        <v>39041613</v>
      </c>
      <c r="N108" s="197">
        <f>+N32</f>
        <v>0</v>
      </c>
      <c r="O108" s="197">
        <f>+O32</f>
        <v>0</v>
      </c>
      <c r="P108" s="197">
        <f>+P32</f>
        <v>0</v>
      </c>
      <c r="Q108" s="385">
        <f>SUM(M108:P108)</f>
        <v>39041613</v>
      </c>
      <c r="R108" s="316"/>
      <c r="S108" s="197">
        <f>+S32</f>
        <v>0</v>
      </c>
      <c r="T108" s="197">
        <f>+T32</f>
        <v>0</v>
      </c>
      <c r="U108" s="197">
        <f>+U32</f>
        <v>0</v>
      </c>
      <c r="V108" s="197">
        <f>+V32</f>
        <v>0</v>
      </c>
      <c r="W108" s="385">
        <f>SUM(S108:V108)</f>
        <v>0</v>
      </c>
      <c r="X108" s="316"/>
      <c r="Y108" s="194">
        <f>+E108+K108+Q108+W108</f>
        <v>247388682.375</v>
      </c>
    </row>
    <row r="109" spans="1:26">
      <c r="B109" t="s">
        <v>191</v>
      </c>
      <c r="C109" s="197">
        <f>+C98</f>
        <v>0</v>
      </c>
      <c r="D109" s="197">
        <f>+D98</f>
        <v>17839014.539999999</v>
      </c>
      <c r="E109" s="197">
        <f>SUM(C109:D109)</f>
        <v>17839014.539999999</v>
      </c>
      <c r="F109" s="235"/>
      <c r="G109" s="197">
        <f>+G98</f>
        <v>14367313.584000021</v>
      </c>
      <c r="H109" s="197">
        <f>+H98</f>
        <v>-33082673.588604011</v>
      </c>
      <c r="I109" s="197">
        <f>+I98</f>
        <v>-2116019.386187993</v>
      </c>
      <c r="J109" s="197">
        <f>+J98</f>
        <v>-4075584.0130800009</v>
      </c>
      <c r="K109" s="385">
        <f>SUM(G109:J109)</f>
        <v>-24906963.403871983</v>
      </c>
      <c r="L109" s="316"/>
      <c r="M109" s="197">
        <f>+M98</f>
        <v>-28710601.560000002</v>
      </c>
      <c r="N109" s="197">
        <f>+N98</f>
        <v>0</v>
      </c>
      <c r="O109" s="197">
        <f>+O98</f>
        <v>0</v>
      </c>
      <c r="P109" s="197">
        <f>+P98</f>
        <v>0</v>
      </c>
      <c r="Q109" s="385">
        <f>SUM(M109:P109)</f>
        <v>-28710601.560000002</v>
      </c>
      <c r="R109" s="316"/>
      <c r="S109" s="197">
        <f>+S98</f>
        <v>0</v>
      </c>
      <c r="T109" s="197">
        <f>+T98</f>
        <v>0</v>
      </c>
      <c r="U109" s="197">
        <f>+U98</f>
        <v>0</v>
      </c>
      <c r="V109" s="197">
        <f>+V98</f>
        <v>0</v>
      </c>
      <c r="W109" s="385">
        <f>SUM(S109:V109)</f>
        <v>0</v>
      </c>
      <c r="X109" s="316"/>
      <c r="Y109" s="194">
        <f>+E109+K109+Q109+W109</f>
        <v>-35778550.423871987</v>
      </c>
    </row>
    <row r="110" spans="1:26">
      <c r="B110" s="313">
        <v>1</v>
      </c>
      <c r="C110" s="253">
        <f t="shared" ref="C110:K110" si="12">SUM(C108:C109)</f>
        <v>0</v>
      </c>
      <c r="D110" s="253">
        <f t="shared" si="12"/>
        <v>35858220.539999999</v>
      </c>
      <c r="E110" s="253">
        <f t="shared" si="12"/>
        <v>35858220.539999999</v>
      </c>
      <c r="F110" s="315"/>
      <c r="G110" s="253">
        <f t="shared" si="12"/>
        <v>57538327.959000021</v>
      </c>
      <c r="H110" s="253">
        <f t="shared" si="12"/>
        <v>72029361.411395997</v>
      </c>
      <c r="I110" s="253">
        <f t="shared" si="12"/>
        <v>136381.36381200701</v>
      </c>
      <c r="J110" s="253">
        <f t="shared" si="12"/>
        <v>35716829.236919999</v>
      </c>
      <c r="K110" s="253">
        <f t="shared" si="12"/>
        <v>165420899.97112802</v>
      </c>
      <c r="L110" s="315"/>
      <c r="M110" s="253">
        <f>SUM(M108:M109)</f>
        <v>10331011.439999998</v>
      </c>
      <c r="N110" s="253">
        <f>SUM(N108:N109)</f>
        <v>0</v>
      </c>
      <c r="O110" s="253">
        <f>SUM(O108:O109)</f>
        <v>0</v>
      </c>
      <c r="P110" s="253">
        <f>SUM(P108:P109)</f>
        <v>0</v>
      </c>
      <c r="Q110" s="253">
        <f>SUM(Q108:Q109)</f>
        <v>10331011.439999998</v>
      </c>
      <c r="R110" s="315"/>
      <c r="S110" s="253">
        <f>SUM(S108:S109)</f>
        <v>0</v>
      </c>
      <c r="T110" s="253">
        <f>SUM(T108:T109)</f>
        <v>0</v>
      </c>
      <c r="U110" s="253">
        <f>SUM(U108:U109)</f>
        <v>0</v>
      </c>
      <c r="V110" s="253">
        <f>SUM(V108:V109)</f>
        <v>0</v>
      </c>
      <c r="W110" s="253">
        <f>SUM(W108:W109)</f>
        <v>0</v>
      </c>
      <c r="X110" s="315"/>
      <c r="Y110" s="253">
        <f>SUM(Y108:Y109)</f>
        <v>211610131.95112801</v>
      </c>
    </row>
    <row r="111" spans="1:26">
      <c r="E111" s="342"/>
      <c r="M111" s="11"/>
      <c r="N111" s="11"/>
      <c r="O111" s="11"/>
      <c r="S111" s="11"/>
      <c r="T111" s="11"/>
      <c r="U111" s="11"/>
    </row>
    <row r="112" spans="1:26">
      <c r="E112" s="342"/>
      <c r="M112" s="11"/>
      <c r="N112" s="11"/>
      <c r="O112" s="11"/>
      <c r="S112" s="11"/>
      <c r="T112" s="11"/>
      <c r="U112" s="11"/>
    </row>
    <row r="113" spans="5:21">
      <c r="E113" s="342"/>
      <c r="M113" s="11"/>
      <c r="N113" s="11"/>
      <c r="O113" s="11"/>
      <c r="S113" s="11"/>
      <c r="T113" s="11"/>
      <c r="U113" s="11"/>
    </row>
    <row r="114" spans="5:21">
      <c r="E114" s="342"/>
      <c r="M114" s="11"/>
      <c r="N114" s="11"/>
      <c r="O114" s="11"/>
      <c r="S114" s="11"/>
      <c r="T114" s="11"/>
      <c r="U114" s="11"/>
    </row>
    <row r="115" spans="5:21">
      <c r="E115" s="342"/>
      <c r="M115" s="11"/>
      <c r="N115" s="11"/>
      <c r="O115" s="11"/>
      <c r="S115" s="11"/>
      <c r="T115" s="11"/>
      <c r="U115" s="11"/>
    </row>
    <row r="116" spans="5:21">
      <c r="E116" s="342"/>
      <c r="M116" s="11"/>
      <c r="N116" s="11"/>
      <c r="O116" s="11"/>
      <c r="S116" s="11"/>
      <c r="T116" s="11"/>
      <c r="U116" s="11"/>
    </row>
    <row r="117" spans="5:21">
      <c r="E117" s="342"/>
      <c r="M117" s="11"/>
      <c r="N117" s="11"/>
      <c r="O117" s="11"/>
      <c r="S117" s="11"/>
      <c r="T117" s="11"/>
      <c r="U117" s="11"/>
    </row>
    <row r="118" spans="5:21">
      <c r="E118" s="342"/>
      <c r="M118" s="11"/>
      <c r="N118" s="11"/>
      <c r="O118" s="11"/>
      <c r="S118" s="11"/>
      <c r="T118" s="11"/>
      <c r="U118" s="11"/>
    </row>
    <row r="119" spans="5:21">
      <c r="E119" s="342"/>
      <c r="M119" s="11"/>
      <c r="N119" s="11"/>
      <c r="O119" s="11"/>
      <c r="S119" s="11"/>
      <c r="T119" s="11"/>
      <c r="U119" s="11"/>
    </row>
    <row r="120" spans="5:21">
      <c r="E120" s="342"/>
      <c r="M120" s="11"/>
      <c r="N120" s="11"/>
      <c r="O120" s="11"/>
      <c r="S120" s="11"/>
      <c r="T120" s="11"/>
      <c r="U120" s="11"/>
    </row>
    <row r="121" spans="5:21">
      <c r="E121" s="342"/>
      <c r="M121" s="11"/>
      <c r="N121" s="11"/>
      <c r="O121" s="11"/>
      <c r="S121" s="11"/>
      <c r="T121" s="11"/>
      <c r="U121" s="11"/>
    </row>
    <row r="122" spans="5:21">
      <c r="E122" s="342"/>
      <c r="M122" s="11"/>
      <c r="N122" s="11"/>
      <c r="O122" s="11"/>
      <c r="S122" s="11"/>
      <c r="T122" s="11"/>
      <c r="U122" s="11"/>
    </row>
    <row r="123" spans="5:21">
      <c r="M123" s="11"/>
      <c r="N123" s="11"/>
      <c r="O123" s="11"/>
    </row>
    <row r="124" spans="5:21">
      <c r="M124" s="11"/>
      <c r="N124" s="11"/>
      <c r="O124" s="11"/>
    </row>
    <row r="125" spans="5:21">
      <c r="M125" s="11"/>
      <c r="N125" s="11"/>
      <c r="O125" s="11"/>
    </row>
    <row r="126" spans="5:21">
      <c r="M126" s="11"/>
      <c r="N126" s="11"/>
      <c r="O126" s="11"/>
    </row>
    <row r="127" spans="5:21">
      <c r="M127" s="11"/>
      <c r="N127" s="11"/>
      <c r="O127" s="11"/>
    </row>
    <row r="128" spans="5:21">
      <c r="M128" s="11"/>
      <c r="N128" s="11"/>
      <c r="O128" s="11"/>
    </row>
    <row r="129" spans="13:15">
      <c r="M129" s="11"/>
      <c r="N129" s="11"/>
      <c r="O129" s="11"/>
    </row>
    <row r="130" spans="13:15">
      <c r="M130" s="11"/>
      <c r="N130" s="11"/>
      <c r="O130" s="11"/>
    </row>
    <row r="131" spans="13:15">
      <c r="M131" s="11"/>
      <c r="N131" s="11"/>
      <c r="O131" s="11"/>
    </row>
  </sheetData>
  <pageMargins left="0.75" right="0.25" top="0.5" bottom="0.5" header="0.5" footer="0.25"/>
  <pageSetup paperSize="5" scale="51" fitToHeight="2" orientation="landscape" horizontalDpi="0" r:id="rId1"/>
  <headerFooter alignWithMargins="0">
    <oddFooter>&amp;L&amp;F  &amp;A&amp;R&amp;D  &amp;T</oddFooter>
  </headerFooter>
  <rowBreaks count="1" manualBreakCount="1">
    <brk id="76" max="25"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111">
    <pageSetUpPr fitToPage="1"/>
  </sheetPr>
  <dimension ref="A2:AB40"/>
  <sheetViews>
    <sheetView zoomScaleNormal="100" workbookViewId="0">
      <selection activeCell="A19" sqref="A19"/>
    </sheetView>
  </sheetViews>
  <sheetFormatPr defaultRowHeight="13.2"/>
  <cols>
    <col min="1" max="1" width="12.5546875" customWidth="1"/>
    <col min="2" max="3" width="13.88671875" customWidth="1"/>
    <col min="4" max="5" width="15.44140625" bestFit="1" customWidth="1"/>
    <col min="6" max="6" width="1.44140625" customWidth="1"/>
    <col min="7" max="8" width="15.44140625" customWidth="1"/>
    <col min="9" max="9" width="15.44140625" bestFit="1" customWidth="1"/>
    <col min="10" max="10" width="1.44140625" customWidth="1"/>
    <col min="11" max="12" width="15.44140625" customWidth="1"/>
    <col min="13" max="13" width="13.88671875" bestFit="1" customWidth="1"/>
    <col min="14" max="14" width="1.44140625" customWidth="1"/>
    <col min="15" max="15" width="13.88671875" customWidth="1"/>
    <col min="16" max="16" width="1.44140625" customWidth="1"/>
    <col min="17" max="17" width="14.44140625" bestFit="1" customWidth="1"/>
    <col min="18" max="18" width="13.88671875" bestFit="1" customWidth="1"/>
    <col min="19" max="19" width="14.44140625" bestFit="1" customWidth="1"/>
    <col min="20" max="20" width="1.33203125" customWidth="1"/>
    <col min="21" max="23" width="13.88671875" bestFit="1" customWidth="1"/>
    <col min="24" max="24" width="1.33203125" customWidth="1"/>
    <col min="25" max="25" width="14.44140625" bestFit="1" customWidth="1"/>
    <col min="26" max="26" width="1.44140625" customWidth="1"/>
    <col min="27" max="27" width="14.88671875" customWidth="1"/>
    <col min="28" max="28" width="11.88671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37072</v>
      </c>
      <c r="G3" s="57">
        <f>+$D$10</f>
        <v>37072</v>
      </c>
      <c r="H3" s="57">
        <f>+$D$10</f>
        <v>37072</v>
      </c>
      <c r="K3" s="57">
        <f>+$D$10</f>
        <v>37072</v>
      </c>
      <c r="L3" s="57">
        <f>+$D$10</f>
        <v>37072</v>
      </c>
      <c r="Q3" s="57">
        <f>+$D$10</f>
        <v>37072</v>
      </c>
      <c r="R3" s="57">
        <f>+$D$10</f>
        <v>37072</v>
      </c>
      <c r="U3" s="57">
        <f>+$D$10</f>
        <v>37072</v>
      </c>
      <c r="V3" s="57">
        <f>+$D$10</f>
        <v>37072</v>
      </c>
    </row>
    <row r="4" spans="1:27">
      <c r="A4" t="s">
        <v>342</v>
      </c>
      <c r="C4" s="57"/>
      <c r="D4" s="57">
        <f>IF(+D$18&lt;1,C4,D$18)</f>
        <v>36737</v>
      </c>
      <c r="G4" s="57">
        <f>IF(+G$18&lt;1,D4,G$18)</f>
        <v>36737</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36707</v>
      </c>
    </row>
    <row r="10" spans="1:27" ht="13.8" thickBot="1">
      <c r="A10" s="200" t="s">
        <v>474</v>
      </c>
      <c r="B10" s="516"/>
      <c r="C10" s="259" t="s">
        <v>175</v>
      </c>
      <c r="D10" s="141">
        <v>37072</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636700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68.3358+0.03</f>
        <v>68.365800000000007</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36737</v>
      </c>
      <c r="E18" s="141"/>
      <c r="F18" s="469"/>
      <c r="G18" s="141">
        <v>36737</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43528504.859999999</v>
      </c>
      <c r="E21" s="347">
        <f>+D21</f>
        <v>43528504.859999999</v>
      </c>
      <c r="F21" s="346"/>
      <c r="G21" s="347">
        <f>+D22</f>
        <v>41067150</v>
      </c>
      <c r="H21" s="347">
        <f>+G22</f>
        <v>41067150</v>
      </c>
      <c r="I21" s="347">
        <f>+E22</f>
        <v>41067150</v>
      </c>
      <c r="J21" s="346"/>
      <c r="K21" s="347">
        <f>+H22</f>
        <v>41067150</v>
      </c>
      <c r="L21" s="347">
        <f>+K22</f>
        <v>41067150</v>
      </c>
      <c r="M21" s="347">
        <f>+I22</f>
        <v>41067150</v>
      </c>
      <c r="N21" s="346"/>
      <c r="O21" s="348"/>
      <c r="P21" s="475"/>
      <c r="Q21" s="347">
        <f>+L22</f>
        <v>41067150</v>
      </c>
      <c r="R21" s="347">
        <f>+Q22</f>
        <v>41067150</v>
      </c>
      <c r="S21" s="347">
        <f>+M22</f>
        <v>41067150</v>
      </c>
      <c r="T21" s="346"/>
      <c r="U21" s="347">
        <f>+Q22</f>
        <v>41067150</v>
      </c>
      <c r="V21" s="347">
        <f>+R22</f>
        <v>41067150</v>
      </c>
      <c r="W21" s="347">
        <f>+S22</f>
        <v>41067150</v>
      </c>
      <c r="X21" s="346"/>
      <c r="Y21" s="348"/>
      <c r="Z21" s="475"/>
      <c r="AA21" s="110"/>
    </row>
    <row r="22" spans="1:28">
      <c r="B22" t="s">
        <v>97</v>
      </c>
      <c r="C22" s="350"/>
      <c r="D22" s="350">
        <f>ROUND(+D14*$B16,2)</f>
        <v>41067150</v>
      </c>
      <c r="E22" s="350">
        <f>ROUND(+E14*$B16,2)</f>
        <v>41067150</v>
      </c>
      <c r="F22" s="346"/>
      <c r="G22" s="350">
        <f>ROUND(+G14*$B16,2)</f>
        <v>41067150</v>
      </c>
      <c r="H22" s="350">
        <f>ROUND(+H14*$B16,2)</f>
        <v>41067150</v>
      </c>
      <c r="I22" s="350">
        <f>ROUND(+I14*$B16,2)</f>
        <v>41067150</v>
      </c>
      <c r="J22" s="346"/>
      <c r="K22" s="350">
        <f>ROUND(+K14*$B16,2)</f>
        <v>41067150</v>
      </c>
      <c r="L22" s="350">
        <f>ROUND(+L14*$B16,2)</f>
        <v>41067150</v>
      </c>
      <c r="M22" s="350">
        <f>ROUND(+M14*$B16,2)</f>
        <v>41067150</v>
      </c>
      <c r="N22" s="346"/>
      <c r="O22" s="476"/>
      <c r="P22" s="475"/>
      <c r="Q22" s="350">
        <f>ROUND(+Q14*$B16,2)</f>
        <v>41067150</v>
      </c>
      <c r="R22" s="350">
        <f>ROUND(+R14*$B16,2)</f>
        <v>41067150</v>
      </c>
      <c r="S22" s="350">
        <f>ROUND(+S14*$B16,2)</f>
        <v>41067150</v>
      </c>
      <c r="T22" s="346"/>
      <c r="U22" s="350">
        <f>ROUND(+U14*$B16,2)</f>
        <v>41067150</v>
      </c>
      <c r="V22" s="350">
        <f>ROUND(+V14*$B16,2)</f>
        <v>41067150</v>
      </c>
      <c r="W22" s="350">
        <f>ROUND(+W14*$B16,2)</f>
        <v>41067150</v>
      </c>
      <c r="X22" s="346"/>
      <c r="Y22" s="476"/>
      <c r="Z22" s="475"/>
      <c r="AA22" s="110"/>
    </row>
    <row r="23" spans="1:28">
      <c r="B23" t="s">
        <v>100</v>
      </c>
      <c r="C23" s="353"/>
      <c r="D23" s="353">
        <f>IF($A$11&lt;=C18,0,-D21+D22)</f>
        <v>-2461354.8599999994</v>
      </c>
      <c r="E23" s="353">
        <f>SUM(C23:D23)</f>
        <v>-2461354.8599999994</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-2461354.8599999994</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-2461354.8599999994</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7.4999999999999997E-3</v>
      </c>
      <c r="F31" s="225"/>
      <c r="G31" s="550">
        <f>+$D$31</f>
        <v>7.4999999999999997E-3</v>
      </c>
      <c r="H31" s="550">
        <f>+$D$31</f>
        <v>7.4999999999999997E-3</v>
      </c>
      <c r="J31" s="225"/>
      <c r="K31" s="550">
        <f>+$D$31</f>
        <v>7.4999999999999997E-3</v>
      </c>
      <c r="L31" s="550">
        <f>+$D$31</f>
        <v>7.4999999999999997E-3</v>
      </c>
      <c r="N31" s="225"/>
      <c r="O31" s="472"/>
      <c r="P31" s="479"/>
      <c r="Q31" s="550">
        <f>+$D$31</f>
        <v>7.4999999999999997E-3</v>
      </c>
      <c r="R31" s="550">
        <f>+$D$31</f>
        <v>7.4999999999999997E-3</v>
      </c>
      <c r="T31" s="225"/>
      <c r="U31" s="550">
        <f>+$D$31</f>
        <v>7.4999999999999997E-3</v>
      </c>
      <c r="V31" s="550">
        <f>+$D$31</f>
        <v>7.4999999999999997E-3</v>
      </c>
      <c r="X31" s="225"/>
      <c r="Y31" s="472"/>
      <c r="Z31" s="479"/>
    </row>
    <row r="32" spans="1:28">
      <c r="A32" s="208" t="s">
        <v>256</v>
      </c>
      <c r="D32" s="497">
        <f>SUM(D30:D31)</f>
        <v>7.3599999999999999E-2</v>
      </c>
      <c r="F32" s="225"/>
      <c r="G32" s="497">
        <f>SUM(G30:G31)</f>
        <v>7.3599999999999999E-2</v>
      </c>
      <c r="H32" s="497">
        <f>SUM(H30:H31)</f>
        <v>6.8400000000000002E-2</v>
      </c>
      <c r="J32" s="225"/>
      <c r="K32" s="497">
        <f>SUM(K30:K31)</f>
        <v>6.8400000000000002E-2</v>
      </c>
      <c r="L32" s="497">
        <f>SUM(L30:L31)</f>
        <v>6.8400000000000002E-2</v>
      </c>
      <c r="N32" s="225"/>
      <c r="O32" s="472"/>
      <c r="P32" s="479"/>
      <c r="Q32" s="497">
        <f>SUM(Q30:Q31)</f>
        <v>7.4999999999999997E-3</v>
      </c>
      <c r="R32" s="497">
        <f>SUM(R30:R31)</f>
        <v>6.8400000000000002E-2</v>
      </c>
      <c r="T32" s="225"/>
      <c r="U32" s="497">
        <f>SUM(U30:U31)</f>
        <v>6.8400000000000002E-2</v>
      </c>
      <c r="V32" s="497">
        <f>SUM(V30:V31)</f>
        <v>6.8400000000000002E-2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36707</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0</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0</v>
      </c>
      <c r="E37" s="353">
        <f>SUM(C37:D37)</f>
        <v>0</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0</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0</v>
      </c>
    </row>
    <row r="38" spans="1:27">
      <c r="D38" s="53"/>
      <c r="F38" s="225"/>
      <c r="G38" s="53"/>
      <c r="H38" s="53"/>
      <c r="J38" s="225"/>
      <c r="K38" s="53"/>
      <c r="L38" s="53"/>
      <c r="N38" s="225"/>
      <c r="O38" s="472"/>
      <c r="P38" s="479"/>
      <c r="Q38" s="53"/>
      <c r="R38" s="53"/>
      <c r="T38" s="225"/>
      <c r="U38" s="53"/>
      <c r="V38" s="53"/>
      <c r="X38" s="225"/>
      <c r="Y38" s="472"/>
      <c r="Z38" s="479"/>
    </row>
    <row r="39" spans="1:27" ht="13.8" thickBot="1">
      <c r="A39" t="s">
        <v>258</v>
      </c>
      <c r="D39" s="261">
        <f>+D23+D27+D37</f>
        <v>-2461354.8599999994</v>
      </c>
      <c r="E39" s="261">
        <f>+E23+E27+E37</f>
        <v>-2461354.8599999994</v>
      </c>
      <c r="F39" s="225"/>
      <c r="G39" s="261">
        <f>+G23+G27+G37</f>
        <v>0</v>
      </c>
      <c r="H39" s="261">
        <f>+H23+H27+H37</f>
        <v>0</v>
      </c>
      <c r="I39" s="261">
        <f>+I23+I27+I37</f>
        <v>0</v>
      </c>
      <c r="J39" s="225"/>
      <c r="K39" s="261">
        <f>+K23+K27+K37</f>
        <v>0</v>
      </c>
      <c r="L39" s="261">
        <f>+L23+L27+L37</f>
        <v>0</v>
      </c>
      <c r="M39" s="261">
        <f>+M23+M27+M37</f>
        <v>0</v>
      </c>
      <c r="N39" s="225"/>
      <c r="O39" s="261">
        <f>+O23+O27+O37</f>
        <v>-2461354.8599999994</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-2461354.8599999994</v>
      </c>
    </row>
    <row r="40" spans="1:27" ht="13.8"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11">
    <pageSetUpPr fitToPage="1"/>
  </sheetPr>
  <dimension ref="A2:AB40"/>
  <sheetViews>
    <sheetView zoomScaleNormal="100" workbookViewId="0"/>
  </sheetViews>
  <sheetFormatPr defaultRowHeight="13.2"/>
  <cols>
    <col min="1" max="1" width="12.5546875" customWidth="1"/>
    <col min="2" max="3" width="13.88671875" customWidth="1"/>
    <col min="4" max="5" width="15.44140625" bestFit="1" customWidth="1"/>
    <col min="6" max="6" width="1.44140625" customWidth="1"/>
    <col min="7" max="8" width="15.44140625" customWidth="1"/>
    <col min="9" max="9" width="15.44140625" bestFit="1" customWidth="1"/>
    <col min="10" max="10" width="1.44140625" customWidth="1"/>
    <col min="11" max="12" width="15.44140625" customWidth="1"/>
    <col min="13" max="13" width="13.88671875" bestFit="1" customWidth="1"/>
    <col min="14" max="14" width="1.44140625" customWidth="1"/>
    <col min="15" max="15" width="13.88671875" customWidth="1"/>
    <col min="16" max="16" width="1.44140625" customWidth="1"/>
    <col min="17" max="17" width="14.44140625" bestFit="1" customWidth="1"/>
    <col min="18" max="18" width="13.88671875" bestFit="1" customWidth="1"/>
    <col min="19" max="19" width="14.44140625" bestFit="1" customWidth="1"/>
    <col min="20" max="20" width="1.33203125" customWidth="1"/>
    <col min="21" max="23" width="13.88671875" bestFit="1" customWidth="1"/>
    <col min="24" max="24" width="1.33203125" customWidth="1"/>
    <col min="25" max="25" width="14.44140625" bestFit="1" customWidth="1"/>
    <col min="26" max="26" width="1.44140625" customWidth="1"/>
    <col min="27" max="27" width="14.88671875" customWidth="1"/>
    <col min="28" max="28" width="11.88671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37071</v>
      </c>
      <c r="G3" s="57">
        <f>+$D$10</f>
        <v>37071</v>
      </c>
      <c r="H3" s="57">
        <f>+$D$10</f>
        <v>37071</v>
      </c>
      <c r="K3" s="57">
        <f>+$D$10</f>
        <v>37071</v>
      </c>
      <c r="L3" s="57">
        <f>+$D$10</f>
        <v>37071</v>
      </c>
      <c r="Q3" s="57">
        <f>+$D$10</f>
        <v>37071</v>
      </c>
      <c r="R3" s="57">
        <f>+$D$10</f>
        <v>37071</v>
      </c>
      <c r="U3" s="57">
        <f>+$D$10</f>
        <v>37071</v>
      </c>
      <c r="V3" s="57">
        <f>+$D$10</f>
        <v>37071</v>
      </c>
    </row>
    <row r="4" spans="1:27">
      <c r="A4" t="s">
        <v>342</v>
      </c>
      <c r="C4" s="57"/>
      <c r="D4" s="57">
        <f>IF(+D$18&lt;1,C4,D$18)</f>
        <v>36736</v>
      </c>
      <c r="G4" s="57">
        <f>IF(+G$18&lt;1,D4,G$18)</f>
        <v>36736</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36706</v>
      </c>
    </row>
    <row r="10" spans="1:27" ht="13.8" thickBot="1">
      <c r="A10" s="200" t="s">
        <v>474</v>
      </c>
      <c r="B10" s="516"/>
      <c r="C10" s="259" t="s">
        <v>175</v>
      </c>
      <c r="D10" s="141">
        <v>37071</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150000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68.5+0.03</f>
        <v>68.53</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36736</v>
      </c>
      <c r="E18" s="141"/>
      <c r="F18" s="469"/>
      <c r="G18" s="141">
        <v>36736</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10279500</v>
      </c>
      <c r="E21" s="347">
        <f>+D21</f>
        <v>10279500</v>
      </c>
      <c r="F21" s="346"/>
      <c r="G21" s="347">
        <f>+D22</f>
        <v>9675000</v>
      </c>
      <c r="H21" s="347">
        <f>+G22</f>
        <v>9675000</v>
      </c>
      <c r="I21" s="347">
        <f>+E22</f>
        <v>9675000</v>
      </c>
      <c r="J21" s="346"/>
      <c r="K21" s="347">
        <f>+H22</f>
        <v>9675000</v>
      </c>
      <c r="L21" s="347">
        <f>+K22</f>
        <v>9675000</v>
      </c>
      <c r="M21" s="347">
        <f>+I22</f>
        <v>9675000</v>
      </c>
      <c r="N21" s="346"/>
      <c r="O21" s="348"/>
      <c r="P21" s="475"/>
      <c r="Q21" s="347">
        <f>+L22</f>
        <v>9675000</v>
      </c>
      <c r="R21" s="347">
        <f>+Q22</f>
        <v>9675000</v>
      </c>
      <c r="S21" s="347">
        <f>+M22</f>
        <v>9675000</v>
      </c>
      <c r="T21" s="346"/>
      <c r="U21" s="347">
        <f>+Q22</f>
        <v>9675000</v>
      </c>
      <c r="V21" s="347">
        <f>+R22</f>
        <v>9675000</v>
      </c>
      <c r="W21" s="347">
        <f>+S22</f>
        <v>9675000</v>
      </c>
      <c r="X21" s="346"/>
      <c r="Y21" s="348"/>
      <c r="Z21" s="475"/>
      <c r="AA21" s="110"/>
    </row>
    <row r="22" spans="1:28">
      <c r="B22" t="s">
        <v>97</v>
      </c>
      <c r="C22" s="350"/>
      <c r="D22" s="350">
        <f>ROUND(+D14*$B16,2)</f>
        <v>9675000</v>
      </c>
      <c r="E22" s="350">
        <f>ROUND(+E14*$B16,2)</f>
        <v>9675000</v>
      </c>
      <c r="F22" s="346"/>
      <c r="G22" s="350">
        <f>ROUND(+G14*$B16,2)</f>
        <v>9675000</v>
      </c>
      <c r="H22" s="350">
        <f>ROUND(+H14*$B16,2)</f>
        <v>9675000</v>
      </c>
      <c r="I22" s="350">
        <f>ROUND(+I14*$B16,2)</f>
        <v>9675000</v>
      </c>
      <c r="J22" s="346"/>
      <c r="K22" s="350">
        <f>ROUND(+K14*$B16,2)</f>
        <v>9675000</v>
      </c>
      <c r="L22" s="350">
        <f>ROUND(+L14*$B16,2)</f>
        <v>9675000</v>
      </c>
      <c r="M22" s="350">
        <f>ROUND(+M14*$B16,2)</f>
        <v>9675000</v>
      </c>
      <c r="N22" s="346"/>
      <c r="O22" s="476"/>
      <c r="P22" s="475"/>
      <c r="Q22" s="350">
        <f>ROUND(+Q14*$B16,2)</f>
        <v>9675000</v>
      </c>
      <c r="R22" s="350">
        <f>ROUND(+R14*$B16,2)</f>
        <v>9675000</v>
      </c>
      <c r="S22" s="350">
        <f>ROUND(+S14*$B16,2)</f>
        <v>9675000</v>
      </c>
      <c r="T22" s="346"/>
      <c r="U22" s="350">
        <f>ROUND(+U14*$B16,2)</f>
        <v>9675000</v>
      </c>
      <c r="V22" s="350">
        <f>ROUND(+V14*$B16,2)</f>
        <v>9675000</v>
      </c>
      <c r="W22" s="350">
        <f>ROUND(+W14*$B16,2)</f>
        <v>9675000</v>
      </c>
      <c r="X22" s="346"/>
      <c r="Y22" s="476"/>
      <c r="Z22" s="475"/>
      <c r="AA22" s="110"/>
    </row>
    <row r="23" spans="1:28">
      <c r="B23" t="s">
        <v>100</v>
      </c>
      <c r="C23" s="353"/>
      <c r="D23" s="353">
        <f>IF($A$11&lt;=C18,0,-D21+D22)</f>
        <v>-604500</v>
      </c>
      <c r="E23" s="353">
        <f>SUM(C23:D23)</f>
        <v>-604500</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-604500</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-604500</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7.4999999999999997E-3</v>
      </c>
      <c r="F31" s="225"/>
      <c r="G31" s="550">
        <f>+$D$31</f>
        <v>7.4999999999999997E-3</v>
      </c>
      <c r="H31" s="550">
        <f>+$D$31</f>
        <v>7.4999999999999997E-3</v>
      </c>
      <c r="J31" s="225"/>
      <c r="K31" s="550">
        <f>+$D$31</f>
        <v>7.4999999999999997E-3</v>
      </c>
      <c r="L31" s="550">
        <f>+$D$31</f>
        <v>7.4999999999999997E-3</v>
      </c>
      <c r="N31" s="225"/>
      <c r="O31" s="472"/>
      <c r="P31" s="479"/>
      <c r="Q31" s="550">
        <f>+$D$31</f>
        <v>7.4999999999999997E-3</v>
      </c>
      <c r="R31" s="550">
        <f>+$D$31</f>
        <v>7.4999999999999997E-3</v>
      </c>
      <c r="T31" s="225"/>
      <c r="U31" s="550">
        <f>+$D$31</f>
        <v>7.4999999999999997E-3</v>
      </c>
      <c r="V31" s="550">
        <f>+$D$31</f>
        <v>7.4999999999999997E-3</v>
      </c>
      <c r="X31" s="225"/>
      <c r="Y31" s="472"/>
      <c r="Z31" s="479"/>
    </row>
    <row r="32" spans="1:28">
      <c r="A32" s="208" t="s">
        <v>256</v>
      </c>
      <c r="D32" s="497">
        <f>SUM(D30:D31)</f>
        <v>7.3599999999999999E-2</v>
      </c>
      <c r="F32" s="225"/>
      <c r="G32" s="497">
        <f>SUM(G30:G31)</f>
        <v>7.3599999999999999E-2</v>
      </c>
      <c r="H32" s="497">
        <f>SUM(H30:H31)</f>
        <v>6.8400000000000002E-2</v>
      </c>
      <c r="J32" s="225"/>
      <c r="K32" s="497">
        <f>SUM(K30:K31)</f>
        <v>6.8400000000000002E-2</v>
      </c>
      <c r="L32" s="497">
        <f>SUM(L30:L31)</f>
        <v>6.8400000000000002E-2</v>
      </c>
      <c r="N32" s="225"/>
      <c r="O32" s="472"/>
      <c r="P32" s="479"/>
      <c r="Q32" s="497">
        <f>SUM(Q30:Q31)</f>
        <v>7.4999999999999997E-3</v>
      </c>
      <c r="R32" s="497">
        <f>SUM(R30:R31)</f>
        <v>6.8400000000000002E-2</v>
      </c>
      <c r="T32" s="225"/>
      <c r="U32" s="497">
        <f>SUM(U30:U31)</f>
        <v>6.8400000000000002E-2</v>
      </c>
      <c r="V32" s="497">
        <f>SUM(V30:V31)</f>
        <v>6.8400000000000002E-2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36706</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1</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-2101.59</v>
      </c>
      <c r="E37" s="353">
        <f>SUM(C37:D37)</f>
        <v>-2101.59</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-2101.59</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-2101.59</v>
      </c>
    </row>
    <row r="38" spans="1:27">
      <c r="D38" s="53"/>
      <c r="F38" s="225"/>
      <c r="G38" s="53"/>
      <c r="H38" s="53"/>
      <c r="J38" s="225"/>
      <c r="K38" s="53"/>
      <c r="L38" s="53"/>
      <c r="N38" s="225"/>
      <c r="O38" s="472"/>
      <c r="P38" s="479"/>
      <c r="Q38" s="53"/>
      <c r="R38" s="53"/>
      <c r="T38" s="225"/>
      <c r="U38" s="53"/>
      <c r="V38" s="53"/>
      <c r="X38" s="225"/>
      <c r="Y38" s="472"/>
      <c r="Z38" s="479"/>
    </row>
    <row r="39" spans="1:27" ht="13.8" thickBot="1">
      <c r="A39" t="s">
        <v>258</v>
      </c>
      <c r="D39" s="261">
        <f>+D23+D27+D37</f>
        <v>-606601.59</v>
      </c>
      <c r="E39" s="261">
        <f>+E23+E27+E37</f>
        <v>-606601.59</v>
      </c>
      <c r="F39" s="225"/>
      <c r="G39" s="261">
        <f>+G23+G27+G37</f>
        <v>0</v>
      </c>
      <c r="H39" s="261">
        <f>+H23+H27+H37</f>
        <v>0</v>
      </c>
      <c r="I39" s="261">
        <f>+I23+I27+I37</f>
        <v>0</v>
      </c>
      <c r="J39" s="225"/>
      <c r="K39" s="261">
        <f>+K23+K27+K37</f>
        <v>0</v>
      </c>
      <c r="L39" s="261">
        <f>+L23+L27+L37</f>
        <v>0</v>
      </c>
      <c r="M39" s="261">
        <f>+M23+M27+M37</f>
        <v>0</v>
      </c>
      <c r="N39" s="225"/>
      <c r="O39" s="261">
        <f>+O23+O27+O37</f>
        <v>-606601.59</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-606601.59</v>
      </c>
    </row>
    <row r="40" spans="1:27" ht="13.8"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1">
    <pageSetUpPr fitToPage="1"/>
  </sheetPr>
  <dimension ref="A2:AB40"/>
  <sheetViews>
    <sheetView zoomScaleNormal="100" workbookViewId="0">
      <selection activeCell="D11" sqref="D11"/>
    </sheetView>
  </sheetViews>
  <sheetFormatPr defaultRowHeight="13.2"/>
  <cols>
    <col min="1" max="1" width="12.5546875" customWidth="1"/>
    <col min="2" max="3" width="13.88671875" customWidth="1"/>
    <col min="4" max="5" width="15.44140625" bestFit="1" customWidth="1"/>
    <col min="6" max="6" width="1.44140625" customWidth="1"/>
    <col min="7" max="8" width="15.44140625" customWidth="1"/>
    <col min="9" max="9" width="15.44140625" bestFit="1" customWidth="1"/>
    <col min="10" max="10" width="1.44140625" customWidth="1"/>
    <col min="11" max="12" width="15.44140625" customWidth="1"/>
    <col min="13" max="13" width="13.88671875" bestFit="1" customWidth="1"/>
    <col min="14" max="14" width="1.44140625" customWidth="1"/>
    <col min="15" max="15" width="13.88671875" customWidth="1"/>
    <col min="16" max="16" width="1.44140625" customWidth="1"/>
    <col min="17" max="17" width="14.44140625" bestFit="1" customWidth="1"/>
    <col min="18" max="18" width="13.88671875" bestFit="1" customWidth="1"/>
    <col min="19" max="19" width="14.44140625" bestFit="1" customWidth="1"/>
    <col min="20" max="20" width="1.33203125" customWidth="1"/>
    <col min="21" max="23" width="13.88671875" bestFit="1" customWidth="1"/>
    <col min="24" max="24" width="1.33203125" customWidth="1"/>
    <col min="25" max="25" width="14.44140625" bestFit="1" customWidth="1"/>
    <col min="26" max="26" width="1.44140625" customWidth="1"/>
    <col min="27" max="27" width="14.88671875" customWidth="1"/>
    <col min="28" max="28" width="11.88671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37062</v>
      </c>
      <c r="G3" s="57">
        <f>+$D$10</f>
        <v>37062</v>
      </c>
      <c r="H3" s="57">
        <f>+$D$10</f>
        <v>37062</v>
      </c>
      <c r="K3" s="57">
        <f>+$D$10</f>
        <v>37062</v>
      </c>
      <c r="L3" s="57">
        <f>+$D$10</f>
        <v>37062</v>
      </c>
      <c r="Q3" s="57">
        <f>+$D$10</f>
        <v>37062</v>
      </c>
      <c r="R3" s="57">
        <f>+$D$10</f>
        <v>37062</v>
      </c>
      <c r="U3" s="57">
        <f>+$D$10</f>
        <v>37062</v>
      </c>
      <c r="V3" s="57">
        <f>+$D$10</f>
        <v>37062</v>
      </c>
    </row>
    <row r="4" spans="1:27">
      <c r="A4" t="s">
        <v>342</v>
      </c>
      <c r="C4" s="57"/>
      <c r="D4" s="57">
        <f>IF(+D$18&lt;1,C4,D$18)</f>
        <v>36735</v>
      </c>
      <c r="G4" s="57">
        <f>IF(+G$18&lt;1,D4,G$18)</f>
        <v>36735</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36705</v>
      </c>
    </row>
    <row r="10" spans="1:27" ht="13.8" thickBot="1">
      <c r="A10" s="200" t="s">
        <v>474</v>
      </c>
      <c r="B10" s="516"/>
      <c r="C10" s="259" t="s">
        <v>175</v>
      </c>
      <c r="D10" s="338">
        <v>37062</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110100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68.5+0.03</f>
        <v>68.53</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36735</v>
      </c>
      <c r="E18" s="141"/>
      <c r="F18" s="469"/>
      <c r="G18" s="141">
        <v>36735</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7545153</v>
      </c>
      <c r="E21" s="347">
        <f>+D21</f>
        <v>7545153</v>
      </c>
      <c r="F21" s="346"/>
      <c r="G21" s="347">
        <f>+D22</f>
        <v>7101450</v>
      </c>
      <c r="H21" s="347">
        <f>+G22</f>
        <v>7101450</v>
      </c>
      <c r="I21" s="347">
        <f>+E22</f>
        <v>7101450</v>
      </c>
      <c r="J21" s="346"/>
      <c r="K21" s="347">
        <f>+H22</f>
        <v>7101450</v>
      </c>
      <c r="L21" s="347">
        <f>+K22</f>
        <v>7101450</v>
      </c>
      <c r="M21" s="347">
        <f>+I22</f>
        <v>7101450</v>
      </c>
      <c r="N21" s="346"/>
      <c r="O21" s="348"/>
      <c r="P21" s="475"/>
      <c r="Q21" s="347">
        <f>+L22</f>
        <v>7101450</v>
      </c>
      <c r="R21" s="347">
        <f>+Q22</f>
        <v>7101450</v>
      </c>
      <c r="S21" s="347">
        <f>+M22</f>
        <v>7101450</v>
      </c>
      <c r="T21" s="346"/>
      <c r="U21" s="347">
        <f>+Q22</f>
        <v>7101450</v>
      </c>
      <c r="V21" s="347">
        <f>+R22</f>
        <v>7101450</v>
      </c>
      <c r="W21" s="347">
        <f>+S22</f>
        <v>7101450</v>
      </c>
      <c r="X21" s="346"/>
      <c r="Y21" s="348"/>
      <c r="Z21" s="475"/>
      <c r="AA21" s="110"/>
    </row>
    <row r="22" spans="1:28">
      <c r="B22" t="s">
        <v>97</v>
      </c>
      <c r="C22" s="350"/>
      <c r="D22" s="350">
        <f>ROUND(+D14*$B16,2)</f>
        <v>7101450</v>
      </c>
      <c r="E22" s="350">
        <f>ROUND(+E14*$B16,2)</f>
        <v>7101450</v>
      </c>
      <c r="F22" s="346"/>
      <c r="G22" s="350">
        <f>ROUND(+G14*$B16,2)</f>
        <v>7101450</v>
      </c>
      <c r="H22" s="350">
        <f>ROUND(+H14*$B16,2)</f>
        <v>7101450</v>
      </c>
      <c r="I22" s="350">
        <f>ROUND(+I14*$B16,2)</f>
        <v>7101450</v>
      </c>
      <c r="J22" s="346"/>
      <c r="K22" s="350">
        <f>ROUND(+K14*$B16,2)</f>
        <v>7101450</v>
      </c>
      <c r="L22" s="350">
        <f>ROUND(+L14*$B16,2)</f>
        <v>7101450</v>
      </c>
      <c r="M22" s="350">
        <f>ROUND(+M14*$B16,2)</f>
        <v>7101450</v>
      </c>
      <c r="N22" s="346"/>
      <c r="O22" s="476"/>
      <c r="P22" s="475"/>
      <c r="Q22" s="350">
        <f>ROUND(+Q14*$B16,2)</f>
        <v>7101450</v>
      </c>
      <c r="R22" s="350">
        <f>ROUND(+R14*$B16,2)</f>
        <v>7101450</v>
      </c>
      <c r="S22" s="350">
        <f>ROUND(+S14*$B16,2)</f>
        <v>7101450</v>
      </c>
      <c r="T22" s="346"/>
      <c r="U22" s="350">
        <f>ROUND(+U14*$B16,2)</f>
        <v>7101450</v>
      </c>
      <c r="V22" s="350">
        <f>ROUND(+V14*$B16,2)</f>
        <v>7101450</v>
      </c>
      <c r="W22" s="350">
        <f>ROUND(+W14*$B16,2)</f>
        <v>7101450</v>
      </c>
      <c r="X22" s="346"/>
      <c r="Y22" s="476"/>
      <c r="Z22" s="475"/>
      <c r="AA22" s="110"/>
    </row>
    <row r="23" spans="1:28">
      <c r="B23" t="s">
        <v>100</v>
      </c>
      <c r="C23" s="353"/>
      <c r="D23" s="353">
        <f>IF($A$11&lt;=C18,0,-D21+D22)</f>
        <v>-443703</v>
      </c>
      <c r="E23" s="353">
        <f>SUM(C23:D23)</f>
        <v>-443703</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-443703</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-443703</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6.0000000000000001E-3</v>
      </c>
      <c r="F31" s="225"/>
      <c r="G31" s="550">
        <f>+$D$31</f>
        <v>6.0000000000000001E-3</v>
      </c>
      <c r="H31" s="550">
        <f>+$D$31</f>
        <v>6.0000000000000001E-3</v>
      </c>
      <c r="J31" s="225"/>
      <c r="K31" s="550">
        <f>+$D$31</f>
        <v>6.0000000000000001E-3</v>
      </c>
      <c r="L31" s="550">
        <f>+$D$31</f>
        <v>6.0000000000000001E-3</v>
      </c>
      <c r="N31" s="225"/>
      <c r="O31" s="472"/>
      <c r="P31" s="479"/>
      <c r="Q31" s="550">
        <f>+$D$31</f>
        <v>6.0000000000000001E-3</v>
      </c>
      <c r="R31" s="550">
        <f>+$D$31</f>
        <v>6.0000000000000001E-3</v>
      </c>
      <c r="T31" s="225"/>
      <c r="U31" s="550">
        <f>+$D$31</f>
        <v>6.0000000000000001E-3</v>
      </c>
      <c r="V31" s="550">
        <f>+$D$31</f>
        <v>6.0000000000000001E-3</v>
      </c>
      <c r="X31" s="225"/>
      <c r="Y31" s="472"/>
      <c r="Z31" s="479"/>
    </row>
    <row r="32" spans="1:28">
      <c r="A32" s="208" t="s">
        <v>256</v>
      </c>
      <c r="D32" s="497">
        <f>SUM(D30:D31)</f>
        <v>7.2100000000000011E-2</v>
      </c>
      <c r="F32" s="225"/>
      <c r="G32" s="497">
        <f>SUM(G30:G31)</f>
        <v>7.2100000000000011E-2</v>
      </c>
      <c r="H32" s="497">
        <f>SUM(H30:H31)</f>
        <v>6.6900000000000001E-2</v>
      </c>
      <c r="J32" s="225"/>
      <c r="K32" s="497">
        <f>SUM(K30:K31)</f>
        <v>6.6900000000000001E-2</v>
      </c>
      <c r="L32" s="497">
        <f>SUM(L30:L31)</f>
        <v>6.6900000000000001E-2</v>
      </c>
      <c r="N32" s="225"/>
      <c r="O32" s="472"/>
      <c r="P32" s="479"/>
      <c r="Q32" s="497">
        <f>SUM(Q30:Q31)</f>
        <v>6.0000000000000001E-3</v>
      </c>
      <c r="R32" s="497">
        <f>SUM(R30:R31)</f>
        <v>6.6900000000000001E-2</v>
      </c>
      <c r="T32" s="225"/>
      <c r="U32" s="497">
        <f>SUM(U30:U31)</f>
        <v>6.6900000000000001E-2</v>
      </c>
      <c r="V32" s="497">
        <f>SUM(V30:V31)</f>
        <v>6.6900000000000001E-2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36705</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2</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-3022.25</v>
      </c>
      <c r="E37" s="353">
        <f>SUM(C37:D37)</f>
        <v>-3022.25</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-3022.25</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-3022.25</v>
      </c>
    </row>
    <row r="38" spans="1:27">
      <c r="D38" s="53"/>
      <c r="F38" s="225"/>
      <c r="G38" s="53"/>
      <c r="H38" s="53"/>
      <c r="J38" s="225"/>
      <c r="K38" s="53"/>
      <c r="L38" s="53"/>
      <c r="N38" s="225"/>
      <c r="O38" s="472"/>
      <c r="P38" s="479"/>
      <c r="Q38" s="53"/>
      <c r="R38" s="53"/>
      <c r="T38" s="225"/>
      <c r="U38" s="53"/>
      <c r="V38" s="53"/>
      <c r="X38" s="225"/>
      <c r="Y38" s="472"/>
      <c r="Z38" s="479"/>
    </row>
    <row r="39" spans="1:27" ht="13.8" thickBot="1">
      <c r="A39" t="s">
        <v>258</v>
      </c>
      <c r="D39" s="261">
        <f>+D23+D27+D37</f>
        <v>-446725.25</v>
      </c>
      <c r="E39" s="261">
        <f>+E23+E27+E37</f>
        <v>-446725.25</v>
      </c>
      <c r="F39" s="225"/>
      <c r="G39" s="261">
        <f>+G23+G27+G37</f>
        <v>0</v>
      </c>
      <c r="H39" s="261">
        <f>+H23+H27+H37</f>
        <v>0</v>
      </c>
      <c r="I39" s="261">
        <f>+I23+I27+I37</f>
        <v>0</v>
      </c>
      <c r="J39" s="225"/>
      <c r="K39" s="261">
        <f>+K23+K27+K37</f>
        <v>0</v>
      </c>
      <c r="L39" s="261">
        <f>+L23+L27+L37</f>
        <v>0</v>
      </c>
      <c r="M39" s="261">
        <f>+M23+M27+M37</f>
        <v>0</v>
      </c>
      <c r="N39" s="225"/>
      <c r="O39" s="261">
        <f>+O23+O27+O37</f>
        <v>-446725.25</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-446725.25</v>
      </c>
    </row>
    <row r="40" spans="1:27" ht="13.8"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12">
    <pageSetUpPr fitToPage="1"/>
  </sheetPr>
  <dimension ref="A2:AB40"/>
  <sheetViews>
    <sheetView topLeftCell="A13" zoomScaleNormal="100" workbookViewId="0">
      <selection activeCell="D41" sqref="D41"/>
    </sheetView>
  </sheetViews>
  <sheetFormatPr defaultRowHeight="13.2"/>
  <cols>
    <col min="1" max="1" width="12.5546875" customWidth="1"/>
    <col min="2" max="3" width="13.88671875" customWidth="1"/>
    <col min="4" max="5" width="15.44140625" bestFit="1" customWidth="1"/>
    <col min="6" max="6" width="1.44140625" customWidth="1"/>
    <col min="7" max="8" width="15.44140625" customWidth="1"/>
    <col min="9" max="9" width="15.44140625" bestFit="1" customWidth="1"/>
    <col min="10" max="10" width="1.44140625" customWidth="1"/>
    <col min="11" max="12" width="15.44140625" customWidth="1"/>
    <col min="13" max="13" width="13.88671875" bestFit="1" customWidth="1"/>
    <col min="14" max="14" width="1.44140625" customWidth="1"/>
    <col min="15" max="15" width="13.88671875" customWidth="1"/>
    <col min="16" max="16" width="1.44140625" customWidth="1"/>
    <col min="17" max="17" width="14.44140625" bestFit="1" customWidth="1"/>
    <col min="18" max="18" width="13.88671875" bestFit="1" customWidth="1"/>
    <col min="19" max="19" width="14.44140625" bestFit="1" customWidth="1"/>
    <col min="20" max="20" width="1.33203125" customWidth="1"/>
    <col min="21" max="23" width="13.88671875" bestFit="1" customWidth="1"/>
    <col min="24" max="24" width="1.33203125" customWidth="1"/>
    <col min="25" max="25" width="14.44140625" bestFit="1" customWidth="1"/>
    <col min="26" max="26" width="1.44140625" customWidth="1"/>
    <col min="27" max="27" width="14.88671875" customWidth="1"/>
    <col min="28" max="28" width="11.88671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37069</v>
      </c>
      <c r="G3" s="57">
        <f>+$D$10</f>
        <v>37069</v>
      </c>
      <c r="H3" s="57">
        <f>+$D$10</f>
        <v>37069</v>
      </c>
      <c r="K3" s="57">
        <f>+$D$10</f>
        <v>37069</v>
      </c>
      <c r="L3" s="57">
        <f>+$D$10</f>
        <v>37069</v>
      </c>
      <c r="Q3" s="57">
        <f>+$D$10</f>
        <v>37069</v>
      </c>
      <c r="R3" s="57">
        <f>+$D$10</f>
        <v>37069</v>
      </c>
      <c r="U3" s="57">
        <f>+$D$10</f>
        <v>37069</v>
      </c>
      <c r="V3" s="57">
        <f>+$D$10</f>
        <v>37069</v>
      </c>
    </row>
    <row r="4" spans="1:27">
      <c r="A4" t="s">
        <v>342</v>
      </c>
      <c r="C4" s="57"/>
      <c r="D4" s="57">
        <f>IF(+D$18&lt;1,C4,D$18)</f>
        <v>36798</v>
      </c>
      <c r="G4" s="57">
        <f>IF(+G$18&lt;1,D4,G$18)</f>
        <v>36798</v>
      </c>
      <c r="H4" s="57">
        <f>IF(+H$18&lt;1,G4,H$18)</f>
        <v>36889</v>
      </c>
      <c r="K4" s="57">
        <f>IF(+K$18&lt;1,H4,K$18)</f>
        <v>36889</v>
      </c>
      <c r="L4" s="57">
        <f>IF(+L$18&lt;1,K4,L$18)</f>
        <v>36980</v>
      </c>
      <c r="Q4" s="57">
        <f>IF(+Q$18&lt;1,N4,Q$18)</f>
        <v>36980</v>
      </c>
      <c r="R4" s="57">
        <f>IF(+R$18&lt;1,Q4,R$18)</f>
        <v>37071</v>
      </c>
      <c r="U4" s="57">
        <f>IF(+U$18&lt;1,R4,U$18)</f>
        <v>37071</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36704</v>
      </c>
    </row>
    <row r="10" spans="1:27" ht="13.8" thickBot="1">
      <c r="A10" s="200" t="s">
        <v>474</v>
      </c>
      <c r="B10" s="516"/>
      <c r="C10" s="259" t="s">
        <v>175</v>
      </c>
      <c r="D10" s="338">
        <v>37069</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750000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51355725/750000</f>
        <v>68.474299999999999</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36798</v>
      </c>
      <c r="E18" s="141"/>
      <c r="F18" s="469"/>
      <c r="G18" s="141">
        <v>36798</v>
      </c>
      <c r="H18" s="141">
        <v>36889</v>
      </c>
      <c r="I18" s="141"/>
      <c r="J18" s="469"/>
      <c r="K18" s="141">
        <v>36889</v>
      </c>
      <c r="L18" s="141">
        <v>36980</v>
      </c>
      <c r="M18" s="141"/>
      <c r="N18" s="469"/>
      <c r="O18" s="53"/>
      <c r="P18" s="468"/>
      <c r="Q18" s="141">
        <v>36980</v>
      </c>
      <c r="R18" s="141">
        <v>37071</v>
      </c>
      <c r="S18" s="141"/>
      <c r="T18" s="469"/>
      <c r="U18" s="141">
        <v>37071</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51355725</v>
      </c>
      <c r="E21" s="347">
        <f>+D21</f>
        <v>51355725</v>
      </c>
      <c r="F21" s="346"/>
      <c r="G21" s="347">
        <f>+D22</f>
        <v>48375000</v>
      </c>
      <c r="H21" s="347">
        <f>+G22</f>
        <v>48375000</v>
      </c>
      <c r="I21" s="347">
        <f>+E22</f>
        <v>48375000</v>
      </c>
      <c r="J21" s="346"/>
      <c r="K21" s="347">
        <f>+H22</f>
        <v>48375000</v>
      </c>
      <c r="L21" s="347">
        <f>+K22</f>
        <v>48375000</v>
      </c>
      <c r="M21" s="347">
        <f>+I22</f>
        <v>48375000</v>
      </c>
      <c r="N21" s="346"/>
      <c r="O21" s="348"/>
      <c r="P21" s="475"/>
      <c r="Q21" s="347">
        <f>+L22</f>
        <v>48375000</v>
      </c>
      <c r="R21" s="347">
        <f>+Q22</f>
        <v>48375000</v>
      </c>
      <c r="S21" s="347">
        <f>+M22</f>
        <v>48375000</v>
      </c>
      <c r="T21" s="346"/>
      <c r="U21" s="347">
        <f>+Q22</f>
        <v>48375000</v>
      </c>
      <c r="V21" s="347">
        <f>+R22</f>
        <v>48375000</v>
      </c>
      <c r="W21" s="347">
        <f>+S22</f>
        <v>48375000</v>
      </c>
      <c r="X21" s="346"/>
      <c r="Y21" s="348"/>
      <c r="Z21" s="475"/>
      <c r="AA21" s="110"/>
    </row>
    <row r="22" spans="1:28">
      <c r="B22" t="s">
        <v>97</v>
      </c>
      <c r="C22" s="350"/>
      <c r="D22" s="350">
        <f>ROUND(+D14*$B16,2)</f>
        <v>48375000</v>
      </c>
      <c r="E22" s="350">
        <f>ROUND(+E14*$B16,2)</f>
        <v>48375000</v>
      </c>
      <c r="F22" s="346"/>
      <c r="G22" s="350">
        <f>ROUND(+G14*$B16,2)</f>
        <v>48375000</v>
      </c>
      <c r="H22" s="350">
        <f>ROUND(+H14*$B16,2)</f>
        <v>48375000</v>
      </c>
      <c r="I22" s="350">
        <f>ROUND(+I14*$B16,2)</f>
        <v>48375000</v>
      </c>
      <c r="J22" s="346"/>
      <c r="K22" s="350">
        <f>ROUND(+K14*$B16,2)</f>
        <v>48375000</v>
      </c>
      <c r="L22" s="350">
        <f>ROUND(+L14*$B16,2)</f>
        <v>48375000</v>
      </c>
      <c r="M22" s="350">
        <f>ROUND(+M14*$B16,2)</f>
        <v>48375000</v>
      </c>
      <c r="N22" s="346"/>
      <c r="O22" s="476"/>
      <c r="P22" s="475"/>
      <c r="Q22" s="350">
        <f>ROUND(+Q14*$B16,2)</f>
        <v>48375000</v>
      </c>
      <c r="R22" s="350">
        <f>ROUND(+R14*$B16,2)</f>
        <v>48375000</v>
      </c>
      <c r="S22" s="350">
        <f>ROUND(+S14*$B16,2)</f>
        <v>48375000</v>
      </c>
      <c r="T22" s="346"/>
      <c r="U22" s="350">
        <f>ROUND(+U14*$B16,2)</f>
        <v>48375000</v>
      </c>
      <c r="V22" s="350">
        <f>ROUND(+V14*$B16,2)</f>
        <v>48375000</v>
      </c>
      <c r="W22" s="350">
        <f>ROUND(+W14*$B16,2)</f>
        <v>48375000</v>
      </c>
      <c r="X22" s="346"/>
      <c r="Y22" s="476"/>
      <c r="Z22" s="475"/>
      <c r="AA22" s="110"/>
    </row>
    <row r="23" spans="1:28">
      <c r="B23" t="s">
        <v>100</v>
      </c>
      <c r="C23" s="353"/>
      <c r="D23" s="353">
        <f>IF($A$11&lt;=C18,0,-D21+D22)</f>
        <v>-2980725</v>
      </c>
      <c r="E23" s="353">
        <f>SUM(C23:D23)</f>
        <v>-2980725</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-2980725</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-2980725</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1.0500000000000001E-2</v>
      </c>
      <c r="F31" s="225"/>
      <c r="G31" s="550">
        <f>+$D$31</f>
        <v>1.0500000000000001E-2</v>
      </c>
      <c r="H31" s="550">
        <f>+$D$31</f>
        <v>1.0500000000000001E-2</v>
      </c>
      <c r="J31" s="225"/>
      <c r="K31" s="550">
        <f>+$D$31</f>
        <v>1.0500000000000001E-2</v>
      </c>
      <c r="L31" s="550">
        <f>+$D$31</f>
        <v>1.0500000000000001E-2</v>
      </c>
      <c r="N31" s="225"/>
      <c r="O31" s="472"/>
      <c r="P31" s="479"/>
      <c r="Q31" s="550">
        <f>+$D$31</f>
        <v>1.0500000000000001E-2</v>
      </c>
      <c r="R31" s="550">
        <f>+$D$31</f>
        <v>1.0500000000000001E-2</v>
      </c>
      <c r="T31" s="225"/>
      <c r="U31" s="550">
        <f>+$D$31</f>
        <v>1.0500000000000001E-2</v>
      </c>
      <c r="V31" s="550">
        <f>+$D$31</f>
        <v>1.0500000000000001E-2</v>
      </c>
      <c r="X31" s="225"/>
      <c r="Y31" s="472"/>
      <c r="Z31" s="479"/>
    </row>
    <row r="32" spans="1:28">
      <c r="A32" s="208" t="s">
        <v>256</v>
      </c>
      <c r="D32" s="497">
        <f>SUM(D30:D31)</f>
        <v>7.6600000000000001E-2</v>
      </c>
      <c r="F32" s="225"/>
      <c r="G32" s="497">
        <f>SUM(G30:G31)</f>
        <v>7.6600000000000001E-2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36704</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3</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-32782.07</v>
      </c>
      <c r="E37" s="353">
        <f>SUM(C37:D37)</f>
        <v>-32782.07</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-32782.07</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-32782.07</v>
      </c>
    </row>
    <row r="38" spans="1:27">
      <c r="D38" s="53"/>
      <c r="F38" s="225"/>
      <c r="G38" s="53"/>
      <c r="H38" s="53"/>
      <c r="J38" s="225"/>
      <c r="K38" s="53"/>
      <c r="L38" s="53"/>
      <c r="N38" s="225"/>
      <c r="O38" s="472"/>
      <c r="P38" s="479"/>
      <c r="Q38" s="53"/>
      <c r="R38" s="53"/>
      <c r="T38" s="225"/>
      <c r="U38" s="53"/>
      <c r="V38" s="53"/>
      <c r="X38" s="225"/>
      <c r="Y38" s="472"/>
      <c r="Z38" s="479"/>
    </row>
    <row r="39" spans="1:27" ht="13.8" thickBot="1">
      <c r="A39" t="s">
        <v>258</v>
      </c>
      <c r="D39" s="261">
        <f>+D23+D27+D37</f>
        <v>-3013507.07</v>
      </c>
      <c r="E39" s="261">
        <f>+E23+E27+E37</f>
        <v>-3013507.07</v>
      </c>
      <c r="F39" s="225"/>
      <c r="G39" s="261">
        <f>+G23+G27+G37</f>
        <v>0</v>
      </c>
      <c r="H39" s="261">
        <f>+H23+H27+H37</f>
        <v>0</v>
      </c>
      <c r="I39" s="261">
        <f>+I23+I27+I37</f>
        <v>0</v>
      </c>
      <c r="J39" s="225"/>
      <c r="K39" s="261">
        <f>+K23+K27+K37</f>
        <v>0</v>
      </c>
      <c r="L39" s="261">
        <f>+L23+L27+L37</f>
        <v>0</v>
      </c>
      <c r="M39" s="261">
        <f>+M23+M27+M37</f>
        <v>0</v>
      </c>
      <c r="N39" s="225"/>
      <c r="O39" s="261">
        <f>+O23+O27+O37</f>
        <v>-3013507.07</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-3013507.07</v>
      </c>
    </row>
    <row r="40" spans="1:27" ht="13.8"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34</vt:i4>
      </vt:variant>
    </vt:vector>
  </HeadingPairs>
  <TitlesOfParts>
    <vt:vector size="59" baseType="lpstr">
      <vt:lpstr>info for DPR</vt:lpstr>
      <vt:lpstr>Report</vt:lpstr>
      <vt:lpstr>AndyJeff</vt:lpstr>
      <vt:lpstr>Input</vt:lpstr>
      <vt:lpstr>JEDI MTM</vt:lpstr>
      <vt:lpstr>MLCO 6-29 (2)</vt:lpstr>
      <vt:lpstr>MLCO 6-29</vt:lpstr>
      <vt:lpstr>MLCO 6-28</vt:lpstr>
      <vt:lpstr>CFSB 6-27</vt:lpstr>
      <vt:lpstr>Bear Stearns 5-24</vt:lpstr>
      <vt:lpstr>Credit Suisse 4-17</vt:lpstr>
      <vt:lpstr>Credit Suisse 4-6</vt:lpstr>
      <vt:lpstr>Credit Suisse 4-5</vt:lpstr>
      <vt:lpstr>DWR 1304771</vt:lpstr>
      <vt:lpstr>DWR 1305741</vt:lpstr>
      <vt:lpstr>DWR 1304563</vt:lpstr>
      <vt:lpstr>Credit Suisse 5-8</vt:lpstr>
      <vt:lpstr>JEDI Dilution</vt:lpstr>
      <vt:lpstr>Outstanding</vt:lpstr>
      <vt:lpstr>EOG Options</vt:lpstr>
      <vt:lpstr>SBC Warburg</vt:lpstr>
      <vt:lpstr>UBS Forward</vt:lpstr>
      <vt:lpstr>Put Options</vt:lpstr>
      <vt:lpstr>Premium</vt:lpstr>
      <vt:lpstr>VaR</vt:lpstr>
      <vt:lpstr>ECT_Swap_1</vt:lpstr>
      <vt:lpstr>ECT_Swap_2</vt:lpstr>
      <vt:lpstr>LTD</vt:lpstr>
      <vt:lpstr>LTDCopy</vt:lpstr>
      <vt:lpstr>Premium</vt:lpstr>
      <vt:lpstr>AndyJeff!Print_Area</vt:lpstr>
      <vt:lpstr>'Bear Stearns 5-24'!Print_Area</vt:lpstr>
      <vt:lpstr>'CFSB 6-27'!Print_Area</vt:lpstr>
      <vt:lpstr>'Credit Suisse 4-17'!Print_Area</vt:lpstr>
      <vt:lpstr>'Credit Suisse 4-5'!Print_Area</vt:lpstr>
      <vt:lpstr>'Credit Suisse 4-6'!Print_Area</vt:lpstr>
      <vt:lpstr>'Credit Suisse 5-8'!Print_Area</vt:lpstr>
      <vt:lpstr>'DWR 1304771'!Print_Area</vt:lpstr>
      <vt:lpstr>'DWR 1305741'!Print_Area</vt:lpstr>
      <vt:lpstr>'EOG Options'!Print_Area</vt:lpstr>
      <vt:lpstr>'info for DPR'!Print_Area</vt:lpstr>
      <vt:lpstr>'JEDI MTM'!Print_Area</vt:lpstr>
      <vt:lpstr>'MLCO 6-28'!Print_Area</vt:lpstr>
      <vt:lpstr>'MLCO 6-29'!Print_Area</vt:lpstr>
      <vt:lpstr>'MLCO 6-29 (2)'!Print_Area</vt:lpstr>
      <vt:lpstr>Outstanding!Print_Area</vt:lpstr>
      <vt:lpstr>Premium!Print_Area</vt:lpstr>
      <vt:lpstr>'Put Options'!Print_Area</vt:lpstr>
      <vt:lpstr>Report!Print_Area</vt:lpstr>
      <vt:lpstr>'JEDI MTM'!Print_Titles</vt:lpstr>
      <vt:lpstr>Put</vt:lpstr>
      <vt:lpstr>Put_1</vt:lpstr>
      <vt:lpstr>Put_2</vt:lpstr>
      <vt:lpstr>Stock</vt:lpstr>
      <vt:lpstr>Stock10</vt:lpstr>
      <vt:lpstr>Stock11</vt:lpstr>
      <vt:lpstr>Summarys</vt:lpstr>
      <vt:lpstr>Swap</vt:lpstr>
      <vt:lpstr>Swap11</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acopela</dc:creator>
  <cp:lastModifiedBy>Havlíček Jan</cp:lastModifiedBy>
  <cp:lastPrinted>2000-07-17T22:41:52Z</cp:lastPrinted>
  <dcterms:created xsi:type="dcterms:W3CDTF">1999-01-26T16:42:49Z</dcterms:created>
  <dcterms:modified xsi:type="dcterms:W3CDTF">2023-09-10T15:00:07Z</dcterms:modified>
</cp:coreProperties>
</file>