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 activeTab="4"/>
  </bookViews>
  <sheets>
    <sheet name="OAT Inputs" sheetId="6" r:id="rId1"/>
    <sheet name="OAT Cash Flow" sheetId="1" r:id="rId2"/>
    <sheet name="OAT Income Statement" sheetId="2" r:id="rId3"/>
    <sheet name="OAT Balance Sheet" sheetId="3" r:id="rId4"/>
    <sheet name="OAT DCF" sheetId="4" r:id="rId5"/>
    <sheet name="Valuation Summary" sheetId="7" r:id="rId6"/>
    <sheet name="Data" sheetId="5" r:id="rId7"/>
  </sheets>
  <externalReferences>
    <externalReference r:id="rId8"/>
  </externalReferences>
  <calcPr calcId="0"/>
</workbook>
</file>

<file path=xl/calcChain.xml><?xml version="1.0" encoding="utf-8"?>
<calcChain xmlns="http://schemas.openxmlformats.org/spreadsheetml/2006/main">
  <c r="B14" i="5" l="1"/>
  <c r="B15" i="5"/>
  <c r="D15" i="5"/>
  <c r="F15" i="5"/>
  <c r="I5" i="3"/>
  <c r="J5" i="3"/>
  <c r="K5" i="3"/>
  <c r="L5" i="3"/>
  <c r="N5" i="3"/>
  <c r="I6" i="3"/>
  <c r="J6" i="3"/>
  <c r="I7" i="3"/>
  <c r="J7" i="3"/>
  <c r="K7" i="3"/>
  <c r="L7" i="3"/>
  <c r="N7" i="3"/>
  <c r="I9" i="3"/>
  <c r="J9" i="3"/>
  <c r="K9" i="3"/>
  <c r="L9" i="3"/>
  <c r="N9" i="3"/>
  <c r="I10" i="3"/>
  <c r="J10" i="3"/>
  <c r="K10" i="3"/>
  <c r="L10" i="3"/>
  <c r="N10" i="3"/>
  <c r="I11" i="3"/>
  <c r="J11" i="3"/>
  <c r="K11" i="3"/>
  <c r="L11" i="3"/>
  <c r="N11" i="3"/>
  <c r="I13" i="3"/>
  <c r="J13" i="3"/>
  <c r="K13" i="3"/>
  <c r="L13" i="3"/>
  <c r="N13" i="3"/>
  <c r="I14" i="3"/>
  <c r="J14" i="3"/>
  <c r="K14" i="3"/>
  <c r="L14" i="3"/>
  <c r="N14" i="3"/>
  <c r="I16" i="3"/>
  <c r="J16" i="3"/>
  <c r="K16" i="3"/>
  <c r="L16" i="3"/>
  <c r="N16" i="3"/>
  <c r="I18" i="3"/>
  <c r="J18" i="3"/>
  <c r="K18" i="3"/>
  <c r="L18" i="3"/>
  <c r="N18" i="3"/>
  <c r="I19" i="3"/>
  <c r="J19" i="3"/>
  <c r="K19" i="3"/>
  <c r="L19" i="3"/>
  <c r="N19" i="3"/>
  <c r="I20" i="3"/>
  <c r="J20" i="3"/>
  <c r="K20" i="3"/>
  <c r="L20" i="3"/>
  <c r="N20" i="3"/>
  <c r="I22" i="3"/>
  <c r="J22" i="3"/>
  <c r="K22" i="3"/>
  <c r="L22" i="3"/>
  <c r="N22" i="3"/>
  <c r="I23" i="3"/>
  <c r="J23" i="3"/>
  <c r="K23" i="3"/>
  <c r="L23" i="3"/>
  <c r="N23" i="3"/>
  <c r="I25" i="3"/>
  <c r="J25" i="3"/>
  <c r="K25" i="3"/>
  <c r="L25" i="3"/>
  <c r="N25" i="3"/>
  <c r="I26" i="3"/>
  <c r="J26" i="3"/>
  <c r="K26" i="3"/>
  <c r="L26" i="3"/>
  <c r="N26" i="3"/>
  <c r="I27" i="3"/>
  <c r="J27" i="3"/>
  <c r="K27" i="3"/>
  <c r="L27" i="3"/>
  <c r="N27" i="3"/>
  <c r="I29" i="3"/>
  <c r="J29" i="3"/>
  <c r="K29" i="3"/>
  <c r="L29" i="3"/>
  <c r="N29" i="3"/>
  <c r="I33" i="3"/>
  <c r="J33" i="3"/>
  <c r="K33" i="3"/>
  <c r="L33" i="3"/>
  <c r="N33" i="3"/>
  <c r="I34" i="3"/>
  <c r="J34" i="3"/>
  <c r="K34" i="3"/>
  <c r="L34" i="3"/>
  <c r="N34" i="3"/>
  <c r="I35" i="3"/>
  <c r="J35" i="3"/>
  <c r="K35" i="3"/>
  <c r="L35" i="3"/>
  <c r="N35" i="3"/>
  <c r="I36" i="3"/>
  <c r="J36" i="3"/>
  <c r="K36" i="3"/>
  <c r="L36" i="3"/>
  <c r="N36" i="3"/>
  <c r="I37" i="3"/>
  <c r="J37" i="3"/>
  <c r="K37" i="3"/>
  <c r="L37" i="3"/>
  <c r="N37" i="3"/>
  <c r="I38" i="3"/>
  <c r="J38" i="3"/>
  <c r="K38" i="3"/>
  <c r="L38" i="3"/>
  <c r="N38" i="3"/>
  <c r="I39" i="3"/>
  <c r="J39" i="3"/>
  <c r="K39" i="3"/>
  <c r="L39" i="3"/>
  <c r="N39" i="3"/>
  <c r="I41" i="3"/>
  <c r="J41" i="3"/>
  <c r="K41" i="3"/>
  <c r="L41" i="3"/>
  <c r="N41" i="3"/>
  <c r="I42" i="3"/>
  <c r="J42" i="3"/>
  <c r="K42" i="3"/>
  <c r="L42" i="3"/>
  <c r="N42" i="3"/>
  <c r="I43" i="3"/>
  <c r="J43" i="3"/>
  <c r="K43" i="3"/>
  <c r="L43" i="3"/>
  <c r="N43" i="3"/>
  <c r="I53" i="3"/>
  <c r="J53" i="3"/>
  <c r="K53" i="3"/>
  <c r="L53" i="3"/>
  <c r="N53" i="3"/>
  <c r="I54" i="3"/>
  <c r="J54" i="3"/>
  <c r="K54" i="3"/>
  <c r="N54" i="3"/>
  <c r="I55" i="3"/>
  <c r="J55" i="3"/>
  <c r="K55" i="3"/>
  <c r="L55" i="3"/>
  <c r="N55" i="3"/>
  <c r="I56" i="3"/>
  <c r="J56" i="3"/>
  <c r="K56" i="3"/>
  <c r="L56" i="3"/>
  <c r="N56" i="3"/>
  <c r="I57" i="3"/>
  <c r="J57" i="3"/>
  <c r="K57" i="3"/>
  <c r="L57" i="3"/>
  <c r="N57" i="3"/>
  <c r="I58" i="3"/>
  <c r="J58" i="3"/>
  <c r="K58" i="3"/>
  <c r="L58" i="3"/>
  <c r="N58" i="3"/>
  <c r="I60" i="3"/>
  <c r="J60" i="3"/>
  <c r="K60" i="3"/>
  <c r="L60" i="3"/>
  <c r="N60" i="3"/>
  <c r="I62" i="3"/>
  <c r="J62" i="3"/>
  <c r="K62" i="3"/>
  <c r="L62" i="3"/>
  <c r="N62" i="3"/>
  <c r="J68" i="3"/>
  <c r="K68" i="3"/>
  <c r="L68" i="3"/>
  <c r="M68" i="3"/>
  <c r="N68" i="3"/>
  <c r="O68" i="3"/>
  <c r="P68" i="3"/>
  <c r="Q68" i="3"/>
  <c r="R68" i="3"/>
  <c r="B70" i="3"/>
  <c r="C70" i="3"/>
  <c r="D70" i="3"/>
  <c r="E70" i="3"/>
  <c r="F70" i="3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B74" i="3"/>
  <c r="C74" i="3"/>
  <c r="D74" i="3"/>
  <c r="E74" i="3"/>
  <c r="F74" i="3"/>
  <c r="G74" i="3"/>
  <c r="B75" i="3"/>
  <c r="C75" i="3"/>
  <c r="D75" i="3"/>
  <c r="E75" i="3"/>
  <c r="F75" i="3"/>
  <c r="G75" i="3"/>
  <c r="B76" i="3"/>
  <c r="C76" i="3"/>
  <c r="D76" i="3"/>
  <c r="E76" i="3"/>
  <c r="F76" i="3"/>
  <c r="G76" i="3"/>
  <c r="B78" i="3"/>
  <c r="C78" i="3"/>
  <c r="D78" i="3"/>
  <c r="E78" i="3"/>
  <c r="F78" i="3"/>
  <c r="G78" i="3"/>
  <c r="B79" i="3"/>
  <c r="C79" i="3"/>
  <c r="D79" i="3"/>
  <c r="E79" i="3"/>
  <c r="F79" i="3"/>
  <c r="G79" i="3"/>
  <c r="B81" i="3"/>
  <c r="C81" i="3"/>
  <c r="D81" i="3"/>
  <c r="E81" i="3"/>
  <c r="F81" i="3"/>
  <c r="G81" i="3"/>
  <c r="I81" i="3"/>
  <c r="J81" i="3"/>
  <c r="K81" i="3"/>
  <c r="L81" i="3"/>
  <c r="M81" i="3"/>
  <c r="N81" i="3"/>
  <c r="O81" i="3"/>
  <c r="P81" i="3"/>
  <c r="Q81" i="3"/>
  <c r="R81" i="3"/>
  <c r="B82" i="3"/>
  <c r="C82" i="3"/>
  <c r="D82" i="3"/>
  <c r="E82" i="3"/>
  <c r="F82" i="3"/>
  <c r="G82" i="3"/>
  <c r="B83" i="3"/>
  <c r="C83" i="3"/>
  <c r="D83" i="3"/>
  <c r="E83" i="3"/>
  <c r="F83" i="3"/>
  <c r="G83" i="3"/>
  <c r="B84" i="3"/>
  <c r="C84" i="3"/>
  <c r="D84" i="3"/>
  <c r="E84" i="3"/>
  <c r="F84" i="3"/>
  <c r="G84" i="3"/>
  <c r="B85" i="3"/>
  <c r="C85" i="3"/>
  <c r="D85" i="3"/>
  <c r="E85" i="3"/>
  <c r="F85" i="3"/>
  <c r="G85" i="3"/>
  <c r="B87" i="3"/>
  <c r="C87" i="3"/>
  <c r="D87" i="3"/>
  <c r="E87" i="3"/>
  <c r="F87" i="3"/>
  <c r="G87" i="3"/>
  <c r="I87" i="3"/>
  <c r="J87" i="3"/>
  <c r="K87" i="3"/>
  <c r="L87" i="3"/>
  <c r="M87" i="3"/>
  <c r="N87" i="3"/>
  <c r="O87" i="3"/>
  <c r="P87" i="3"/>
  <c r="Q87" i="3"/>
  <c r="R87" i="3"/>
  <c r="B88" i="3"/>
  <c r="C88" i="3"/>
  <c r="D88" i="3"/>
  <c r="E88" i="3"/>
  <c r="F88" i="3"/>
  <c r="G88" i="3"/>
  <c r="B90" i="3"/>
  <c r="C90" i="3"/>
  <c r="D90" i="3"/>
  <c r="E90" i="3"/>
  <c r="F90" i="3"/>
  <c r="G90" i="3"/>
  <c r="I90" i="3"/>
  <c r="J90" i="3"/>
  <c r="K90" i="3"/>
  <c r="L90" i="3"/>
  <c r="M90" i="3"/>
  <c r="N90" i="3"/>
  <c r="O90" i="3"/>
  <c r="P90" i="3"/>
  <c r="Q90" i="3"/>
  <c r="R90" i="3"/>
  <c r="B91" i="3"/>
  <c r="C91" i="3"/>
  <c r="D91" i="3"/>
  <c r="E91" i="3"/>
  <c r="F91" i="3"/>
  <c r="G91" i="3"/>
  <c r="I91" i="3"/>
  <c r="J91" i="3"/>
  <c r="K91" i="3"/>
  <c r="L91" i="3"/>
  <c r="M91" i="3"/>
  <c r="N91" i="3"/>
  <c r="O91" i="3"/>
  <c r="P91" i="3"/>
  <c r="Q91" i="3"/>
  <c r="R91" i="3"/>
  <c r="B92" i="3"/>
  <c r="C92" i="3"/>
  <c r="D92" i="3"/>
  <c r="E92" i="3"/>
  <c r="F92" i="3"/>
  <c r="G92" i="3"/>
  <c r="I92" i="3"/>
  <c r="J92" i="3"/>
  <c r="K92" i="3"/>
  <c r="L92" i="3"/>
  <c r="M92" i="3"/>
  <c r="N92" i="3"/>
  <c r="O92" i="3"/>
  <c r="P92" i="3"/>
  <c r="Q92" i="3"/>
  <c r="R92" i="3"/>
  <c r="B94" i="3"/>
  <c r="C94" i="3"/>
  <c r="D94" i="3"/>
  <c r="E94" i="3"/>
  <c r="F94" i="3"/>
  <c r="G94" i="3"/>
  <c r="I94" i="3"/>
  <c r="J94" i="3"/>
  <c r="K94" i="3"/>
  <c r="L94" i="3"/>
  <c r="M94" i="3"/>
  <c r="N94" i="3"/>
  <c r="O94" i="3"/>
  <c r="P94" i="3"/>
  <c r="Q94" i="3"/>
  <c r="R94" i="3"/>
  <c r="B98" i="3"/>
  <c r="C98" i="3"/>
  <c r="D98" i="3"/>
  <c r="E98" i="3"/>
  <c r="F98" i="3"/>
  <c r="G98" i="3"/>
  <c r="I98" i="3"/>
  <c r="J98" i="3"/>
  <c r="K98" i="3"/>
  <c r="L98" i="3"/>
  <c r="M98" i="3"/>
  <c r="N98" i="3"/>
  <c r="O98" i="3"/>
  <c r="P98" i="3"/>
  <c r="Q98" i="3"/>
  <c r="R98" i="3"/>
  <c r="B99" i="3"/>
  <c r="C99" i="3"/>
  <c r="D99" i="3"/>
  <c r="E99" i="3"/>
  <c r="F99" i="3"/>
  <c r="G99" i="3"/>
  <c r="I99" i="3"/>
  <c r="J99" i="3"/>
  <c r="K99" i="3"/>
  <c r="L99" i="3"/>
  <c r="M99" i="3"/>
  <c r="N99" i="3"/>
  <c r="O99" i="3"/>
  <c r="P99" i="3"/>
  <c r="Q99" i="3"/>
  <c r="R99" i="3"/>
  <c r="B100" i="3"/>
  <c r="C100" i="3"/>
  <c r="D100" i="3"/>
  <c r="E100" i="3"/>
  <c r="F100" i="3"/>
  <c r="G100" i="3"/>
  <c r="I100" i="3"/>
  <c r="J100" i="3"/>
  <c r="K100" i="3"/>
  <c r="L100" i="3"/>
  <c r="M100" i="3"/>
  <c r="N100" i="3"/>
  <c r="O100" i="3"/>
  <c r="P100" i="3"/>
  <c r="Q100" i="3"/>
  <c r="R100" i="3"/>
  <c r="B101" i="3"/>
  <c r="C101" i="3"/>
  <c r="D101" i="3"/>
  <c r="E101" i="3"/>
  <c r="F101" i="3"/>
  <c r="G101" i="3"/>
  <c r="I101" i="3"/>
  <c r="J101" i="3"/>
  <c r="K101" i="3"/>
  <c r="L101" i="3"/>
  <c r="M101" i="3"/>
  <c r="N101" i="3"/>
  <c r="O101" i="3"/>
  <c r="P101" i="3"/>
  <c r="Q101" i="3"/>
  <c r="R101" i="3"/>
  <c r="B102" i="3"/>
  <c r="C102" i="3"/>
  <c r="D102" i="3"/>
  <c r="E102" i="3"/>
  <c r="F102" i="3"/>
  <c r="G102" i="3"/>
  <c r="I102" i="3"/>
  <c r="J102" i="3"/>
  <c r="K102" i="3"/>
  <c r="L102" i="3"/>
  <c r="M102" i="3"/>
  <c r="N102" i="3"/>
  <c r="O102" i="3"/>
  <c r="P102" i="3"/>
  <c r="Q102" i="3"/>
  <c r="R102" i="3"/>
  <c r="B103" i="3"/>
  <c r="C103" i="3"/>
  <c r="D103" i="3"/>
  <c r="E103" i="3"/>
  <c r="F103" i="3"/>
  <c r="G103" i="3"/>
  <c r="I103" i="3"/>
  <c r="J103" i="3"/>
  <c r="K103" i="3"/>
  <c r="L103" i="3"/>
  <c r="M103" i="3"/>
  <c r="N103" i="3"/>
  <c r="O103" i="3"/>
  <c r="P103" i="3"/>
  <c r="Q103" i="3"/>
  <c r="R103" i="3"/>
  <c r="B104" i="3"/>
  <c r="C104" i="3"/>
  <c r="D104" i="3"/>
  <c r="E104" i="3"/>
  <c r="F104" i="3"/>
  <c r="G104" i="3"/>
  <c r="I104" i="3"/>
  <c r="J104" i="3"/>
  <c r="K104" i="3"/>
  <c r="L104" i="3"/>
  <c r="M104" i="3"/>
  <c r="N104" i="3"/>
  <c r="O104" i="3"/>
  <c r="P104" i="3"/>
  <c r="Q104" i="3"/>
  <c r="R104" i="3"/>
  <c r="B106" i="3"/>
  <c r="C106" i="3"/>
  <c r="D106" i="3"/>
  <c r="E106" i="3"/>
  <c r="F106" i="3"/>
  <c r="G106" i="3"/>
  <c r="M106" i="3"/>
  <c r="N106" i="3"/>
  <c r="O106" i="3"/>
  <c r="P106" i="3"/>
  <c r="Q106" i="3"/>
  <c r="R106" i="3"/>
  <c r="B107" i="3"/>
  <c r="C107" i="3"/>
  <c r="D107" i="3"/>
  <c r="E107" i="3"/>
  <c r="F107" i="3"/>
  <c r="G107" i="3"/>
  <c r="B108" i="3"/>
  <c r="C108" i="3"/>
  <c r="D108" i="3"/>
  <c r="E108" i="3"/>
  <c r="F108" i="3"/>
  <c r="G108" i="3"/>
  <c r="I108" i="3"/>
  <c r="J108" i="3"/>
  <c r="K108" i="3"/>
  <c r="L108" i="3"/>
  <c r="M108" i="3"/>
  <c r="N108" i="3"/>
  <c r="O108" i="3"/>
  <c r="P108" i="3"/>
  <c r="Q108" i="3"/>
  <c r="R108" i="3"/>
  <c r="B112" i="3"/>
  <c r="C112" i="3"/>
  <c r="D112" i="3"/>
  <c r="E112" i="3"/>
  <c r="F112" i="3"/>
  <c r="G112" i="3"/>
  <c r="B113" i="3"/>
  <c r="C113" i="3"/>
  <c r="D113" i="3"/>
  <c r="E113" i="3"/>
  <c r="F113" i="3"/>
  <c r="G113" i="3"/>
  <c r="B115" i="3"/>
  <c r="C115" i="3"/>
  <c r="D115" i="3"/>
  <c r="E115" i="3"/>
  <c r="F115" i="3"/>
  <c r="G115" i="3"/>
  <c r="B118" i="3"/>
  <c r="C118" i="3"/>
  <c r="D118" i="3"/>
  <c r="E118" i="3"/>
  <c r="F118" i="3"/>
  <c r="G118" i="3"/>
  <c r="B119" i="3"/>
  <c r="C119" i="3"/>
  <c r="D119" i="3"/>
  <c r="E119" i="3"/>
  <c r="G119" i="3"/>
  <c r="B120" i="3"/>
  <c r="C120" i="3"/>
  <c r="D120" i="3"/>
  <c r="E120" i="3"/>
  <c r="F120" i="3"/>
  <c r="G120" i="3"/>
  <c r="B121" i="3"/>
  <c r="C121" i="3"/>
  <c r="D121" i="3"/>
  <c r="E121" i="3"/>
  <c r="F121" i="3"/>
  <c r="G121" i="3"/>
  <c r="B122" i="3"/>
  <c r="C122" i="3"/>
  <c r="D122" i="3"/>
  <c r="E122" i="3"/>
  <c r="F122" i="3"/>
  <c r="G122" i="3"/>
  <c r="B123" i="3"/>
  <c r="C123" i="3"/>
  <c r="D123" i="3"/>
  <c r="E123" i="3"/>
  <c r="F123" i="3"/>
  <c r="G123" i="3"/>
  <c r="B125" i="3"/>
  <c r="C125" i="3"/>
  <c r="D125" i="3"/>
  <c r="E125" i="3"/>
  <c r="F125" i="3"/>
  <c r="G125" i="3"/>
  <c r="B127" i="3"/>
  <c r="C127" i="3"/>
  <c r="D127" i="3"/>
  <c r="E127" i="3"/>
  <c r="F127" i="3"/>
  <c r="G127" i="3"/>
  <c r="C7" i="4"/>
  <c r="E7" i="4"/>
  <c r="F7" i="4"/>
  <c r="G7" i="4"/>
  <c r="H7" i="4"/>
  <c r="I7" i="4"/>
  <c r="J7" i="4"/>
  <c r="K7" i="4"/>
  <c r="L7" i="4"/>
  <c r="M7" i="4"/>
  <c r="N7" i="4"/>
  <c r="B8" i="4"/>
  <c r="C8" i="4"/>
  <c r="E8" i="4"/>
  <c r="F8" i="4"/>
  <c r="G8" i="4"/>
  <c r="H8" i="4"/>
  <c r="I8" i="4"/>
  <c r="J8" i="4"/>
  <c r="K8" i="4"/>
  <c r="L8" i="4"/>
  <c r="M8" i="4"/>
  <c r="N8" i="4"/>
  <c r="B9" i="4"/>
  <c r="C9" i="4"/>
  <c r="E9" i="4"/>
  <c r="F9" i="4"/>
  <c r="G9" i="4"/>
  <c r="H9" i="4"/>
  <c r="I9" i="4"/>
  <c r="J9" i="4"/>
  <c r="K9" i="4"/>
  <c r="L9" i="4"/>
  <c r="M9" i="4"/>
  <c r="N9" i="4"/>
  <c r="B10" i="4"/>
  <c r="C10" i="4"/>
  <c r="E10" i="4"/>
  <c r="F10" i="4"/>
  <c r="G10" i="4"/>
  <c r="H10" i="4"/>
  <c r="I10" i="4"/>
  <c r="J10" i="4"/>
  <c r="K10" i="4"/>
  <c r="L10" i="4"/>
  <c r="M10" i="4"/>
  <c r="N10" i="4"/>
  <c r="B11" i="4"/>
  <c r="C11" i="4"/>
  <c r="E11" i="4"/>
  <c r="F11" i="4"/>
  <c r="G11" i="4"/>
  <c r="H11" i="4"/>
  <c r="I11" i="4"/>
  <c r="J11" i="4"/>
  <c r="K11" i="4"/>
  <c r="L11" i="4"/>
  <c r="M11" i="4"/>
  <c r="N11" i="4"/>
  <c r="B12" i="4"/>
  <c r="C12" i="4"/>
  <c r="E12" i="4"/>
  <c r="F12" i="4"/>
  <c r="G12" i="4"/>
  <c r="H12" i="4"/>
  <c r="I12" i="4"/>
  <c r="J12" i="4"/>
  <c r="K12" i="4"/>
  <c r="L12" i="4"/>
  <c r="M12" i="4"/>
  <c r="N12" i="4"/>
  <c r="E13" i="4"/>
  <c r="F13" i="4"/>
  <c r="G13" i="4"/>
  <c r="H13" i="4"/>
  <c r="I13" i="4"/>
  <c r="J13" i="4"/>
  <c r="K13" i="4"/>
  <c r="L13" i="4"/>
  <c r="M13" i="4"/>
  <c r="N13" i="4"/>
  <c r="B14" i="4"/>
  <c r="C14" i="4"/>
  <c r="E14" i="4"/>
  <c r="F14" i="4"/>
  <c r="G14" i="4"/>
  <c r="H14" i="4"/>
  <c r="I14" i="4"/>
  <c r="J14" i="4"/>
  <c r="K14" i="4"/>
  <c r="L14" i="4"/>
  <c r="M14" i="4"/>
  <c r="N14" i="4"/>
  <c r="B15" i="4"/>
  <c r="C15" i="4"/>
  <c r="B16" i="4"/>
  <c r="C16" i="4"/>
  <c r="E16" i="4"/>
  <c r="F16" i="4"/>
  <c r="G16" i="4"/>
  <c r="H16" i="4"/>
  <c r="I16" i="4"/>
  <c r="J16" i="4"/>
  <c r="K16" i="4"/>
  <c r="L16" i="4"/>
  <c r="M16" i="4"/>
  <c r="N16" i="4"/>
  <c r="B17" i="4"/>
  <c r="C17" i="4"/>
  <c r="E17" i="4"/>
  <c r="F17" i="4"/>
  <c r="G17" i="4"/>
  <c r="H17" i="4"/>
  <c r="I17" i="4"/>
  <c r="J17" i="4"/>
  <c r="K17" i="4"/>
  <c r="L17" i="4"/>
  <c r="M17" i="4"/>
  <c r="N17" i="4"/>
  <c r="B18" i="4"/>
  <c r="C18" i="4"/>
  <c r="B19" i="4"/>
  <c r="C19" i="4"/>
  <c r="E19" i="4"/>
  <c r="F19" i="4"/>
  <c r="G19" i="4"/>
  <c r="H19" i="4"/>
  <c r="I19" i="4"/>
  <c r="J19" i="4"/>
  <c r="K19" i="4"/>
  <c r="L19" i="4"/>
  <c r="M19" i="4"/>
  <c r="N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B21" i="4"/>
  <c r="C21" i="4"/>
  <c r="E21" i="4"/>
  <c r="F21" i="4"/>
  <c r="G21" i="4"/>
  <c r="H21" i="4"/>
  <c r="I21" i="4"/>
  <c r="J21" i="4"/>
  <c r="K21" i="4"/>
  <c r="L21" i="4"/>
  <c r="M21" i="4"/>
  <c r="N21" i="4"/>
  <c r="B22" i="4"/>
  <c r="C22" i="4"/>
  <c r="E22" i="4"/>
  <c r="F22" i="4"/>
  <c r="G22" i="4"/>
  <c r="H22" i="4"/>
  <c r="I22" i="4"/>
  <c r="J22" i="4"/>
  <c r="K22" i="4"/>
  <c r="L22" i="4"/>
  <c r="M22" i="4"/>
  <c r="N22" i="4"/>
  <c r="B23" i="4"/>
  <c r="C23" i="4"/>
  <c r="E23" i="4"/>
  <c r="F23" i="4"/>
  <c r="G23" i="4"/>
  <c r="H23" i="4"/>
  <c r="I23" i="4"/>
  <c r="J23" i="4"/>
  <c r="K23" i="4"/>
  <c r="L23" i="4"/>
  <c r="M23" i="4"/>
  <c r="N23" i="4"/>
  <c r="B24" i="4"/>
  <c r="C24" i="4"/>
  <c r="E24" i="4"/>
  <c r="F24" i="4"/>
  <c r="G24" i="4"/>
  <c r="H24" i="4"/>
  <c r="I24" i="4"/>
  <c r="J24" i="4"/>
  <c r="K24" i="4"/>
  <c r="L24" i="4"/>
  <c r="M24" i="4"/>
  <c r="N24" i="4"/>
  <c r="B25" i="4"/>
  <c r="C25" i="4"/>
  <c r="B26" i="4"/>
  <c r="C26" i="4"/>
  <c r="B27" i="4"/>
  <c r="C27" i="4"/>
  <c r="E27" i="4"/>
  <c r="F27" i="4"/>
  <c r="G27" i="4"/>
  <c r="H27" i="4"/>
  <c r="I27" i="4"/>
  <c r="J27" i="4"/>
  <c r="K27" i="4"/>
  <c r="L27" i="4"/>
  <c r="M27" i="4"/>
  <c r="N27" i="4"/>
  <c r="B28" i="4"/>
  <c r="C28" i="4"/>
  <c r="E28" i="4"/>
  <c r="F28" i="4"/>
  <c r="G28" i="4"/>
  <c r="H28" i="4"/>
  <c r="I28" i="4"/>
  <c r="J28" i="4"/>
  <c r="K28" i="4"/>
  <c r="L28" i="4"/>
  <c r="M28" i="4"/>
  <c r="N28" i="4"/>
  <c r="B30" i="4"/>
  <c r="C30" i="4"/>
  <c r="E30" i="4"/>
  <c r="F30" i="4"/>
  <c r="G30" i="4"/>
  <c r="H30" i="4"/>
  <c r="I30" i="4"/>
  <c r="J30" i="4"/>
  <c r="K30" i="4"/>
  <c r="L30" i="4"/>
  <c r="M30" i="4"/>
  <c r="N30" i="4"/>
  <c r="B31" i="4"/>
  <c r="C31" i="4"/>
  <c r="E31" i="4"/>
  <c r="G31" i="4"/>
  <c r="H31" i="4"/>
  <c r="I31" i="4"/>
  <c r="J31" i="4"/>
  <c r="K31" i="4"/>
  <c r="L31" i="4"/>
  <c r="M31" i="4"/>
  <c r="N31" i="4"/>
  <c r="B32" i="4"/>
  <c r="C32" i="4"/>
  <c r="E32" i="4"/>
  <c r="F32" i="4"/>
  <c r="G32" i="4"/>
  <c r="H32" i="4"/>
  <c r="I32" i="4"/>
  <c r="J32" i="4"/>
  <c r="K32" i="4"/>
  <c r="L32" i="4"/>
  <c r="M32" i="4"/>
  <c r="N32" i="4"/>
  <c r="B33" i="4"/>
  <c r="C33" i="4"/>
  <c r="E33" i="4"/>
  <c r="F33" i="4"/>
  <c r="G33" i="4"/>
  <c r="H33" i="4"/>
  <c r="I33" i="4"/>
  <c r="J33" i="4"/>
  <c r="K33" i="4"/>
  <c r="L33" i="4"/>
  <c r="M33" i="4"/>
  <c r="N33" i="4"/>
  <c r="B34" i="4"/>
  <c r="C34" i="4"/>
  <c r="E34" i="4"/>
  <c r="F34" i="4"/>
  <c r="G34" i="4"/>
  <c r="H34" i="4"/>
  <c r="I34" i="4"/>
  <c r="J34" i="4"/>
  <c r="K34" i="4"/>
  <c r="L34" i="4"/>
  <c r="M34" i="4"/>
  <c r="N34" i="4"/>
  <c r="B35" i="4"/>
  <c r="C35" i="4"/>
  <c r="E35" i="4"/>
  <c r="F35" i="4"/>
  <c r="G35" i="4"/>
  <c r="H35" i="4"/>
  <c r="I35" i="4"/>
  <c r="J35" i="4"/>
  <c r="K35" i="4"/>
  <c r="L35" i="4"/>
  <c r="M35" i="4"/>
  <c r="N35" i="4"/>
  <c r="B36" i="4"/>
  <c r="C36" i="4"/>
  <c r="E36" i="4"/>
  <c r="F36" i="4"/>
  <c r="G36" i="4"/>
  <c r="H36" i="4"/>
  <c r="I36" i="4"/>
  <c r="J36" i="4"/>
  <c r="K36" i="4"/>
  <c r="L36" i="4"/>
  <c r="M36" i="4"/>
  <c r="N36" i="4"/>
  <c r="B37" i="4"/>
  <c r="C37" i="4"/>
  <c r="E37" i="4"/>
  <c r="F37" i="4"/>
  <c r="G37" i="4"/>
  <c r="H37" i="4"/>
  <c r="I37" i="4"/>
  <c r="J37" i="4"/>
  <c r="K37" i="4"/>
  <c r="L37" i="4"/>
  <c r="M37" i="4"/>
  <c r="N37" i="4"/>
  <c r="C38" i="4"/>
  <c r="N38" i="4"/>
  <c r="E39" i="4"/>
  <c r="F39" i="4"/>
  <c r="G39" i="4"/>
  <c r="H39" i="4"/>
  <c r="I39" i="4"/>
  <c r="J39" i="4"/>
  <c r="K39" i="4"/>
  <c r="L39" i="4"/>
  <c r="M39" i="4"/>
  <c r="N39" i="4"/>
  <c r="C41" i="4"/>
  <c r="E41" i="4"/>
  <c r="G41" i="4"/>
  <c r="H41" i="4"/>
  <c r="E42" i="4"/>
  <c r="E44" i="4"/>
  <c r="E45" i="4"/>
  <c r="E46" i="4"/>
  <c r="B52" i="4"/>
  <c r="C52" i="4"/>
  <c r="E52" i="4"/>
  <c r="F52" i="4"/>
  <c r="G52" i="4"/>
  <c r="H52" i="4"/>
  <c r="I52" i="4"/>
  <c r="J52" i="4"/>
  <c r="K52" i="4"/>
  <c r="L52" i="4"/>
  <c r="M52" i="4"/>
  <c r="N52" i="4"/>
  <c r="B53" i="4"/>
  <c r="C53" i="4"/>
  <c r="E53" i="4"/>
  <c r="F53" i="4"/>
  <c r="G53" i="4"/>
  <c r="H53" i="4"/>
  <c r="I53" i="4"/>
  <c r="J53" i="4"/>
  <c r="K53" i="4"/>
  <c r="L53" i="4"/>
  <c r="M53" i="4"/>
  <c r="N53" i="4"/>
  <c r="B54" i="4"/>
  <c r="C54" i="4"/>
  <c r="E54" i="4"/>
  <c r="F54" i="4"/>
  <c r="G54" i="4"/>
  <c r="H54" i="4"/>
  <c r="I54" i="4"/>
  <c r="J54" i="4"/>
  <c r="K54" i="4"/>
  <c r="L54" i="4"/>
  <c r="M54" i="4"/>
  <c r="N54" i="4"/>
  <c r="B55" i="4"/>
  <c r="C55" i="4"/>
  <c r="E55" i="4"/>
  <c r="F55" i="4"/>
  <c r="G55" i="4"/>
  <c r="H55" i="4"/>
  <c r="I55" i="4"/>
  <c r="J55" i="4"/>
  <c r="K55" i="4"/>
  <c r="L55" i="4"/>
  <c r="M55" i="4"/>
  <c r="N55" i="4"/>
  <c r="B56" i="4"/>
  <c r="C56" i="4"/>
  <c r="E56" i="4"/>
  <c r="F56" i="4"/>
  <c r="G56" i="4"/>
  <c r="H56" i="4"/>
  <c r="I56" i="4"/>
  <c r="J56" i="4"/>
  <c r="K56" i="4"/>
  <c r="L56" i="4"/>
  <c r="M56" i="4"/>
  <c r="N56" i="4"/>
  <c r="B58" i="4"/>
  <c r="C58" i="4"/>
  <c r="E58" i="4"/>
  <c r="F58" i="4"/>
  <c r="G58" i="4"/>
  <c r="H58" i="4"/>
  <c r="I58" i="4"/>
  <c r="J58" i="4"/>
  <c r="K58" i="4"/>
  <c r="L58" i="4"/>
  <c r="M58" i="4"/>
  <c r="N58" i="4"/>
  <c r="B59" i="4"/>
  <c r="C59" i="4"/>
  <c r="E59" i="4"/>
  <c r="F59" i="4"/>
  <c r="G59" i="4"/>
  <c r="H59" i="4"/>
  <c r="I59" i="4"/>
  <c r="J59" i="4"/>
  <c r="K59" i="4"/>
  <c r="L59" i="4"/>
  <c r="M59" i="4"/>
  <c r="N59" i="4"/>
  <c r="B60" i="4"/>
  <c r="C60" i="4"/>
  <c r="E60" i="4"/>
  <c r="F60" i="4"/>
  <c r="G60" i="4"/>
  <c r="H60" i="4"/>
  <c r="I60" i="4"/>
  <c r="J60" i="4"/>
  <c r="K60" i="4"/>
  <c r="L60" i="4"/>
  <c r="M60" i="4"/>
  <c r="N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B62" i="4"/>
  <c r="C62" i="4"/>
  <c r="E62" i="4"/>
  <c r="F62" i="4"/>
  <c r="G62" i="4"/>
  <c r="H62" i="4"/>
  <c r="I62" i="4"/>
  <c r="J62" i="4"/>
  <c r="K62" i="4"/>
  <c r="L62" i="4"/>
  <c r="M62" i="4"/>
  <c r="N62" i="4"/>
  <c r="B63" i="4"/>
  <c r="C63" i="4"/>
  <c r="E63" i="4"/>
  <c r="F63" i="4"/>
  <c r="G63" i="4"/>
  <c r="H63" i="4"/>
  <c r="I63" i="4"/>
  <c r="J63" i="4"/>
  <c r="K63" i="4"/>
  <c r="L63" i="4"/>
  <c r="M63" i="4"/>
  <c r="N63" i="4"/>
  <c r="B65" i="4"/>
  <c r="C65" i="4"/>
  <c r="E65" i="4"/>
  <c r="F65" i="4"/>
  <c r="G65" i="4"/>
  <c r="H65" i="4"/>
  <c r="I65" i="4"/>
  <c r="J65" i="4"/>
  <c r="K65" i="4"/>
  <c r="L65" i="4"/>
  <c r="M65" i="4"/>
  <c r="N65" i="4"/>
  <c r="B66" i="4"/>
  <c r="C66" i="4"/>
  <c r="E66" i="4"/>
  <c r="F66" i="4"/>
  <c r="G66" i="4"/>
  <c r="H66" i="4"/>
  <c r="I66" i="4"/>
  <c r="J66" i="4"/>
  <c r="K66" i="4"/>
  <c r="L66" i="4"/>
  <c r="M66" i="4"/>
  <c r="N66" i="4"/>
  <c r="B67" i="4"/>
  <c r="C67" i="4"/>
  <c r="E67" i="4"/>
  <c r="F67" i="4"/>
  <c r="G67" i="4"/>
  <c r="H67" i="4"/>
  <c r="I67" i="4"/>
  <c r="J67" i="4"/>
  <c r="K67" i="4"/>
  <c r="L67" i="4"/>
  <c r="M67" i="4"/>
  <c r="N67" i="4"/>
  <c r="B69" i="4"/>
  <c r="C69" i="4"/>
  <c r="E69" i="4"/>
  <c r="F69" i="4"/>
  <c r="G69" i="4"/>
  <c r="H69" i="4"/>
  <c r="I69" i="4"/>
  <c r="J69" i="4"/>
  <c r="K69" i="4"/>
  <c r="L69" i="4"/>
  <c r="M69" i="4"/>
  <c r="N69" i="4"/>
  <c r="B70" i="4"/>
  <c r="C70" i="4"/>
  <c r="E70" i="4"/>
  <c r="F70" i="4"/>
  <c r="G70" i="4"/>
  <c r="H70" i="4"/>
  <c r="I70" i="4"/>
  <c r="J70" i="4"/>
  <c r="K70" i="4"/>
  <c r="L70" i="4"/>
  <c r="M70" i="4"/>
  <c r="N70" i="4"/>
  <c r="B71" i="4"/>
  <c r="C71" i="4"/>
  <c r="E71" i="4"/>
  <c r="F71" i="4"/>
  <c r="G71" i="4"/>
  <c r="H71" i="4"/>
  <c r="I71" i="4"/>
  <c r="J71" i="4"/>
  <c r="K71" i="4"/>
  <c r="L71" i="4"/>
  <c r="M71" i="4"/>
  <c r="N71" i="4"/>
  <c r="B73" i="4"/>
  <c r="C73" i="4"/>
  <c r="E73" i="4"/>
  <c r="F73" i="4"/>
  <c r="G73" i="4"/>
  <c r="H73" i="4"/>
  <c r="I73" i="4"/>
  <c r="J73" i="4"/>
  <c r="K73" i="4"/>
  <c r="L73" i="4"/>
  <c r="M73" i="4"/>
  <c r="N73" i="4"/>
  <c r="B74" i="4"/>
  <c r="C74" i="4"/>
  <c r="B75" i="4"/>
  <c r="C75" i="4"/>
  <c r="E75" i="4"/>
  <c r="F75" i="4"/>
  <c r="G75" i="4"/>
  <c r="H75" i="4"/>
  <c r="I75" i="4"/>
  <c r="J75" i="4"/>
  <c r="K75" i="4"/>
  <c r="L75" i="4"/>
  <c r="M75" i="4"/>
  <c r="N75" i="4"/>
  <c r="B76" i="4"/>
  <c r="C76" i="4"/>
  <c r="E76" i="4"/>
  <c r="F76" i="4"/>
  <c r="G76" i="4"/>
  <c r="H76" i="4"/>
  <c r="I76" i="4"/>
  <c r="J76" i="4"/>
  <c r="K76" i="4"/>
  <c r="L76" i="4"/>
  <c r="M76" i="4"/>
  <c r="N76" i="4"/>
  <c r="B77" i="4"/>
  <c r="C77" i="4"/>
  <c r="E77" i="4"/>
  <c r="F77" i="4"/>
  <c r="G77" i="4"/>
  <c r="H77" i="4"/>
  <c r="I77" i="4"/>
  <c r="J77" i="4"/>
  <c r="K77" i="4"/>
  <c r="L77" i="4"/>
  <c r="M77" i="4"/>
  <c r="N77" i="4"/>
  <c r="E78" i="4"/>
  <c r="F78" i="4"/>
  <c r="G78" i="4"/>
  <c r="H78" i="4"/>
  <c r="I78" i="4"/>
  <c r="J78" i="4"/>
  <c r="K78" i="4"/>
  <c r="L78" i="4"/>
  <c r="M78" i="4"/>
  <c r="N78" i="4"/>
  <c r="C80" i="4"/>
  <c r="E80" i="4"/>
  <c r="F80" i="4"/>
  <c r="G80" i="4"/>
  <c r="H80" i="4"/>
  <c r="I80" i="4"/>
  <c r="J80" i="4"/>
  <c r="K80" i="4"/>
  <c r="L80" i="4"/>
  <c r="M80" i="4"/>
  <c r="N80" i="4"/>
  <c r="C81" i="4"/>
  <c r="E81" i="4"/>
  <c r="F81" i="4"/>
  <c r="G81" i="4"/>
  <c r="H81" i="4"/>
  <c r="I81" i="4"/>
  <c r="J81" i="4"/>
  <c r="K81" i="4"/>
  <c r="L81" i="4"/>
  <c r="M81" i="4"/>
  <c r="N81" i="4"/>
  <c r="C82" i="4"/>
  <c r="E82" i="4"/>
  <c r="F82" i="4"/>
  <c r="G82" i="4"/>
  <c r="H82" i="4"/>
  <c r="I82" i="4"/>
  <c r="J82" i="4"/>
  <c r="K82" i="4"/>
  <c r="L82" i="4"/>
  <c r="M82" i="4"/>
  <c r="N82" i="4"/>
  <c r="C83" i="4"/>
  <c r="E83" i="4"/>
  <c r="F83" i="4"/>
  <c r="G83" i="4"/>
  <c r="H83" i="4"/>
  <c r="I83" i="4"/>
  <c r="J83" i="4"/>
  <c r="K83" i="4"/>
  <c r="L83" i="4"/>
  <c r="M83" i="4"/>
  <c r="N83" i="4"/>
  <c r="C84" i="4"/>
  <c r="E84" i="4"/>
  <c r="F84" i="4"/>
  <c r="G84" i="4"/>
  <c r="H84" i="4"/>
  <c r="I84" i="4"/>
  <c r="J84" i="4"/>
  <c r="K84" i="4"/>
  <c r="L84" i="4"/>
  <c r="M84" i="4"/>
  <c r="N84" i="4"/>
  <c r="C85" i="4"/>
  <c r="E85" i="4"/>
  <c r="F85" i="4"/>
  <c r="G85" i="4"/>
  <c r="H85" i="4"/>
  <c r="I85" i="4"/>
  <c r="J85" i="4"/>
  <c r="K85" i="4"/>
  <c r="L85" i="4"/>
  <c r="M85" i="4"/>
  <c r="N85" i="4"/>
  <c r="C86" i="4"/>
  <c r="E86" i="4"/>
  <c r="F86" i="4"/>
  <c r="G86" i="4"/>
  <c r="H86" i="4"/>
  <c r="I86" i="4"/>
  <c r="J86" i="4"/>
  <c r="K86" i="4"/>
  <c r="L86" i="4"/>
  <c r="M86" i="4"/>
  <c r="N86" i="4"/>
  <c r="C87" i="4"/>
  <c r="E87" i="4"/>
  <c r="F87" i="4"/>
  <c r="G87" i="4"/>
  <c r="H87" i="4"/>
  <c r="I87" i="4"/>
  <c r="J87" i="4"/>
  <c r="K87" i="4"/>
  <c r="L87" i="4"/>
  <c r="M87" i="4"/>
  <c r="N87" i="4"/>
  <c r="C88" i="4"/>
  <c r="E88" i="4"/>
  <c r="F88" i="4"/>
  <c r="G88" i="4"/>
  <c r="H88" i="4"/>
  <c r="I88" i="4"/>
  <c r="J88" i="4"/>
  <c r="K88" i="4"/>
  <c r="L88" i="4"/>
  <c r="M88" i="4"/>
  <c r="N88" i="4"/>
  <c r="B91" i="4"/>
  <c r="C91" i="4"/>
  <c r="E91" i="4"/>
  <c r="F91" i="4"/>
  <c r="G91" i="4"/>
  <c r="H91" i="4"/>
  <c r="I91" i="4"/>
  <c r="J91" i="4"/>
  <c r="K91" i="4"/>
  <c r="L91" i="4"/>
  <c r="M91" i="4"/>
  <c r="N91" i="4"/>
  <c r="B92" i="4"/>
  <c r="C92" i="4"/>
  <c r="E92" i="4"/>
  <c r="F92" i="4"/>
  <c r="G92" i="4"/>
  <c r="H92" i="4"/>
  <c r="I92" i="4"/>
  <c r="J92" i="4"/>
  <c r="K92" i="4"/>
  <c r="L92" i="4"/>
  <c r="M92" i="4"/>
  <c r="N92" i="4"/>
  <c r="E93" i="4"/>
  <c r="F93" i="4"/>
  <c r="G93" i="4"/>
  <c r="H93" i="4"/>
  <c r="I93" i="4"/>
  <c r="J93" i="4"/>
  <c r="K93" i="4"/>
  <c r="L93" i="4"/>
  <c r="M93" i="4"/>
  <c r="N93" i="4"/>
  <c r="E94" i="4"/>
  <c r="F94" i="4"/>
  <c r="G94" i="4"/>
  <c r="H94" i="4"/>
  <c r="I94" i="4"/>
  <c r="J94" i="4"/>
  <c r="K94" i="4"/>
  <c r="L94" i="4"/>
  <c r="M94" i="4"/>
  <c r="N94" i="4"/>
  <c r="E95" i="4"/>
  <c r="F95" i="4"/>
  <c r="G95" i="4"/>
  <c r="H95" i="4"/>
  <c r="I95" i="4"/>
  <c r="J95" i="4"/>
  <c r="K95" i="4"/>
  <c r="L95" i="4"/>
  <c r="M95" i="4"/>
  <c r="N95" i="4"/>
  <c r="E96" i="4"/>
  <c r="F96" i="4"/>
  <c r="G96" i="4"/>
  <c r="H96" i="4"/>
  <c r="I96" i="4"/>
  <c r="J96" i="4"/>
  <c r="K96" i="4"/>
  <c r="L96" i="4"/>
  <c r="M96" i="4"/>
  <c r="N96" i="4"/>
  <c r="E97" i="4"/>
  <c r="F97" i="4"/>
  <c r="G97" i="4"/>
  <c r="H97" i="4"/>
  <c r="I97" i="4"/>
  <c r="J97" i="4"/>
  <c r="K97" i="4"/>
  <c r="L97" i="4"/>
  <c r="M97" i="4"/>
  <c r="N97" i="4"/>
  <c r="E98" i="4"/>
  <c r="F98" i="4"/>
  <c r="G98" i="4"/>
  <c r="H98" i="4"/>
  <c r="I98" i="4"/>
  <c r="J98" i="4"/>
  <c r="K98" i="4"/>
  <c r="L98" i="4"/>
  <c r="M98" i="4"/>
  <c r="N98" i="4"/>
  <c r="I4" i="2"/>
  <c r="J4" i="2"/>
  <c r="K4" i="2"/>
  <c r="L4" i="2"/>
  <c r="M4" i="2"/>
  <c r="O4" i="2"/>
  <c r="I5" i="2"/>
  <c r="J5" i="2"/>
  <c r="K5" i="2"/>
  <c r="L5" i="2"/>
  <c r="M5" i="2"/>
  <c r="O5" i="2"/>
  <c r="I7" i="2"/>
  <c r="J7" i="2"/>
  <c r="K7" i="2"/>
  <c r="L7" i="2"/>
  <c r="M7" i="2"/>
  <c r="O7" i="2"/>
  <c r="I8" i="2"/>
  <c r="J8" i="2"/>
  <c r="K8" i="2"/>
  <c r="L8" i="2"/>
  <c r="M8" i="2"/>
  <c r="O8" i="2"/>
  <c r="B10" i="2"/>
  <c r="I12" i="2"/>
  <c r="J12" i="2"/>
  <c r="K12" i="2"/>
  <c r="L12" i="2"/>
  <c r="M12" i="2"/>
  <c r="O12" i="2"/>
  <c r="I13" i="2"/>
  <c r="J13" i="2"/>
  <c r="K13" i="2"/>
  <c r="L13" i="2"/>
  <c r="M13" i="2"/>
  <c r="O13" i="2"/>
  <c r="I14" i="2"/>
  <c r="J14" i="2"/>
  <c r="K14" i="2"/>
  <c r="L14" i="2"/>
  <c r="M14" i="2"/>
  <c r="O14" i="2"/>
  <c r="I15" i="2"/>
  <c r="J15" i="2"/>
  <c r="K15" i="2"/>
  <c r="L15" i="2"/>
  <c r="M15" i="2"/>
  <c r="O15" i="2"/>
  <c r="I17" i="2"/>
  <c r="J17" i="2"/>
  <c r="K17" i="2"/>
  <c r="L17" i="2"/>
  <c r="M17" i="2"/>
  <c r="O17" i="2"/>
  <c r="I18" i="2"/>
  <c r="J18" i="2"/>
  <c r="K18" i="2"/>
  <c r="L18" i="2"/>
  <c r="M18" i="2"/>
  <c r="O18" i="2"/>
  <c r="I20" i="2"/>
  <c r="J20" i="2"/>
  <c r="K20" i="2"/>
  <c r="L20" i="2"/>
  <c r="M20" i="2"/>
  <c r="O20" i="2"/>
  <c r="I21" i="2"/>
  <c r="J21" i="2"/>
  <c r="K21" i="2"/>
  <c r="L21" i="2"/>
  <c r="M21" i="2"/>
  <c r="O21" i="2"/>
  <c r="I23" i="2"/>
  <c r="J23" i="2"/>
  <c r="K23" i="2"/>
  <c r="L23" i="2"/>
  <c r="M23" i="2"/>
  <c r="O23" i="2"/>
  <c r="K34" i="2"/>
  <c r="L34" i="2"/>
  <c r="M34" i="2"/>
  <c r="N34" i="2"/>
  <c r="O34" i="2"/>
  <c r="P34" i="2"/>
  <c r="Q34" i="2"/>
  <c r="R34" i="2"/>
  <c r="S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3" i="2"/>
  <c r="C43" i="2"/>
  <c r="D43" i="2"/>
  <c r="E43" i="2"/>
  <c r="F43" i="2"/>
  <c r="G43" i="2"/>
  <c r="H43" i="2"/>
  <c r="J43" i="2"/>
  <c r="K43" i="2"/>
  <c r="L43" i="2"/>
  <c r="M43" i="2"/>
  <c r="N43" i="2"/>
  <c r="O43" i="2"/>
  <c r="P43" i="2"/>
  <c r="Q43" i="2"/>
  <c r="R43" i="2"/>
  <c r="S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4" i="2"/>
  <c r="C54" i="2"/>
  <c r="D54" i="2"/>
  <c r="E54" i="2"/>
  <c r="F54" i="2"/>
  <c r="G54" i="2"/>
  <c r="H54" i="2"/>
  <c r="B62" i="2"/>
  <c r="B63" i="2"/>
  <c r="B64" i="2"/>
  <c r="B65" i="2"/>
  <c r="B66" i="2"/>
  <c r="L10" i="6"/>
  <c r="D12" i="6"/>
  <c r="E12" i="6"/>
  <c r="F12" i="6"/>
  <c r="G12" i="6"/>
  <c r="H12" i="6"/>
  <c r="I12" i="6"/>
  <c r="J12" i="6"/>
  <c r="K12" i="6"/>
  <c r="L12" i="6"/>
  <c r="E21" i="6"/>
  <c r="E22" i="6"/>
  <c r="G25" i="6"/>
  <c r="H25" i="6"/>
  <c r="I25" i="6"/>
  <c r="J25" i="6"/>
  <c r="K25" i="6"/>
  <c r="E27" i="6"/>
  <c r="G32" i="6"/>
  <c r="H32" i="6"/>
  <c r="I32" i="6"/>
  <c r="J32" i="6"/>
  <c r="K32" i="6"/>
  <c r="G33" i="6"/>
  <c r="H33" i="6"/>
  <c r="I33" i="6"/>
  <c r="J33" i="6"/>
  <c r="K33" i="6"/>
  <c r="K39" i="6"/>
  <c r="K43" i="6"/>
  <c r="K44" i="6"/>
  <c r="K46" i="6"/>
  <c r="K47" i="6"/>
  <c r="K48" i="6"/>
  <c r="K49" i="6"/>
  <c r="K52" i="6"/>
  <c r="K53" i="6"/>
  <c r="F54" i="6"/>
  <c r="K54" i="6"/>
  <c r="F55" i="6"/>
  <c r="K55" i="6"/>
  <c r="F57" i="6"/>
  <c r="K57" i="6"/>
  <c r="F58" i="6"/>
  <c r="F59" i="6"/>
  <c r="F61" i="6"/>
  <c r="L61" i="6"/>
  <c r="F62" i="6"/>
  <c r="L62" i="6"/>
  <c r="F63" i="6"/>
</calcChain>
</file>

<file path=xl/sharedStrings.xml><?xml version="1.0" encoding="utf-8"?>
<sst xmlns="http://schemas.openxmlformats.org/spreadsheetml/2006/main" count="567" uniqueCount="326">
  <si>
    <t>CASH FLOWS FROM OPERATING ACTIVITIES:</t>
  </si>
  <si>
    <t xml:space="preserve">  Net income................................................</t>
  </si>
  <si>
    <t xml:space="preserve">  Adjustments to reconcile net income to net cash provided</t>
  </si>
  <si>
    <t>by operating activities:</t>
  </si>
  <si>
    <t>Depreciation and amortization........................</t>
  </si>
  <si>
    <t>Deferred income taxes................................</t>
  </si>
  <si>
    <t>Gains on divestitures -- net of tax of $(0.2), $1.7</t>
  </si>
  <si>
    <t>and $(27.4) in 2000, 1999 and 1998, respectively....</t>
  </si>
  <si>
    <t>Restructuring charges................................</t>
  </si>
  <si>
    <t>Asset impairment losses..............................</t>
  </si>
  <si>
    <t>--</t>
  </si>
  <si>
    <t>Loss on disposition of property and equipment........</t>
  </si>
  <si>
    <t>(Increase) decrease in trade accounts receivable.....</t>
  </si>
  <si>
    <t>Increase in inventories..............................</t>
  </si>
  <si>
    <t>(Increase) decrease in other current assets..........</t>
  </si>
  <si>
    <t>Increase (decrease) in trade accounts payable........</t>
  </si>
  <si>
    <t>(Decrease) increase in other current liabilities.....</t>
  </si>
  <si>
    <t>Change in deferred compensation......................</t>
  </si>
  <si>
    <t>Tax benefit from employee stock option exercises.....</t>
  </si>
  <si>
    <t>Other items..........................................</t>
  </si>
  <si>
    <t>NET CASH PROVIDED BY OPERATING ACTIVITIES</t>
  </si>
  <si>
    <t>THE QUAKER OATS COMPANY AND SUBSIDIARIES</t>
  </si>
  <si>
    <t xml:space="preserve">                     CONSOLIDATED STATEMENTS OF CASH FLOWS</t>
  </si>
  <si>
    <t xml:space="preserve">                                                                   YEAR ENDED DECEMBER 31</t>
  </si>
  <si>
    <t>CASH FLOWS FROM INVESTING ACTIVITIES:</t>
  </si>
  <si>
    <t>Purchases of marketable securities........................</t>
  </si>
  <si>
    <t>Proceeds from sales of marketable securities..............</t>
  </si>
  <si>
    <t>Additions to property, plant and equipment................</t>
  </si>
  <si>
    <t>Proceeds from sales of property, plant and equipment......</t>
  </si>
  <si>
    <t>Capital gains tax recovery................................</t>
  </si>
  <si>
    <t>CASH FLOWS FROM FINANCING ACTIVITIES:</t>
  </si>
  <si>
    <t>Cash dividends............................................</t>
  </si>
  <si>
    <t>Change in short-term debt.................................</t>
  </si>
  <si>
    <t>Proceeds from long-term debt..............................</t>
  </si>
  <si>
    <t>Reduction of long-term debt...............................</t>
  </si>
  <si>
    <t>Issuance of common treasury stock.........................</t>
  </si>
  <si>
    <t>Repurchases of common stock...............................</t>
  </si>
  <si>
    <t>Repurchases of preferred stock............................</t>
  </si>
  <si>
    <t>NET CASH USED IN FINANCING ACTIVITIES.............</t>
  </si>
  <si>
    <t>DOLLARS IN MILLIONS (EXCEPT PER SHARE DATA)</t>
  </si>
  <si>
    <t>NET SALES...................................................</t>
  </si>
  <si>
    <t>Cost of goods sold..........................................</t>
  </si>
  <si>
    <t>Gross profit................................................</t>
  </si>
  <si>
    <t>Selling, general and administrative expenses................</t>
  </si>
  <si>
    <t>Interest expense............................................</t>
  </si>
  <si>
    <t>Interest income.............................................</t>
  </si>
  <si>
    <t>Foreign exchange loss -- net................................</t>
  </si>
  <si>
    <t>INCOME BEFORE INCOME TAXES..................................</t>
  </si>
  <si>
    <t>Provision for income taxes..................................</t>
  </si>
  <si>
    <t>Net Income..................................................</t>
  </si>
  <si>
    <t>Preferred dividends -- net of tax...........................</t>
  </si>
  <si>
    <t>NET INCOME AVAILABLE FOR COMMON.............................</t>
  </si>
  <si>
    <t>PER COMMON SHARE:</t>
  </si>
  <si>
    <t>Net income................................................</t>
  </si>
  <si>
    <t>Net income -- diluted.....................................</t>
  </si>
  <si>
    <t>Dividends declared........................................</t>
  </si>
  <si>
    <t>ASSETS</t>
  </si>
  <si>
    <t>CURRENT ASSETS:</t>
  </si>
  <si>
    <t xml:space="preserve">  Cash and cash equivalents.................................</t>
  </si>
  <si>
    <t xml:space="preserve">  Marketable securities.....................................</t>
  </si>
  <si>
    <t xml:space="preserve">  Trade accounts receivable -- net of allowances............</t>
  </si>
  <si>
    <t xml:space="preserve">  Inventories:</t>
  </si>
  <si>
    <t>Finished goods.........................................</t>
  </si>
  <si>
    <t>Raw materials..........................................</t>
  </si>
  <si>
    <t>Packaging materials and supplies.......................</t>
  </si>
  <si>
    <t>Total inventories....................................</t>
  </si>
  <si>
    <t xml:space="preserve">  Other current assets......................................</t>
  </si>
  <si>
    <t>TOTAL CURRENT ASSETS..............................</t>
  </si>
  <si>
    <t>PROPERTY, PLANT AND EQUIPMENT:</t>
  </si>
  <si>
    <t xml:space="preserve">  Land......................................................</t>
  </si>
  <si>
    <t xml:space="preserve">  Buildings and improvements................................</t>
  </si>
  <si>
    <t xml:space="preserve">  Machinery and equipment...................................</t>
  </si>
  <si>
    <t xml:space="preserve">  Property, plant and equipment.............................</t>
  </si>
  <si>
    <t xml:space="preserve">  Less: Accumulated depreciation............................</t>
  </si>
  <si>
    <t>PROPERTY -- NET........................................</t>
  </si>
  <si>
    <t>INTANGIBLE ASSETS -- NET OF AMORTIZATION....................</t>
  </si>
  <si>
    <t>OTHER ASSETS................................................</t>
  </si>
  <si>
    <t>TOTAL ASSETS......................................</t>
  </si>
  <si>
    <t>LIABILITIES AND SHAREHOLDERS' EQUITY</t>
  </si>
  <si>
    <t>CURRENT LIABILITIES:</t>
  </si>
  <si>
    <t xml:space="preserve">  Short-term debt...........................................</t>
  </si>
  <si>
    <t xml:space="preserve">  Current portion of long-term debt.........................</t>
  </si>
  <si>
    <t xml:space="preserve">  Trade accounts payable....................................</t>
  </si>
  <si>
    <t xml:space="preserve">  Accrued payroll, benefits and bonus.......................</t>
  </si>
  <si>
    <t xml:space="preserve">  Accrued advertising and merchandising.....................</t>
  </si>
  <si>
    <t xml:space="preserve">  Income taxes payable......................................</t>
  </si>
  <si>
    <t xml:space="preserve">  Other accrued liabilities.................................</t>
  </si>
  <si>
    <t>TOTAL CURRENT LIABILITIES.........................</t>
  </si>
  <si>
    <t>LONG-TERM DEBT..............................................</t>
  </si>
  <si>
    <t>OTHER LIABILITIES...........................................</t>
  </si>
  <si>
    <t>PREFERRED STOCK, SERIES B, no par value, authorized</t>
  </si>
  <si>
    <t xml:space="preserve">  1,750,000 shares; issued 1,282,051 of 5.46 cumulative</t>
  </si>
  <si>
    <t>DEFERRED COMPENSATION.......................................</t>
  </si>
  <si>
    <t>TREASURY PREFERRED STOCK, at cost, 441,469 and 366,069</t>
  </si>
  <si>
    <t xml:space="preserve">  shares, respectively......................................</t>
  </si>
  <si>
    <t>COMMON SHAREHOLDERS' EQUITY:</t>
  </si>
  <si>
    <t xml:space="preserve">  Common stock, 5 par value, authorized 400 million</t>
  </si>
  <si>
    <t>shares.................................................</t>
  </si>
  <si>
    <t xml:space="preserve">  Additional paid-in capital................................</t>
  </si>
  <si>
    <t xml:space="preserve">  Reinvested earnings.......................................</t>
  </si>
  <si>
    <t xml:space="preserve">  Deferred compensation.....................................</t>
  </si>
  <si>
    <t xml:space="preserve">  Treasury common stock, at cost............................</t>
  </si>
  <si>
    <t>TOTAL COMMON SHAREHOLDERS' EQUITY....................</t>
  </si>
  <si>
    <t>TOTAL LIABILITIES AND SHAREHOLDERS' EQUITY........</t>
  </si>
  <si>
    <t>Deferred Income Taxes</t>
  </si>
  <si>
    <t xml:space="preserve">  convertible shares (liquidating preference of 78 per share</t>
  </si>
  <si>
    <t>Average Number of Common Shares Outstanding (in thousands)</t>
  </si>
  <si>
    <t>Restructuring charges, asset impairments and (gains) losses on divestitures - Net</t>
  </si>
  <si>
    <t>Business acquisitions</t>
  </si>
  <si>
    <t>Change in other assets</t>
  </si>
  <si>
    <t>Net Cash Provided by (Used in) Investing Activities</t>
  </si>
  <si>
    <t>Proceeds from short-term debt to be refinanced</t>
  </si>
  <si>
    <t>Effect of Exchange Rate Changes on Cash and Cash Equivalents</t>
  </si>
  <si>
    <t>Net (Decrease) Increase in Cash and Cash Equivalents</t>
  </si>
  <si>
    <t>Cash and Cash Equivalents - Beginning of Period</t>
  </si>
  <si>
    <t>Cash and Cash Equivalents - End of Period</t>
  </si>
  <si>
    <t>Business divestitures (net of tax of $54.6 and $476.2 in 1996 and 1995, respectively)</t>
  </si>
  <si>
    <t xml:space="preserve">  Accumulated other comprehensive income (Cumulative translation adjustment)</t>
  </si>
  <si>
    <t>Average</t>
  </si>
  <si>
    <t>(% of total operating revenue)</t>
  </si>
  <si>
    <t>COMMON-SIZE BALANCE STATEMENT</t>
  </si>
  <si>
    <t>Multiples</t>
  </si>
  <si>
    <t>Price to Sales</t>
  </si>
  <si>
    <t>Price to EBITDA</t>
  </si>
  <si>
    <t>Price to Earnings</t>
  </si>
  <si>
    <t>Price to Free Cash Flow</t>
  </si>
  <si>
    <t>Price</t>
  </si>
  <si>
    <t>OAT</t>
  </si>
  <si>
    <t>Coke</t>
  </si>
  <si>
    <t>Pepsi</t>
  </si>
  <si>
    <t>Danon</t>
  </si>
  <si>
    <t>Kraft</t>
  </si>
  <si>
    <t>Kellog</t>
  </si>
  <si>
    <t>Common Shares Outstanding (millions)</t>
  </si>
  <si>
    <t>Price to Earnings per share</t>
  </si>
  <si>
    <t>Price to Book Value per share</t>
  </si>
  <si>
    <t>ASSUMPTIONS</t>
  </si>
  <si>
    <t>forecast</t>
  </si>
  <si>
    <t>Sales Growth</t>
  </si>
  <si>
    <t>Actual</t>
  </si>
  <si>
    <t>Assumptions</t>
  </si>
  <si>
    <t>Forecast</t>
  </si>
  <si>
    <t>FISCAL YEAR ENDING</t>
  </si>
  <si>
    <t>Sales</t>
  </si>
  <si>
    <t>Operating expenses:</t>
  </si>
  <si>
    <t xml:space="preserve">   Selling and administrative</t>
  </si>
  <si>
    <t xml:space="preserve">   Depreciation and amortization</t>
  </si>
  <si>
    <t>calc as % of beginning PPE</t>
  </si>
  <si>
    <t>Operating income</t>
  </si>
  <si>
    <t>Interest expense</t>
  </si>
  <si>
    <t>Income before tax</t>
  </si>
  <si>
    <t>Provision for income taxes</t>
  </si>
  <si>
    <t>Net income</t>
  </si>
  <si>
    <t>Add: Int Exp (1-t)</t>
  </si>
  <si>
    <t>EBI (NOPLAT)</t>
  </si>
  <si>
    <t xml:space="preserve">      (Inc) Dec in other assets</t>
  </si>
  <si>
    <t>from B/S</t>
  </si>
  <si>
    <t xml:space="preserve">      Inc. (Dec.) in other liabilities</t>
  </si>
  <si>
    <t xml:space="preserve">      Inc. in deferred taxes</t>
  </si>
  <si>
    <t>WCFO (excl. int.)</t>
  </si>
  <si>
    <t>(Inc.) Dec. in A/R</t>
  </si>
  <si>
    <t>(Inc.) Dec. in Other C. Assets</t>
  </si>
  <si>
    <t>Inc. (Dec.) in A/P</t>
  </si>
  <si>
    <t>Inc. (Dec.) in Other Accruals</t>
  </si>
  <si>
    <t>CFO (excl. int.)</t>
  </si>
  <si>
    <t>Less: Capital Expenditures, net</t>
  </si>
  <si>
    <t>FCF (free cash flow)</t>
  </si>
  <si>
    <t>Terminal value (mult of EBITDA)</t>
  </si>
  <si>
    <t>Total free cash flow</t>
  </si>
  <si>
    <t>PV of total free cash flows</t>
  </si>
  <si>
    <t>Less: PV (debt)</t>
  </si>
  <si>
    <t>Plus: idle assets (liabs)</t>
  </si>
  <si>
    <t>PV of shareholders' equity (in millions)</t>
  </si>
  <si>
    <t>Shares outstanding</t>
  </si>
  <si>
    <t>Price per share</t>
  </si>
  <si>
    <t>QUAKER OATS</t>
  </si>
  <si>
    <t>DISCOUNTED CASH FLOW ANALYSIS</t>
  </si>
  <si>
    <t>Cash and cash equivalents</t>
  </si>
  <si>
    <t>Receivables</t>
  </si>
  <si>
    <t>Inventories</t>
  </si>
  <si>
    <t>Deferred taxes</t>
  </si>
  <si>
    <t>Other current assets</t>
  </si>
  <si>
    <t>Total current assets</t>
  </si>
  <si>
    <t>Net PPE</t>
  </si>
  <si>
    <t>Goodwill</t>
  </si>
  <si>
    <t>Other assets</t>
  </si>
  <si>
    <t>TOTAL ASSETS</t>
  </si>
  <si>
    <t>Accounts payable</t>
  </si>
  <si>
    <t>Total Cur Liab (excl L/T Debt)</t>
  </si>
  <si>
    <t>Other noncurrent liabilities</t>
  </si>
  <si>
    <t>Debt (including S/T debt)</t>
  </si>
  <si>
    <t>Total liabilities</t>
  </si>
  <si>
    <t>Shareholders' equity</t>
  </si>
  <si>
    <t>TOT LIAB &amp; NET WORTH</t>
  </si>
  <si>
    <t>Free Cash Flow</t>
  </si>
  <si>
    <t>Deduct: Int. expense (net of tax)</t>
  </si>
  <si>
    <t>Add: Increase in L/T debt</t>
  </si>
  <si>
    <t>Subtotal (net cash to Shrholdrs)</t>
  </si>
  <si>
    <t>(Dividend) or New Equity</t>
  </si>
  <si>
    <t>¯Cash per SCF</t>
  </si>
  <si>
    <t>¯Cash per B/S</t>
  </si>
  <si>
    <t>Net Income</t>
  </si>
  <si>
    <t>EBI</t>
  </si>
  <si>
    <t>Return on Beg. Equity</t>
  </si>
  <si>
    <t>Profit Margin</t>
  </si>
  <si>
    <t>Asset Turnover</t>
  </si>
  <si>
    <t>Leverage</t>
  </si>
  <si>
    <t>Return on Average Equity</t>
  </si>
  <si>
    <t>Return on Assets</t>
  </si>
  <si>
    <t xml:space="preserve">   Cost of sales</t>
  </si>
  <si>
    <t>Notes</t>
  </si>
  <si>
    <t>Unreconciled Difference</t>
  </si>
  <si>
    <t>Debt*cost of debt*(1-t)</t>
  </si>
  <si>
    <t>(EBI- Int. after tax)</t>
  </si>
  <si>
    <t>(NI / Beg Sh. Eq)</t>
  </si>
  <si>
    <t>(EBI / Sales)</t>
  </si>
  <si>
    <t>(Sales / Avg. TA)</t>
  </si>
  <si>
    <t>(Avg. TA / Avg. SE) x (NI / EBI)</t>
  </si>
  <si>
    <t>(EBI / Avg TA)</t>
  </si>
  <si>
    <t>OAT COMMON-SIZE INCOME STATEMENT</t>
  </si>
  <si>
    <t>OAT YEAR OVER YEAR PERCENTAGE CHANGE</t>
  </si>
  <si>
    <t>INPUT SCREENS</t>
  </si>
  <si>
    <t>Acquirer:</t>
  </si>
  <si>
    <t>Most recent year end:</t>
  </si>
  <si>
    <t>Target:</t>
  </si>
  <si>
    <t>Currency:</t>
  </si>
  <si>
    <t>Dollars in millions</t>
  </si>
  <si>
    <t>DISCOUNTED CASH FLOW INPUTS</t>
  </si>
  <si>
    <t>Discount rate:</t>
  </si>
  <si>
    <t>Terminal value multiple (x EBITDA):</t>
  </si>
  <si>
    <t>Resultant valuation:</t>
  </si>
  <si>
    <t xml:space="preserve">     Total enterprise value ($M)</t>
  </si>
  <si>
    <t xml:space="preserve">     Value per common share</t>
  </si>
  <si>
    <t>MERGER MODEL INPUTS</t>
  </si>
  <si>
    <t>Acquirer stand alone earnings estimates:</t>
  </si>
  <si>
    <t>LTG</t>
  </si>
  <si>
    <t>Anticipated synergies / cost savings:</t>
  </si>
  <si>
    <t>% of SGA</t>
  </si>
  <si>
    <t>(enter one OR the other)</t>
  </si>
  <si>
    <t>total $ (in millions)</t>
  </si>
  <si>
    <t>Accretion</t>
  </si>
  <si>
    <t>w/ repurch</t>
  </si>
  <si>
    <t>w/o repurch</t>
  </si>
  <si>
    <t>Other inputs</t>
  </si>
  <si>
    <t>Purchase Accounting</t>
  </si>
  <si>
    <t>Allocation of purchase price / mark to market adjustments</t>
  </si>
  <si>
    <t>Primary shares, seller</t>
  </si>
  <si>
    <t>Seller shares not already owned by buyer</t>
  </si>
  <si>
    <t>million</t>
  </si>
  <si>
    <t>Primary shares, buyer</t>
  </si>
  <si>
    <t>Exchange ratio</t>
  </si>
  <si>
    <t>New shares issued</t>
  </si>
  <si>
    <t>Goodwill deductible ??</t>
  </si>
  <si>
    <t>no</t>
  </si>
  <si>
    <t>Amortization period of goodwill (yrs)</t>
  </si>
  <si>
    <t>Safeway stock price per share</t>
  </si>
  <si>
    <t>Marginal income tax rate</t>
  </si>
  <si>
    <t>Deal value for part of Vons notalready owned</t>
  </si>
  <si>
    <t>Equity in undistributed income of seller ($M)</t>
  </si>
  <si>
    <t>Current investment in Vons</t>
  </si>
  <si>
    <t>Share repurchase assumptions:</t>
  </si>
  <si>
    <t>Value of options assumed by Safeway</t>
  </si>
  <si>
    <t xml:space="preserve">     and transaction costs for the deal</t>
  </si>
  <si>
    <t>Shares repurchased (choose ONE):</t>
  </si>
  <si>
    <t>Total deal value</t>
  </si>
  <si>
    <t xml:space="preserve">     % of post transaction total</t>
  </si>
  <si>
    <t>Book value of Vons</t>
  </si>
  <si>
    <t xml:space="preserve">     number of shares to buy back (M)</t>
  </si>
  <si>
    <t>Premium to book value</t>
  </si>
  <si>
    <t>Cost of funds to repurchase shares</t>
  </si>
  <si>
    <t>Allocation of premium</t>
  </si>
  <si>
    <t>Deal summary:</t>
  </si>
  <si>
    <t>Vons share price, pre transaction</t>
  </si>
  <si>
    <t xml:space="preserve">     Inventory</t>
  </si>
  <si>
    <t xml:space="preserve">     Other assets</t>
  </si>
  <si>
    <t>DCF valuation :</t>
  </si>
  <si>
    <t>Vons per share</t>
  </si>
  <si>
    <t xml:space="preserve">     Deferred tax liability</t>
  </si>
  <si>
    <t>Total enterprise value ($M)</t>
  </si>
  <si>
    <t xml:space="preserve">     Other liabilities</t>
  </si>
  <si>
    <t>Deal value:</t>
  </si>
  <si>
    <t>Total deal value ($M)</t>
  </si>
  <si>
    <t>Deal value for previously unowned shares</t>
  </si>
  <si>
    <t>Accretion:</t>
  </si>
  <si>
    <t>Book value</t>
  </si>
  <si>
    <t>Previously unowned shares</t>
  </si>
  <si>
    <t>Earnings per share (year 1)</t>
  </si>
  <si>
    <t>Quaker Oats</t>
  </si>
  <si>
    <t>Total OAT shares</t>
  </si>
  <si>
    <t>OAT stand alone effective tx rate</t>
  </si>
  <si>
    <t>Oat is experiencing improving margins</t>
  </si>
  <si>
    <t>Changed to reflect 5-yr average</t>
  </si>
  <si>
    <t>Assume 0% since long term foreign exchange rates should be neutral</t>
  </si>
  <si>
    <t>Should assume 35% of EBT</t>
  </si>
  <si>
    <t xml:space="preserve">Notes </t>
  </si>
  <si>
    <t>Historical looks to be steadily increasing</t>
  </si>
  <si>
    <t>Changed to reflect 4-yr average</t>
  </si>
  <si>
    <t>Changed to 4-yr average</t>
  </si>
  <si>
    <t>Changed to 5-yr average</t>
  </si>
  <si>
    <t>5-Year Average</t>
  </si>
  <si>
    <t>Coca Cola</t>
  </si>
  <si>
    <t>COGS</t>
  </si>
  <si>
    <t>SGA</t>
  </si>
  <si>
    <t>Interest Income</t>
  </si>
  <si>
    <t>Interest Expense</t>
  </si>
  <si>
    <t>Preferred Shares</t>
  </si>
  <si>
    <t>Deferred Compensation</t>
  </si>
  <si>
    <t>Difference</t>
  </si>
  <si>
    <t>Preferred Treasury Stock</t>
  </si>
  <si>
    <t xml:space="preserve">   Goodwill Amortization</t>
  </si>
  <si>
    <t>Unknown</t>
  </si>
  <si>
    <t>Add: Depreciation&amp;Goodwill</t>
  </si>
  <si>
    <t>Other Accrued liabilities</t>
  </si>
  <si>
    <t>TFG Valuation Summary</t>
  </si>
  <si>
    <t>OAT-Stock Price</t>
  </si>
  <si>
    <t>OAT-Enterprise Value</t>
  </si>
  <si>
    <t>TFG</t>
  </si>
  <si>
    <t>KO</t>
  </si>
  <si>
    <t>PEP (1)</t>
  </si>
  <si>
    <t>PEP (2)</t>
  </si>
  <si>
    <t>Danone</t>
  </si>
  <si>
    <t xml:space="preserve">Add: Increase in Preferred Stock </t>
  </si>
  <si>
    <t>Foreign Exchange</t>
  </si>
  <si>
    <t>Restructuring Charges</t>
  </si>
  <si>
    <t>Add: Foreign Exchange</t>
  </si>
  <si>
    <t>Add: Restructuring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</si>
</sst>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  <numFmt numFmtId="169" formatCode="0.0%"/>
    <numFmt numFmtId="176" formatCode="#,##0.0_);\(#,##0.0\)"/>
    <numFmt numFmtId="177" formatCode="#,##0.0000_);\(#,##0.0000\)"/>
    <numFmt numFmtId="178" formatCode="#,##0.000_);\(#,##0.000\)"/>
    <numFmt numFmtId="180" formatCode="0_);\(0\)"/>
    <numFmt numFmtId="189" formatCode="_(&quot;$&quot;* #,##0_);_(&quot;$&quot;* \(#,##0\);_(&quot;$&quot;* &quot;-&quot;??_);_(@_)"/>
  </numFmts>
  <fonts count="24" x14ac:knownFonts="1">
    <font>
      <sz val="8"/>
      <name val="Arial"/>
    </font>
    <font>
      <sz val="8"/>
      <name val="Arial"/>
    </font>
    <font>
      <sz val="8"/>
      <name val="Times New Roman"/>
      <family val="1"/>
    </font>
    <font>
      <sz val="10"/>
      <name val="Times New Roman"/>
      <family val="1"/>
    </font>
    <font>
      <sz val="10"/>
      <name val="Arial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sz val="8"/>
      <name val="Arial"/>
    </font>
    <font>
      <b/>
      <sz val="8"/>
      <name val="Times New Roman"/>
      <family val="1"/>
    </font>
    <font>
      <b/>
      <sz val="10"/>
      <name val="Arial"/>
    </font>
    <font>
      <b/>
      <sz val="8"/>
      <name val="Times New Roman"/>
    </font>
    <font>
      <b/>
      <u/>
      <sz val="8"/>
      <name val="Times New Roman"/>
      <family val="1"/>
    </font>
    <font>
      <b/>
      <u/>
      <sz val="8"/>
      <name val="Times New Roman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8"/>
      <name val="Times New Roman"/>
      <family val="1"/>
    </font>
    <font>
      <u/>
      <sz val="10"/>
      <color indexed="12"/>
      <name val="Times New Roman"/>
      <family val="1"/>
    </font>
    <font>
      <sz val="8"/>
      <color indexed="10"/>
      <name val="Arial"/>
      <family val="2"/>
    </font>
    <font>
      <i/>
      <sz val="8"/>
      <name val="Arial"/>
      <family val="2"/>
    </font>
    <font>
      <b/>
      <sz val="14"/>
      <color indexed="8"/>
      <name val="Times New Roman"/>
      <family val="1"/>
    </font>
    <font>
      <b/>
      <sz val="10"/>
      <color indexed="10"/>
      <name val="Times New Roman"/>
      <family val="1"/>
    </font>
    <font>
      <u/>
      <sz val="8"/>
      <name val="Arial"/>
      <family val="2"/>
    </font>
    <font>
      <sz val="12"/>
      <name val="Times New Roman"/>
    </font>
    <font>
      <sz val="12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1"/>
  </cellStyleXfs>
  <cellXfs count="207">
    <xf numFmtId="0" fontId="0" fillId="0" borderId="0" xfId="0"/>
    <xf numFmtId="0" fontId="0" fillId="0" borderId="1" xfId="0" applyBorder="1"/>
    <xf numFmtId="0" fontId="3" fillId="0" borderId="0" xfId="0" applyFont="1"/>
    <xf numFmtId="0" fontId="4" fillId="0" borderId="0" xfId="0" applyFont="1"/>
    <xf numFmtId="8" fontId="3" fillId="0" borderId="0" xfId="0" applyNumberFormat="1" applyFont="1"/>
    <xf numFmtId="4" fontId="3" fillId="0" borderId="0" xfId="0" applyNumberFormat="1" applyFont="1"/>
    <xf numFmtId="3" fontId="3" fillId="0" borderId="0" xfId="0" applyNumberFormat="1" applyFont="1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10" fontId="3" fillId="0" borderId="0" xfId="3" applyNumberFormat="1" applyFont="1"/>
    <xf numFmtId="10" fontId="3" fillId="0" borderId="0" xfId="0" applyNumberFormat="1" applyFont="1"/>
    <xf numFmtId="0" fontId="2" fillId="0" borderId="0" xfId="0" applyFont="1"/>
    <xf numFmtId="14" fontId="3" fillId="0" borderId="1" xfId="0" applyNumberFormat="1" applyFont="1" applyBorder="1"/>
    <xf numFmtId="43" fontId="3" fillId="0" borderId="0" xfId="1" applyFont="1"/>
    <xf numFmtId="0" fontId="3" fillId="0" borderId="0" xfId="0" quotePrefix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5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10" fontId="4" fillId="0" borderId="0" xfId="3" applyNumberFormat="1" applyFont="1"/>
    <xf numFmtId="0" fontId="6" fillId="0" borderId="0" xfId="0" applyFont="1"/>
    <xf numFmtId="10" fontId="3" fillId="0" borderId="0" xfId="3" applyNumberFormat="1" applyFont="1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8" fontId="0" fillId="0" borderId="0" xfId="0" applyNumberFormat="1"/>
    <xf numFmtId="0" fontId="8" fillId="0" borderId="0" xfId="0" applyFont="1"/>
    <xf numFmtId="0" fontId="8" fillId="0" borderId="0" xfId="0" applyFont="1" applyAlignment="1">
      <alignment horizontal="center"/>
    </xf>
    <xf numFmtId="0" fontId="8" fillId="3" borderId="2" xfId="0" applyFont="1" applyFill="1" applyBorder="1"/>
    <xf numFmtId="0" fontId="8" fillId="3" borderId="3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1" fontId="8" fillId="3" borderId="3" xfId="0" applyNumberFormat="1" applyFont="1" applyFill="1" applyBorder="1" applyAlignment="1">
      <alignment horizontal="center"/>
    </xf>
    <xf numFmtId="1" fontId="8" fillId="3" borderId="4" xfId="0" applyNumberFormat="1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7" fontId="3" fillId="0" borderId="1" xfId="0" applyNumberFormat="1" applyFont="1" applyBorder="1"/>
    <xf numFmtId="9" fontId="3" fillId="0" borderId="1" xfId="3" quotePrefix="1" applyFont="1" applyBorder="1" applyAlignment="1">
      <alignment horizontal="center"/>
    </xf>
    <xf numFmtId="0" fontId="6" fillId="0" borderId="0" xfId="0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3" fillId="0" borderId="1" xfId="0" applyNumberFormat="1" applyFont="1" applyBorder="1" applyAlignment="1">
      <alignment horizontal="center"/>
    </xf>
    <xf numFmtId="37" fontId="3" fillId="0" borderId="0" xfId="0" applyNumberFormat="1" applyFont="1" applyBorder="1"/>
    <xf numFmtId="176" fontId="3" fillId="0" borderId="0" xfId="0" applyNumberFormat="1" applyFont="1"/>
    <xf numFmtId="176" fontId="3" fillId="0" borderId="0" xfId="0" applyNumberFormat="1" applyFont="1" applyBorder="1"/>
    <xf numFmtId="2" fontId="6" fillId="0" borderId="0" xfId="0" applyNumberFormat="1" applyFont="1"/>
    <xf numFmtId="0" fontId="3" fillId="0" borderId="0" xfId="0" applyFont="1" applyAlignment="1">
      <alignment horizontal="centerContinuous"/>
    </xf>
    <xf numFmtId="0" fontId="6" fillId="3" borderId="2" xfId="0" applyFont="1" applyFill="1" applyBorder="1"/>
    <xf numFmtId="178" fontId="3" fillId="0" borderId="0" xfId="0" applyNumberFormat="1" applyFont="1" applyAlignment="1">
      <alignment horizontal="center"/>
    </xf>
    <xf numFmtId="37" fontId="3" fillId="0" borderId="0" xfId="0" applyNumberFormat="1" applyFont="1"/>
    <xf numFmtId="37" fontId="6" fillId="0" borderId="0" xfId="0" applyNumberFormat="1" applyFont="1" applyAlignment="1">
      <alignment horizontal="center"/>
    </xf>
    <xf numFmtId="6" fontId="3" fillId="0" borderId="0" xfId="0" applyNumberFormat="1" applyFont="1"/>
    <xf numFmtId="6" fontId="3" fillId="2" borderId="0" xfId="0" applyNumberFormat="1" applyFont="1" applyFill="1"/>
    <xf numFmtId="0" fontId="6" fillId="0" borderId="0" xfId="0" applyFont="1" applyAlignment="1">
      <alignment horizontal="centerContinuous"/>
    </xf>
    <xf numFmtId="0" fontId="9" fillId="0" borderId="0" xfId="0" applyFont="1"/>
    <xf numFmtId="0" fontId="7" fillId="0" borderId="0" xfId="0" applyFont="1"/>
    <xf numFmtId="14" fontId="6" fillId="0" borderId="1" xfId="0" applyNumberFormat="1" applyFont="1" applyBorder="1"/>
    <xf numFmtId="14" fontId="6" fillId="0" borderId="1" xfId="0" applyNumberFormat="1" applyFont="1" applyBorder="1" applyAlignment="1">
      <alignment horizontal="center"/>
    </xf>
    <xf numFmtId="6" fontId="3" fillId="0" borderId="1" xfId="0" applyNumberFormat="1" applyFont="1" applyBorder="1"/>
    <xf numFmtId="6" fontId="3" fillId="0" borderId="3" xfId="0" applyNumberFormat="1" applyFont="1" applyBorder="1"/>
    <xf numFmtId="176" fontId="10" fillId="3" borderId="5" xfId="3" applyNumberFormat="1" applyFont="1" applyFill="1" applyBorder="1" applyAlignment="1">
      <alignment horizontal="right"/>
    </xf>
    <xf numFmtId="37" fontId="8" fillId="0" borderId="0" xfId="0" applyNumberFormat="1" applyFont="1"/>
    <xf numFmtId="37" fontId="11" fillId="0" borderId="0" xfId="0" applyNumberFormat="1" applyFont="1"/>
    <xf numFmtId="176" fontId="10" fillId="5" borderId="0" xfId="3" applyNumberFormat="1" applyFont="1" applyFill="1" applyBorder="1" applyAlignment="1">
      <alignment horizontal="right"/>
    </xf>
    <xf numFmtId="37" fontId="10" fillId="0" borderId="0" xfId="0" applyNumberFormat="1" applyFont="1"/>
    <xf numFmtId="169" fontId="10" fillId="3" borderId="5" xfId="3" applyNumberFormat="1" applyFont="1" applyFill="1" applyBorder="1" applyAlignment="1">
      <alignment horizontal="center"/>
    </xf>
    <xf numFmtId="37" fontId="10" fillId="6" borderId="6" xfId="0" applyNumberFormat="1" applyFont="1" applyFill="1" applyBorder="1"/>
    <xf numFmtId="37" fontId="2" fillId="0" borderId="0" xfId="0" applyNumberFormat="1" applyFont="1"/>
    <xf numFmtId="37" fontId="10" fillId="6" borderId="7" xfId="0" applyNumberFormat="1" applyFont="1" applyFill="1" applyBorder="1"/>
    <xf numFmtId="177" fontId="2" fillId="0" borderId="0" xfId="0" applyNumberFormat="1" applyFont="1"/>
    <xf numFmtId="177" fontId="2" fillId="5" borderId="0" xfId="0" applyNumberFormat="1" applyFont="1" applyFill="1"/>
    <xf numFmtId="37" fontId="12" fillId="6" borderId="7" xfId="0" applyNumberFormat="1" applyFont="1" applyFill="1" applyBorder="1"/>
    <xf numFmtId="37" fontId="2" fillId="0" borderId="0" xfId="0" applyNumberFormat="1" applyFont="1" applyBorder="1"/>
    <xf numFmtId="0" fontId="2" fillId="0" borderId="0" xfId="0" applyFont="1" applyBorder="1"/>
    <xf numFmtId="2" fontId="8" fillId="0" borderId="0" xfId="0" applyNumberFormat="1" applyFont="1"/>
    <xf numFmtId="7" fontId="10" fillId="3" borderId="5" xfId="0" applyNumberFormat="1" applyFont="1" applyFill="1" applyBorder="1"/>
    <xf numFmtId="39" fontId="8" fillId="5" borderId="0" xfId="0" applyNumberFormat="1" applyFont="1" applyFill="1" applyBorder="1"/>
    <xf numFmtId="37" fontId="2" fillId="0" borderId="1" xfId="0" applyNumberFormat="1" applyFont="1" applyBorder="1"/>
    <xf numFmtId="0" fontId="6" fillId="3" borderId="2" xfId="0" applyFont="1" applyFill="1" applyBorder="1" applyAlignment="1">
      <alignment horizontal="centerContinuous"/>
    </xf>
    <xf numFmtId="0" fontId="6" fillId="3" borderId="3" xfId="0" applyFont="1" applyFill="1" applyBorder="1" applyAlignment="1">
      <alignment horizontal="centerContinuous"/>
    </xf>
    <xf numFmtId="0" fontId="6" fillId="3" borderId="4" xfId="0" applyFont="1" applyFill="1" applyBorder="1" applyAlignment="1">
      <alignment horizontal="centerContinuous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17" fontId="3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Continuous"/>
    </xf>
    <xf numFmtId="0" fontId="3" fillId="0" borderId="12" xfId="0" applyFont="1" applyBorder="1" applyAlignment="1">
      <alignment horizontal="centerContinuous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169" fontId="13" fillId="7" borderId="0" xfId="3" applyNumberFormat="1" applyFont="1" applyFill="1" applyBorder="1" applyProtection="1">
      <protection locked="0"/>
    </xf>
    <xf numFmtId="9" fontId="13" fillId="7" borderId="12" xfId="3" applyNumberFormat="1" applyFont="1" applyFill="1" applyBorder="1" applyAlignment="1" applyProtection="1">
      <alignment horizontal="center"/>
      <protection locked="0"/>
    </xf>
    <xf numFmtId="176" fontId="13" fillId="7" borderId="0" xfId="0" applyNumberFormat="1" applyFont="1" applyFill="1" applyBorder="1" applyProtection="1">
      <protection locked="0"/>
    </xf>
    <xf numFmtId="0" fontId="3" fillId="2" borderId="8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0" xfId="0" applyFont="1" applyFill="1" applyBorder="1"/>
    <xf numFmtId="37" fontId="3" fillId="2" borderId="12" xfId="0" applyNumberFormat="1" applyFont="1" applyFill="1" applyBorder="1"/>
    <xf numFmtId="0" fontId="3" fillId="2" borderId="13" xfId="0" applyFont="1" applyFill="1" applyBorder="1"/>
    <xf numFmtId="0" fontId="3" fillId="2" borderId="1" xfId="0" applyFont="1" applyFill="1" applyBorder="1"/>
    <xf numFmtId="7" fontId="3" fillId="2" borderId="14" xfId="0" applyNumberFormat="1" applyFont="1" applyFill="1" applyBorder="1"/>
    <xf numFmtId="0" fontId="14" fillId="0" borderId="11" xfId="0" applyFont="1" applyBorder="1"/>
    <xf numFmtId="17" fontId="14" fillId="0" borderId="0" xfId="0" applyNumberFormat="1" applyFont="1" applyBorder="1"/>
    <xf numFmtId="0" fontId="14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right"/>
    </xf>
    <xf numFmtId="7" fontId="13" fillId="7" borderId="0" xfId="0" applyNumberFormat="1" applyFont="1" applyFill="1" applyBorder="1" applyProtection="1">
      <protection locked="0"/>
    </xf>
    <xf numFmtId="0" fontId="3" fillId="3" borderId="0" xfId="0" applyFont="1" applyFill="1" applyBorder="1"/>
    <xf numFmtId="169" fontId="13" fillId="7" borderId="12" xfId="3" applyNumberFormat="1" applyFont="1" applyFill="1" applyBorder="1" applyAlignment="1" applyProtection="1">
      <alignment horizontal="center"/>
      <protection locked="0"/>
    </xf>
    <xf numFmtId="0" fontId="6" fillId="0" borderId="11" xfId="0" applyFont="1" applyBorder="1"/>
    <xf numFmtId="176" fontId="13" fillId="5" borderId="0" xfId="0" applyNumberFormat="1" applyFont="1" applyFill="1" applyBorder="1" applyProtection="1">
      <protection locked="0"/>
    </xf>
    <xf numFmtId="169" fontId="15" fillId="2" borderId="2" xfId="3" applyNumberFormat="1" applyFont="1" applyFill="1" applyBorder="1" applyProtection="1"/>
    <xf numFmtId="169" fontId="15" fillId="2" borderId="3" xfId="3" applyNumberFormat="1" applyFont="1" applyFill="1" applyBorder="1" applyProtection="1"/>
    <xf numFmtId="169" fontId="15" fillId="2" borderId="4" xfId="3" applyNumberFormat="1" applyFont="1" applyFill="1" applyBorder="1" applyProtection="1"/>
    <xf numFmtId="176" fontId="3" fillId="0" borderId="9" xfId="0" applyNumberFormat="1" applyFont="1" applyBorder="1"/>
    <xf numFmtId="178" fontId="16" fillId="7" borderId="0" xfId="0" applyNumberFormat="1" applyFont="1" applyFill="1" applyBorder="1" applyProtection="1">
      <protection locked="0"/>
    </xf>
    <xf numFmtId="0" fontId="13" fillId="7" borderId="0" xfId="0" applyFont="1" applyFill="1" applyBorder="1" applyAlignment="1" applyProtection="1">
      <alignment horizontal="right"/>
      <protection locked="0"/>
    </xf>
    <xf numFmtId="0" fontId="13" fillId="7" borderId="0" xfId="0" applyFont="1" applyFill="1" applyBorder="1" applyProtection="1">
      <protection locked="0"/>
    </xf>
    <xf numFmtId="176" fontId="3" fillId="0" borderId="5" xfId="0" applyNumberFormat="1" applyFont="1" applyBorder="1"/>
    <xf numFmtId="0" fontId="14" fillId="0" borderId="8" xfId="0" applyFont="1" applyBorder="1"/>
    <xf numFmtId="0" fontId="0" fillId="0" borderId="9" xfId="0" applyBorder="1"/>
    <xf numFmtId="176" fontId="14" fillId="0" borderId="0" xfId="0" applyNumberFormat="1" applyFont="1" applyBorder="1"/>
    <xf numFmtId="169" fontId="13" fillId="7" borderId="1" xfId="3" applyNumberFormat="1" applyFont="1" applyFill="1" applyBorder="1" applyProtection="1">
      <protection locked="0"/>
    </xf>
    <xf numFmtId="0" fontId="14" fillId="2" borderId="11" xfId="0" applyFont="1" applyFill="1" applyBorder="1"/>
    <xf numFmtId="0" fontId="2" fillId="2" borderId="0" xfId="0" applyFont="1" applyFill="1" applyBorder="1"/>
    <xf numFmtId="7" fontId="3" fillId="3" borderId="5" xfId="0" applyNumberFormat="1" applyFont="1" applyFill="1" applyBorder="1" applyAlignment="1">
      <alignment horizontal="center"/>
    </xf>
    <xf numFmtId="176" fontId="3" fillId="2" borderId="0" xfId="0" applyNumberFormat="1" applyFont="1" applyFill="1" applyBorder="1" applyAlignment="1">
      <alignment horizontal="right"/>
    </xf>
    <xf numFmtId="176" fontId="3" fillId="2" borderId="0" xfId="0" applyNumberFormat="1" applyFont="1" applyFill="1" applyBorder="1"/>
    <xf numFmtId="0" fontId="3" fillId="2" borderId="11" xfId="0" applyFont="1" applyFill="1" applyBorder="1" applyProtection="1">
      <protection locked="0"/>
    </xf>
    <xf numFmtId="0" fontId="3" fillId="2" borderId="9" xfId="0" applyFont="1" applyFill="1" applyBorder="1" applyProtection="1">
      <protection locked="0"/>
    </xf>
    <xf numFmtId="0" fontId="3" fillId="2" borderId="10" xfId="0" applyFont="1" applyFill="1" applyBorder="1" applyProtection="1">
      <protection locked="0"/>
    </xf>
    <xf numFmtId="0" fontId="0" fillId="2" borderId="11" xfId="0" applyFill="1" applyBorder="1"/>
    <xf numFmtId="0" fontId="0" fillId="2" borderId="0" xfId="0" applyFill="1"/>
    <xf numFmtId="0" fontId="0" fillId="2" borderId="12" xfId="0" applyFill="1" applyBorder="1"/>
    <xf numFmtId="0" fontId="14" fillId="2" borderId="11" xfId="0" applyFont="1" applyFill="1" applyBorder="1" applyAlignment="1">
      <alignment horizontal="center"/>
    </xf>
    <xf numFmtId="0" fontId="3" fillId="2" borderId="0" xfId="0" applyFont="1" applyFill="1" applyBorder="1" applyProtection="1">
      <protection locked="0"/>
    </xf>
    <xf numFmtId="169" fontId="3" fillId="3" borderId="5" xfId="3" applyNumberFormat="1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13" xfId="0" applyFont="1" applyFill="1" applyBorder="1" applyProtection="1">
      <protection locked="0"/>
    </xf>
    <xf numFmtId="0" fontId="3" fillId="2" borderId="1" xfId="0" applyFont="1" applyFill="1" applyBorder="1" applyProtection="1">
      <protection locked="0"/>
    </xf>
    <xf numFmtId="0" fontId="3" fillId="2" borderId="14" xfId="0" applyFont="1" applyFill="1" applyBorder="1" applyProtection="1">
      <protection locked="0"/>
    </xf>
    <xf numFmtId="3" fontId="3" fillId="0" borderId="0" xfId="0" applyNumberFormat="1" applyFont="1" applyAlignment="1">
      <alignment horizontal="left"/>
    </xf>
    <xf numFmtId="6" fontId="3" fillId="0" borderId="0" xfId="0" applyNumberFormat="1" applyFont="1" applyFill="1"/>
    <xf numFmtId="37" fontId="10" fillId="4" borderId="0" xfId="0" applyNumberFormat="1" applyFont="1" applyFill="1" applyAlignment="1">
      <alignment horizontal="right"/>
    </xf>
    <xf numFmtId="180" fontId="8" fillId="3" borderId="3" xfId="0" applyNumberFormat="1" applyFont="1" applyFill="1" applyBorder="1"/>
    <xf numFmtId="180" fontId="8" fillId="3" borderId="4" xfId="0" applyNumberFormat="1" applyFont="1" applyFill="1" applyBorder="1"/>
    <xf numFmtId="189" fontId="3" fillId="0" borderId="0" xfId="2" applyNumberFormat="1" applyFont="1"/>
    <xf numFmtId="189" fontId="3" fillId="0" borderId="1" xfId="2" applyNumberFormat="1" applyFont="1" applyBorder="1"/>
    <xf numFmtId="168" fontId="3" fillId="0" borderId="0" xfId="1" applyNumberFormat="1" applyFont="1"/>
    <xf numFmtId="168" fontId="3" fillId="0" borderId="1" xfId="1" applyNumberFormat="1" applyFont="1" applyBorder="1"/>
    <xf numFmtId="168" fontId="3" fillId="2" borderId="0" xfId="0" applyNumberFormat="1" applyFont="1" applyFill="1"/>
    <xf numFmtId="0" fontId="17" fillId="0" borderId="0" xfId="0" applyFont="1"/>
    <xf numFmtId="0" fontId="3" fillId="3" borderId="0" xfId="0" applyFont="1" applyFill="1"/>
    <xf numFmtId="0" fontId="6" fillId="3" borderId="1" xfId="0" applyFont="1" applyFill="1" applyBorder="1"/>
    <xf numFmtId="0" fontId="0" fillId="3" borderId="0" xfId="0" applyFill="1"/>
    <xf numFmtId="0" fontId="3" fillId="3" borderId="1" xfId="0" applyFont="1" applyFill="1" applyBorder="1"/>
    <xf numFmtId="0" fontId="3" fillId="3" borderId="0" xfId="0" applyFont="1" applyFill="1" applyAlignment="1">
      <alignment horizontal="center"/>
    </xf>
    <xf numFmtId="10" fontId="3" fillId="3" borderId="0" xfId="0" applyNumberFormat="1" applyFont="1" applyFill="1"/>
    <xf numFmtId="10" fontId="3" fillId="0" borderId="12" xfId="3" applyNumberFormat="1" applyFont="1" applyBorder="1"/>
    <xf numFmtId="10" fontId="13" fillId="7" borderId="0" xfId="3" applyNumberFormat="1" applyFont="1" applyFill="1" applyBorder="1" applyAlignment="1" applyProtection="1">
      <alignment horizontal="center"/>
      <protection locked="0"/>
    </xf>
    <xf numFmtId="189" fontId="3" fillId="0" borderId="0" xfId="2" applyNumberFormat="1" applyFont="1" applyBorder="1"/>
    <xf numFmtId="168" fontId="3" fillId="0" borderId="0" xfId="1" applyNumberFormat="1" applyFont="1" applyBorder="1"/>
    <xf numFmtId="9" fontId="3" fillId="0" borderId="0" xfId="3" applyFont="1"/>
    <xf numFmtId="169" fontId="3" fillId="0" borderId="0" xfId="3" applyNumberFormat="1" applyFont="1"/>
    <xf numFmtId="43" fontId="3" fillId="0" borderId="0" xfId="1" applyNumberFormat="1" applyFont="1"/>
    <xf numFmtId="6" fontId="3" fillId="0" borderId="1" xfId="0" applyNumberFormat="1" applyFont="1" applyFill="1" applyBorder="1"/>
    <xf numFmtId="168" fontId="3" fillId="0" borderId="0" xfId="0" applyNumberFormat="1" applyFont="1" applyFill="1"/>
    <xf numFmtId="0" fontId="3" fillId="8" borderId="3" xfId="0" applyFont="1" applyFill="1" applyBorder="1"/>
    <xf numFmtId="189" fontId="3" fillId="8" borderId="3" xfId="2" applyNumberFormat="1" applyFont="1" applyFill="1" applyBorder="1"/>
    <xf numFmtId="0" fontId="3" fillId="8" borderId="3" xfId="0" applyFont="1" applyFill="1" applyBorder="1" applyAlignment="1">
      <alignment horizontal="center"/>
    </xf>
    <xf numFmtId="0" fontId="3" fillId="8" borderId="1" xfId="0" applyFont="1" applyFill="1" applyBorder="1"/>
    <xf numFmtId="168" fontId="3" fillId="8" borderId="1" xfId="1" applyNumberFormat="1" applyFont="1" applyFill="1" applyBorder="1"/>
    <xf numFmtId="37" fontId="3" fillId="8" borderId="1" xfId="0" applyNumberFormat="1" applyFont="1" applyFill="1" applyBorder="1"/>
    <xf numFmtId="168" fontId="3" fillId="8" borderId="3" xfId="1" applyNumberFormat="1" applyFont="1" applyFill="1" applyBorder="1"/>
    <xf numFmtId="189" fontId="3" fillId="9" borderId="0" xfId="2" applyNumberFormat="1" applyFont="1" applyFill="1"/>
    <xf numFmtId="37" fontId="3" fillId="9" borderId="0" xfId="0" applyNumberFormat="1" applyFont="1" applyFill="1" applyAlignment="1">
      <alignment horizontal="center"/>
    </xf>
    <xf numFmtId="0" fontId="3" fillId="9" borderId="0" xfId="0" applyFont="1" applyFill="1" applyAlignment="1">
      <alignment horizontal="center"/>
    </xf>
    <xf numFmtId="168" fontId="3" fillId="9" borderId="0" xfId="1" applyNumberFormat="1" applyFont="1" applyFill="1"/>
    <xf numFmtId="6" fontId="2" fillId="0" borderId="0" xfId="0" applyNumberFormat="1" applyFont="1" applyBorder="1"/>
    <xf numFmtId="6" fontId="8" fillId="0" borderId="0" xfId="0" applyNumberFormat="1" applyFont="1"/>
    <xf numFmtId="0" fontId="3" fillId="9" borderId="3" xfId="0" applyFont="1" applyFill="1" applyBorder="1"/>
    <xf numFmtId="6" fontId="3" fillId="9" borderId="3" xfId="0" applyNumberFormat="1" applyFont="1" applyFill="1" applyBorder="1"/>
    <xf numFmtId="0" fontId="3" fillId="9" borderId="3" xfId="0" applyFont="1" applyFill="1" applyBorder="1" applyAlignment="1">
      <alignment horizontal="center"/>
    </xf>
    <xf numFmtId="0" fontId="21" fillId="0" borderId="0" xfId="0" applyFont="1"/>
    <xf numFmtId="7" fontId="0" fillId="0" borderId="0" xfId="0" applyNumberFormat="1"/>
    <xf numFmtId="189" fontId="0" fillId="0" borderId="0" xfId="2" applyNumberFormat="1" applyFont="1"/>
    <xf numFmtId="0" fontId="21" fillId="0" borderId="15" xfId="0" applyFont="1" applyBorder="1"/>
    <xf numFmtId="189" fontId="0" fillId="0" borderId="16" xfId="2" applyNumberFormat="1" applyFont="1" applyBorder="1"/>
    <xf numFmtId="7" fontId="0" fillId="0" borderId="17" xfId="0" applyNumberFormat="1" applyBorder="1"/>
    <xf numFmtId="0" fontId="21" fillId="0" borderId="0" xfId="0" quotePrefix="1" applyFont="1"/>
    <xf numFmtId="6" fontId="3" fillId="0" borderId="0" xfId="0" applyNumberFormat="1" applyFont="1" applyBorder="1"/>
    <xf numFmtId="6" fontId="3" fillId="0" borderId="0" xfId="0" applyNumberFormat="1" applyFont="1" applyFill="1" applyBorder="1"/>
    <xf numFmtId="0" fontId="3" fillId="9" borderId="2" xfId="0" applyFont="1" applyFill="1" applyBorder="1"/>
    <xf numFmtId="189" fontId="3" fillId="3" borderId="0" xfId="2" applyNumberFormat="1" applyFont="1" applyFill="1"/>
    <xf numFmtId="37" fontId="3" fillId="3" borderId="0" xfId="0" applyNumberFormat="1" applyFont="1" applyFill="1" applyAlignment="1">
      <alignment horizontal="center"/>
    </xf>
    <xf numFmtId="8" fontId="4" fillId="0" borderId="0" xfId="0" applyNumberFormat="1" applyFont="1"/>
    <xf numFmtId="43" fontId="6" fillId="0" borderId="0" xfId="1" applyFont="1" applyAlignment="1">
      <alignment horizontal="center"/>
    </xf>
    <xf numFmtId="43" fontId="3" fillId="0" borderId="0" xfId="1" applyFont="1" applyAlignment="1">
      <alignment horizontal="center"/>
    </xf>
    <xf numFmtId="176" fontId="8" fillId="0" borderId="0" xfId="0" applyNumberFormat="1" applyFont="1"/>
    <xf numFmtId="0" fontId="3" fillId="0" borderId="0" xfId="0" applyFont="1" applyBorder="1" applyAlignment="1">
      <alignment horizontal="left"/>
    </xf>
    <xf numFmtId="0" fontId="20" fillId="8" borderId="0" xfId="0" applyFont="1" applyFill="1" applyAlignment="1">
      <alignment horizontal="center"/>
    </xf>
    <xf numFmtId="6" fontId="3" fillId="0" borderId="1" xfId="0" applyNumberFormat="1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Percent" xfId="3" builtinId="5"/>
    <cellStyle name="Table_Header_Unit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00355871886118"/>
          <c:y val="4.05759162303665E-2"/>
          <c:w val="0.82829181494661919"/>
          <c:h val="0.828534031413612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Data!$A$14</c:f>
              <c:strCache>
                <c:ptCount val="1"/>
                <c:pt idx="0">
                  <c:v>OAT-Enterprise Value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Data!$B$14:$F$14</c:f>
              <c:numCache>
                <c:formatCode>_("$"* #,##0_);_("$"* \(#,##0\);_("$"* "-"??_);_(@_)</c:formatCode>
                <c:ptCount val="5"/>
                <c:pt idx="0">
                  <c:v>15719.254796779178</c:v>
                </c:pt>
                <c:pt idx="1">
                  <c:v>15750</c:v>
                </c:pt>
                <c:pt idx="2">
                  <c:v>14800</c:v>
                </c:pt>
                <c:pt idx="3">
                  <c:v>13400</c:v>
                </c:pt>
                <c:pt idx="4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C-47E3-94BA-BC796523C392}"/>
            </c:ext>
          </c:extLst>
        </c:ser>
        <c:ser>
          <c:idx val="1"/>
          <c:order val="1"/>
          <c:tx>
            <c:strRef>
              <c:f>Data!$A$15</c:f>
              <c:strCache>
                <c:ptCount val="1"/>
                <c:pt idx="0">
                  <c:v>OAT-Stock 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Data!$B$15:$F$15</c:f>
              <c:numCache>
                <c:formatCode>"$"#,##0.00_);\("$"#,##0.00\)</c:formatCode>
                <c:ptCount val="5"/>
                <c:pt idx="0">
                  <c:v>113.12980677146111</c:v>
                </c:pt>
                <c:pt idx="1">
                  <c:v>115.09</c:v>
                </c:pt>
                <c:pt idx="2">
                  <c:v>112.17815103120525</c:v>
                </c:pt>
                <c:pt idx="3">
                  <c:v>105</c:v>
                </c:pt>
                <c:pt idx="4">
                  <c:v>113.69407199108639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C-47E3-94BA-BC796523C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0955776"/>
        <c:axId val="1"/>
      </c:barChart>
      <c:catAx>
        <c:axId val="150955776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50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Enterprise Value (millions)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30497382198952883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955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29715302491103196"/>
          <c:y val="0.94109947643979053"/>
          <c:w val="0.56049822064056931"/>
          <c:h val="4.973821989528795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dasovic/My%20Documents/MBA--Financial%20Information%20Analysis/Vons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Safeway"/>
      <sheetName val="Vons"/>
      <sheetName val="Cmn-Sized"/>
      <sheetName val="Additional Calculations"/>
      <sheetName val="DCF"/>
      <sheetName val="Trading Comps"/>
      <sheetName val="Deal Comps"/>
      <sheetName val="Purchase"/>
      <sheetName val="EPS Accretion"/>
    </sheetNames>
    <sheetDataSet>
      <sheetData sheetId="0"/>
      <sheetData sheetId="1"/>
      <sheetData sheetId="2">
        <row r="30">
          <cell r="B30">
            <v>738.4</v>
          </cell>
        </row>
      </sheetData>
      <sheetData sheetId="3"/>
      <sheetData sheetId="4"/>
      <sheetData sheetId="5"/>
      <sheetData sheetId="6"/>
      <sheetData sheetId="7"/>
      <sheetData sheetId="8">
        <row r="38">
          <cell r="N38">
            <v>0.3628965705597077</v>
          </cell>
        </row>
      </sheetData>
      <sheetData sheetId="9">
        <row r="29"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2" workbookViewId="0">
      <selection activeCell="E12" sqref="E12"/>
    </sheetView>
  </sheetViews>
  <sheetFormatPr defaultRowHeight="10.199999999999999" x14ac:dyDescent="0.2"/>
  <cols>
    <col min="5" max="5" width="12" customWidth="1"/>
    <col min="6" max="6" width="9.85546875" bestFit="1" customWidth="1"/>
  </cols>
  <sheetData>
    <row r="1" spans="1:12" ht="13.2" x14ac:dyDescent="0.25">
      <c r="A1" s="81" t="s">
        <v>221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3.2" x14ac:dyDescent="0.25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13.2" x14ac:dyDescent="0.25">
      <c r="A3" s="87" t="s">
        <v>222</v>
      </c>
      <c r="B3" s="19"/>
      <c r="C3" s="19"/>
      <c r="D3" s="19"/>
      <c r="E3" s="19" t="s">
        <v>300</v>
      </c>
      <c r="F3" s="19"/>
      <c r="G3" s="19"/>
      <c r="H3" s="19" t="s">
        <v>223</v>
      </c>
      <c r="I3" s="19"/>
      <c r="J3" s="19"/>
      <c r="K3" s="88">
        <v>36861</v>
      </c>
      <c r="L3" s="89">
        <v>2000</v>
      </c>
    </row>
    <row r="4" spans="1:12" ht="13.2" x14ac:dyDescent="0.25">
      <c r="A4" s="87" t="s">
        <v>224</v>
      </c>
      <c r="B4" s="19"/>
      <c r="C4" s="19"/>
      <c r="D4" s="19"/>
      <c r="E4" s="19" t="s">
        <v>287</v>
      </c>
      <c r="F4" s="19"/>
      <c r="G4" s="19"/>
      <c r="H4" s="19" t="s">
        <v>225</v>
      </c>
      <c r="I4" s="19"/>
      <c r="J4" s="19"/>
      <c r="K4" s="90" t="s">
        <v>226</v>
      </c>
      <c r="L4" s="91"/>
    </row>
    <row r="5" spans="1:12" ht="13.2" x14ac:dyDescent="0.25">
      <c r="A5" s="87"/>
      <c r="B5" s="19"/>
      <c r="C5" s="19"/>
      <c r="D5" s="19"/>
      <c r="E5" s="19"/>
      <c r="F5" s="19"/>
      <c r="G5" s="19"/>
      <c r="H5" s="19"/>
      <c r="I5" s="19"/>
      <c r="J5" s="19"/>
      <c r="K5" s="19"/>
      <c r="L5" s="92"/>
    </row>
    <row r="6" spans="1:12" ht="13.2" x14ac:dyDescent="0.25">
      <c r="A6" s="87"/>
      <c r="B6" s="19"/>
      <c r="C6" s="19"/>
      <c r="D6" s="19"/>
      <c r="E6" s="19"/>
      <c r="F6" s="19"/>
      <c r="G6" s="19"/>
      <c r="H6" s="19"/>
      <c r="I6" s="19"/>
      <c r="J6" s="19"/>
      <c r="K6" s="19"/>
      <c r="L6" s="92"/>
    </row>
    <row r="7" spans="1:12" ht="13.2" x14ac:dyDescent="0.25">
      <c r="A7" s="93"/>
      <c r="B7" s="7"/>
      <c r="C7" s="7"/>
      <c r="D7" s="7"/>
      <c r="E7" s="7"/>
      <c r="F7" s="7"/>
      <c r="G7" s="7"/>
      <c r="H7" s="7"/>
      <c r="I7" s="7"/>
      <c r="J7" s="7"/>
      <c r="K7" s="7"/>
      <c r="L7" s="94"/>
    </row>
    <row r="8" spans="1:12" ht="13.2" x14ac:dyDescent="0.25">
      <c r="A8" s="81" t="s">
        <v>227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3"/>
    </row>
    <row r="9" spans="1:12" ht="13.2" x14ac:dyDescent="0.25">
      <c r="A9" s="84"/>
      <c r="B9" s="85"/>
      <c r="C9" s="85"/>
      <c r="D9" s="85"/>
      <c r="E9" s="85"/>
      <c r="F9" s="85"/>
      <c r="G9" s="85"/>
      <c r="H9" s="85"/>
      <c r="I9" s="85"/>
      <c r="J9" s="85"/>
      <c r="K9" s="85"/>
      <c r="L9" s="86"/>
    </row>
    <row r="10" spans="1:12" ht="13.2" x14ac:dyDescent="0.25">
      <c r="A10" s="87" t="s">
        <v>228</v>
      </c>
      <c r="B10" s="19"/>
      <c r="C10" s="19"/>
      <c r="D10" s="19"/>
      <c r="E10" s="95">
        <v>0.09</v>
      </c>
      <c r="F10" s="19"/>
      <c r="G10" s="19"/>
      <c r="H10" s="19" t="s">
        <v>289</v>
      </c>
      <c r="I10" s="19"/>
      <c r="J10" s="19"/>
      <c r="K10" s="19"/>
      <c r="L10" s="96">
        <f>'OAT DCF'!D20</f>
        <v>0.34567229178007619</v>
      </c>
    </row>
    <row r="11" spans="1:12" ht="13.2" x14ac:dyDescent="0.25">
      <c r="A11" s="87" t="s">
        <v>229</v>
      </c>
      <c r="B11" s="19"/>
      <c r="C11" s="19"/>
      <c r="D11" s="19"/>
      <c r="E11" s="97">
        <v>18</v>
      </c>
      <c r="F11" s="19">
        <v>14</v>
      </c>
      <c r="G11" s="19"/>
      <c r="H11" s="19"/>
      <c r="I11" s="19"/>
      <c r="J11" s="19"/>
      <c r="K11" s="19"/>
      <c r="L11" s="96"/>
    </row>
    <row r="12" spans="1:12" ht="13.2" x14ac:dyDescent="0.25">
      <c r="C12" s="9">
        <v>2001</v>
      </c>
      <c r="D12" s="7">
        <f>C12+1</f>
        <v>2002</v>
      </c>
      <c r="E12" s="7">
        <f t="shared" ref="E12:L12" si="0">D12+1</f>
        <v>2003</v>
      </c>
      <c r="F12" s="7">
        <f t="shared" si="0"/>
        <v>2004</v>
      </c>
      <c r="G12" s="7">
        <f t="shared" si="0"/>
        <v>2005</v>
      </c>
      <c r="H12" s="7">
        <f t="shared" si="0"/>
        <v>2006</v>
      </c>
      <c r="I12" s="7">
        <f t="shared" si="0"/>
        <v>2007</v>
      </c>
      <c r="J12" s="7">
        <f t="shared" si="0"/>
        <v>2008</v>
      </c>
      <c r="K12" s="7">
        <f t="shared" si="0"/>
        <v>2009</v>
      </c>
      <c r="L12" s="94">
        <f t="shared" si="0"/>
        <v>2010</v>
      </c>
    </row>
    <row r="13" spans="1:12" ht="13.2" x14ac:dyDescent="0.25">
      <c r="A13" s="2" t="s">
        <v>138</v>
      </c>
      <c r="C13" s="164">
        <v>0.06</v>
      </c>
      <c r="D13" s="164">
        <v>0.06</v>
      </c>
      <c r="E13" s="164">
        <v>0.06</v>
      </c>
      <c r="F13" s="164">
        <v>0.06</v>
      </c>
      <c r="G13" s="164">
        <v>0.06</v>
      </c>
      <c r="H13" s="164">
        <v>0.06</v>
      </c>
      <c r="I13" s="164">
        <v>0.06</v>
      </c>
      <c r="J13" s="164">
        <v>0.06</v>
      </c>
      <c r="K13" s="164">
        <v>0.06</v>
      </c>
      <c r="L13" s="164">
        <v>0.06</v>
      </c>
    </row>
    <row r="14" spans="1:12" ht="13.2" x14ac:dyDescent="0.25">
      <c r="A14" s="2" t="s">
        <v>301</v>
      </c>
      <c r="C14" s="164">
        <v>0.45390000000000003</v>
      </c>
      <c r="D14" s="164">
        <v>0.45</v>
      </c>
      <c r="E14" s="164">
        <v>0.44500000000000001</v>
      </c>
      <c r="F14" s="164">
        <v>0.44</v>
      </c>
      <c r="G14" s="164">
        <v>0.435</v>
      </c>
      <c r="H14" s="164">
        <v>0.43</v>
      </c>
      <c r="I14" s="164">
        <v>0.43</v>
      </c>
      <c r="J14" s="164">
        <v>0.43</v>
      </c>
      <c r="K14" s="164">
        <v>0.43</v>
      </c>
      <c r="L14" s="164">
        <v>0.43</v>
      </c>
    </row>
    <row r="15" spans="1:12" ht="13.2" x14ac:dyDescent="0.25">
      <c r="A15" s="2" t="s">
        <v>302</v>
      </c>
      <c r="C15" s="164">
        <v>0.3906</v>
      </c>
      <c r="D15" s="164">
        <v>0.3906</v>
      </c>
      <c r="E15" s="164">
        <v>0.3906</v>
      </c>
      <c r="F15" s="164">
        <v>0.3906</v>
      </c>
      <c r="G15" s="164">
        <v>0.3906</v>
      </c>
      <c r="H15" s="164">
        <v>0.3906</v>
      </c>
      <c r="I15" s="164">
        <v>0.3906</v>
      </c>
      <c r="J15" s="164">
        <v>0.3906</v>
      </c>
      <c r="K15" s="164">
        <v>0.3906</v>
      </c>
      <c r="L15" s="164">
        <v>0.3906</v>
      </c>
    </row>
    <row r="16" spans="1:12" ht="13.2" x14ac:dyDescent="0.25">
      <c r="A16" s="2"/>
      <c r="C16" s="10"/>
      <c r="D16" s="10"/>
      <c r="E16" s="10"/>
      <c r="F16" s="10"/>
      <c r="G16" s="10"/>
      <c r="H16" s="10"/>
      <c r="I16" s="10"/>
      <c r="J16" s="10"/>
      <c r="K16" s="10"/>
      <c r="L16" s="163"/>
    </row>
    <row r="17" spans="1:12" ht="13.2" x14ac:dyDescent="0.25">
      <c r="A17" s="2"/>
      <c r="C17" s="10"/>
      <c r="D17" s="10"/>
      <c r="E17" s="10"/>
      <c r="F17" s="10"/>
      <c r="G17" s="10"/>
      <c r="H17" s="10"/>
      <c r="I17" s="10"/>
      <c r="J17" s="10"/>
      <c r="K17" s="10"/>
      <c r="L17" s="163"/>
    </row>
    <row r="18" spans="1:12" ht="13.2" x14ac:dyDescent="0.25">
      <c r="A18" s="87"/>
      <c r="B18" s="19"/>
      <c r="C18" s="19"/>
      <c r="D18" s="19"/>
      <c r="E18" s="97"/>
      <c r="F18" s="19"/>
      <c r="G18" s="19"/>
      <c r="H18" s="19"/>
      <c r="I18" s="19"/>
      <c r="J18" s="19"/>
      <c r="K18" s="19"/>
      <c r="L18" s="96"/>
    </row>
    <row r="19" spans="1:12" ht="13.2" x14ac:dyDescent="0.25">
      <c r="A19" s="87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92"/>
    </row>
    <row r="20" spans="1:12" ht="13.2" x14ac:dyDescent="0.25">
      <c r="A20" s="98" t="s">
        <v>230</v>
      </c>
      <c r="B20" s="99"/>
      <c r="C20" s="99"/>
      <c r="D20" s="99"/>
      <c r="E20" s="100"/>
      <c r="F20" s="19"/>
      <c r="G20" s="204" t="s">
        <v>303</v>
      </c>
      <c r="H20" s="204"/>
      <c r="I20" s="164">
        <v>0.05</v>
      </c>
      <c r="J20" s="19"/>
      <c r="K20" s="19"/>
      <c r="L20" s="92"/>
    </row>
    <row r="21" spans="1:12" ht="13.2" x14ac:dyDescent="0.25">
      <c r="A21" s="101" t="s">
        <v>231</v>
      </c>
      <c r="B21" s="102"/>
      <c r="C21" s="102"/>
      <c r="D21" s="102"/>
      <c r="E21" s="103">
        <f>'OAT DCF'!E41</f>
        <v>15719.254796779178</v>
      </c>
      <c r="F21" s="19"/>
      <c r="G21" s="204" t="s">
        <v>304</v>
      </c>
      <c r="H21" s="204"/>
      <c r="I21" s="164">
        <v>0.08</v>
      </c>
      <c r="J21" s="19"/>
      <c r="K21" s="19"/>
      <c r="L21" s="92"/>
    </row>
    <row r="22" spans="1:12" ht="13.2" x14ac:dyDescent="0.25">
      <c r="A22" s="104" t="s">
        <v>232</v>
      </c>
      <c r="B22" s="105"/>
      <c r="C22" s="105"/>
      <c r="D22" s="105"/>
      <c r="E22" s="106">
        <f>'OAT DCF'!E46</f>
        <v>113.12980677146111</v>
      </c>
      <c r="F22" s="7"/>
      <c r="G22" s="7"/>
      <c r="H22" s="7"/>
      <c r="I22" s="7"/>
      <c r="J22" s="7"/>
      <c r="K22" s="7"/>
      <c r="L22" s="94"/>
    </row>
    <row r="23" spans="1:12" ht="13.2" x14ac:dyDescent="0.25">
      <c r="A23" s="81" t="s">
        <v>233</v>
      </c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3"/>
    </row>
    <row r="24" spans="1:12" ht="13.2" x14ac:dyDescent="0.25">
      <c r="A24" s="84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6"/>
    </row>
    <row r="25" spans="1:12" ht="13.2" x14ac:dyDescent="0.25">
      <c r="A25" s="107" t="s">
        <v>234</v>
      </c>
      <c r="B25" s="19"/>
      <c r="C25" s="19"/>
      <c r="D25" s="19"/>
      <c r="E25" s="19"/>
      <c r="F25" s="19"/>
      <c r="G25" s="108">
        <f>+K3+365</f>
        <v>37226</v>
      </c>
      <c r="H25" s="108">
        <f>+G25+365</f>
        <v>37591</v>
      </c>
      <c r="I25" s="108">
        <f>+H25+365</f>
        <v>37956</v>
      </c>
      <c r="J25" s="108">
        <f>+I25+370</f>
        <v>38326</v>
      </c>
      <c r="K25" s="108">
        <f>+J25+365</f>
        <v>38691</v>
      </c>
      <c r="L25" s="109" t="s">
        <v>235</v>
      </c>
    </row>
    <row r="26" spans="1:12" ht="13.2" x14ac:dyDescent="0.25">
      <c r="A26" s="87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10"/>
    </row>
    <row r="27" spans="1:12" ht="13.2" x14ac:dyDescent="0.25">
      <c r="A27" s="87"/>
      <c r="B27" s="19"/>
      <c r="C27" s="19"/>
      <c r="D27" s="19"/>
      <c r="E27" s="19" t="str">
        <f>+E3</f>
        <v>Coca Cola</v>
      </c>
      <c r="F27" s="19"/>
      <c r="G27" s="111">
        <v>0</v>
      </c>
      <c r="H27" s="111">
        <v>0</v>
      </c>
      <c r="I27" s="112"/>
      <c r="J27" s="112"/>
      <c r="K27" s="112"/>
      <c r="L27" s="113">
        <v>0</v>
      </c>
    </row>
    <row r="28" spans="1:12" ht="13.2" x14ac:dyDescent="0.25">
      <c r="A28" s="87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92"/>
    </row>
    <row r="29" spans="1:12" ht="13.2" x14ac:dyDescent="0.25">
      <c r="A29" s="107" t="s">
        <v>236</v>
      </c>
      <c r="B29" s="19"/>
      <c r="C29" s="19"/>
      <c r="D29" s="19"/>
      <c r="E29" s="19" t="s">
        <v>237</v>
      </c>
      <c r="F29" s="19"/>
      <c r="G29" s="95">
        <v>0</v>
      </c>
      <c r="H29" s="95">
        <v>0</v>
      </c>
      <c r="I29" s="95">
        <v>0</v>
      </c>
      <c r="J29" s="95">
        <v>0</v>
      </c>
      <c r="K29" s="95">
        <v>0</v>
      </c>
      <c r="L29" s="92"/>
    </row>
    <row r="30" spans="1:12" ht="13.2" x14ac:dyDescent="0.25">
      <c r="A30" s="114" t="s">
        <v>238</v>
      </c>
      <c r="B30" s="19"/>
      <c r="C30" s="19"/>
      <c r="D30" s="19"/>
      <c r="E30" s="19" t="s">
        <v>239</v>
      </c>
      <c r="F30" s="19"/>
      <c r="G30" s="97">
        <v>0</v>
      </c>
      <c r="H30" s="97">
        <v>0</v>
      </c>
      <c r="I30" s="97">
        <v>0</v>
      </c>
      <c r="J30" s="97">
        <v>0</v>
      </c>
      <c r="K30" s="97">
        <v>0</v>
      </c>
      <c r="L30" s="92"/>
    </row>
    <row r="31" spans="1:12" ht="13.2" x14ac:dyDescent="0.25">
      <c r="A31" s="114"/>
      <c r="B31" s="19"/>
      <c r="C31" s="19"/>
      <c r="D31" s="19"/>
      <c r="E31" s="19"/>
      <c r="F31" s="19"/>
      <c r="G31" s="115"/>
      <c r="H31" s="115"/>
      <c r="I31" s="115"/>
      <c r="J31" s="115"/>
      <c r="K31" s="115"/>
      <c r="L31" s="92"/>
    </row>
    <row r="32" spans="1:12" ht="13.2" x14ac:dyDescent="0.25">
      <c r="A32" s="114"/>
      <c r="B32" s="19"/>
      <c r="C32" s="19"/>
      <c r="D32" s="19"/>
      <c r="E32" s="19" t="s">
        <v>240</v>
      </c>
      <c r="F32" s="76" t="s">
        <v>241</v>
      </c>
      <c r="G32" s="116">
        <f>+'[1]EPS Accretion'!G60</f>
        <v>0</v>
      </c>
      <c r="H32" s="117">
        <f>+'[1]EPS Accretion'!H60</f>
        <v>0</v>
      </c>
      <c r="I32" s="117">
        <f>+'[1]EPS Accretion'!I60</f>
        <v>0</v>
      </c>
      <c r="J32" s="117">
        <f>+'[1]EPS Accretion'!J60</f>
        <v>0</v>
      </c>
      <c r="K32" s="118">
        <f>+'[1]EPS Accretion'!K60</f>
        <v>0</v>
      </c>
      <c r="L32" s="92"/>
    </row>
    <row r="33" spans="1:12" ht="13.2" x14ac:dyDescent="0.25">
      <c r="A33" s="87"/>
      <c r="B33" s="19"/>
      <c r="C33" s="19"/>
      <c r="D33" s="19"/>
      <c r="E33" s="19"/>
      <c r="F33" s="76" t="s">
        <v>242</v>
      </c>
      <c r="G33" s="116">
        <f>+'[1]EPS Accretion'!G29</f>
        <v>0</v>
      </c>
      <c r="H33" s="117">
        <f>+'[1]EPS Accretion'!H29</f>
        <v>0</v>
      </c>
      <c r="I33" s="117">
        <f>+'[1]EPS Accretion'!I29</f>
        <v>0</v>
      </c>
      <c r="J33" s="117">
        <f>+'[1]EPS Accretion'!J29</f>
        <v>0</v>
      </c>
      <c r="K33" s="118">
        <f>+'[1]EPS Accretion'!K29</f>
        <v>0</v>
      </c>
      <c r="L33" s="92"/>
    </row>
    <row r="34" spans="1:12" ht="13.2" x14ac:dyDescent="0.25">
      <c r="A34" s="107" t="s">
        <v>243</v>
      </c>
      <c r="B34" s="19"/>
      <c r="C34" s="19"/>
      <c r="D34" s="19"/>
      <c r="E34" s="19"/>
      <c r="F34" s="19"/>
      <c r="G34" s="84" t="s">
        <v>244</v>
      </c>
      <c r="H34" s="85"/>
      <c r="I34" s="85"/>
      <c r="J34" s="85"/>
      <c r="K34" s="119"/>
      <c r="L34" s="86"/>
    </row>
    <row r="35" spans="1:12" ht="13.2" x14ac:dyDescent="0.25">
      <c r="A35" s="87"/>
      <c r="B35" s="19"/>
      <c r="C35" s="19"/>
      <c r="D35" s="19"/>
      <c r="E35" s="19"/>
      <c r="F35" s="19"/>
      <c r="G35" s="107" t="s">
        <v>245</v>
      </c>
      <c r="H35" s="19"/>
      <c r="I35" s="19"/>
      <c r="J35" s="19"/>
      <c r="K35" s="19"/>
      <c r="L35" s="92"/>
    </row>
    <row r="36" spans="1:12" ht="13.2" x14ac:dyDescent="0.25">
      <c r="A36" s="87"/>
      <c r="B36" s="19"/>
      <c r="C36" s="19"/>
      <c r="D36" s="19"/>
      <c r="E36" s="19"/>
      <c r="F36" s="19"/>
      <c r="G36" s="87"/>
      <c r="H36" s="19"/>
      <c r="I36" s="19"/>
      <c r="J36" s="19"/>
      <c r="K36" s="19"/>
      <c r="L36" s="92"/>
    </row>
    <row r="37" spans="1:12" ht="13.2" x14ac:dyDescent="0.25">
      <c r="A37" s="87" t="s">
        <v>246</v>
      </c>
      <c r="B37" s="19"/>
      <c r="C37" s="19"/>
      <c r="D37" s="19"/>
      <c r="E37" s="146">
        <v>131933000</v>
      </c>
      <c r="F37" s="19"/>
      <c r="G37" s="87" t="s">
        <v>247</v>
      </c>
      <c r="H37" s="19"/>
      <c r="I37" s="19"/>
      <c r="J37" s="19"/>
      <c r="K37" s="47">
        <v>28.8</v>
      </c>
      <c r="L37" s="92" t="s">
        <v>248</v>
      </c>
    </row>
    <row r="38" spans="1:12" ht="13.2" x14ac:dyDescent="0.25">
      <c r="A38" s="87" t="s">
        <v>249</v>
      </c>
      <c r="B38" s="19"/>
      <c r="C38" s="19"/>
      <c r="D38" s="19"/>
      <c r="E38" s="45">
        <v>232200000</v>
      </c>
      <c r="F38" s="19"/>
      <c r="G38" s="87" t="s">
        <v>250</v>
      </c>
      <c r="H38" s="19"/>
      <c r="I38" s="19"/>
      <c r="J38" s="19"/>
      <c r="K38" s="120">
        <v>0</v>
      </c>
      <c r="L38" s="92"/>
    </row>
    <row r="39" spans="1:12" ht="13.2" x14ac:dyDescent="0.25">
      <c r="A39" s="87"/>
      <c r="B39" s="19"/>
      <c r="C39" s="19"/>
      <c r="D39" s="19"/>
      <c r="E39" s="19"/>
      <c r="F39" s="19"/>
      <c r="G39" s="87" t="s">
        <v>251</v>
      </c>
      <c r="H39" s="19"/>
      <c r="I39" s="19"/>
      <c r="J39" s="19"/>
      <c r="K39" s="47">
        <f>+K37*K38</f>
        <v>0</v>
      </c>
      <c r="L39" s="92" t="s">
        <v>248</v>
      </c>
    </row>
    <row r="40" spans="1:12" ht="13.2" x14ac:dyDescent="0.25">
      <c r="A40" s="87" t="s">
        <v>252</v>
      </c>
      <c r="B40" s="19"/>
      <c r="C40" s="19"/>
      <c r="D40" s="19"/>
      <c r="E40" s="121" t="s">
        <v>253</v>
      </c>
      <c r="F40" s="19"/>
      <c r="G40" s="87"/>
      <c r="H40" s="19"/>
      <c r="I40" s="19"/>
      <c r="J40" s="19"/>
      <c r="K40" s="19"/>
      <c r="L40" s="92"/>
    </row>
    <row r="41" spans="1:12" ht="13.2" x14ac:dyDescent="0.25">
      <c r="A41" s="87" t="s">
        <v>254</v>
      </c>
      <c r="B41" s="19"/>
      <c r="C41" s="19"/>
      <c r="D41" s="19"/>
      <c r="E41" s="122">
        <v>0</v>
      </c>
      <c r="F41" s="19"/>
      <c r="G41" s="87" t="s">
        <v>255</v>
      </c>
      <c r="H41" s="19"/>
      <c r="I41" s="19"/>
      <c r="J41" s="19"/>
      <c r="K41" s="111">
        <v>0</v>
      </c>
      <c r="L41" s="92"/>
    </row>
    <row r="42" spans="1:12" ht="13.2" x14ac:dyDescent="0.25">
      <c r="A42" s="87"/>
      <c r="B42" s="19"/>
      <c r="C42" s="19"/>
      <c r="D42" s="19"/>
      <c r="E42" s="19"/>
      <c r="F42" s="19"/>
      <c r="G42" s="87"/>
      <c r="H42" s="19"/>
      <c r="I42" s="19"/>
      <c r="J42" s="19"/>
      <c r="K42" s="19"/>
      <c r="L42" s="92"/>
    </row>
    <row r="43" spans="1:12" ht="13.2" x14ac:dyDescent="0.25">
      <c r="A43" s="87" t="s">
        <v>256</v>
      </c>
      <c r="B43" s="19"/>
      <c r="C43" s="19"/>
      <c r="D43" s="19"/>
      <c r="E43" s="95">
        <v>0</v>
      </c>
      <c r="F43" s="19"/>
      <c r="G43" s="87" t="s">
        <v>257</v>
      </c>
      <c r="H43" s="19"/>
      <c r="I43" s="19"/>
      <c r="J43" s="19"/>
      <c r="K43" s="123">
        <f>+K39*K41</f>
        <v>0</v>
      </c>
      <c r="L43" s="92"/>
    </row>
    <row r="44" spans="1:12" ht="13.2" x14ac:dyDescent="0.25">
      <c r="A44" s="87" t="s">
        <v>258</v>
      </c>
      <c r="B44" s="19"/>
      <c r="C44" s="19"/>
      <c r="D44" s="19"/>
      <c r="E44" s="47">
        <v>34</v>
      </c>
      <c r="F44" s="19"/>
      <c r="G44" s="87" t="s">
        <v>259</v>
      </c>
      <c r="H44" s="19"/>
      <c r="I44" s="19"/>
      <c r="J44" s="19"/>
      <c r="K44" s="47">
        <f>IF(K43=0,0,286.4)</f>
        <v>0</v>
      </c>
      <c r="L44" s="92"/>
    </row>
    <row r="45" spans="1:12" ht="13.2" x14ac:dyDescent="0.25">
      <c r="A45" s="124" t="s">
        <v>260</v>
      </c>
      <c r="B45" s="85"/>
      <c r="C45" s="85"/>
      <c r="D45" s="125"/>
      <c r="E45" s="85"/>
      <c r="F45" s="86"/>
      <c r="G45" s="87" t="s">
        <v>261</v>
      </c>
      <c r="H45" s="19"/>
      <c r="I45" s="19"/>
      <c r="J45" s="19"/>
      <c r="K45" s="19"/>
      <c r="L45" s="92"/>
    </row>
    <row r="46" spans="1:12" ht="13.2" x14ac:dyDescent="0.25">
      <c r="A46" s="87" t="s">
        <v>255</v>
      </c>
      <c r="B46" s="19"/>
      <c r="C46" s="19"/>
      <c r="D46" s="18"/>
      <c r="E46" s="111">
        <v>0</v>
      </c>
      <c r="F46" s="92"/>
      <c r="G46" s="87" t="s">
        <v>262</v>
      </c>
      <c r="H46" s="19"/>
      <c r="I46" s="19"/>
      <c r="J46" s="19"/>
      <c r="K46" s="126">
        <f>IF(K43=0,0,102.9)</f>
        <v>0</v>
      </c>
      <c r="L46" s="92"/>
    </row>
    <row r="47" spans="1:12" ht="13.2" x14ac:dyDescent="0.25">
      <c r="A47" s="87" t="s">
        <v>263</v>
      </c>
      <c r="B47" s="19"/>
      <c r="C47" s="19"/>
      <c r="D47" s="18"/>
      <c r="E47" s="19"/>
      <c r="F47" s="92"/>
      <c r="G47" s="87" t="s">
        <v>264</v>
      </c>
      <c r="H47" s="19"/>
      <c r="I47" s="19"/>
      <c r="J47" s="19"/>
      <c r="K47" s="47">
        <f>SUM(K43:K46)</f>
        <v>0</v>
      </c>
      <c r="L47" s="92"/>
    </row>
    <row r="48" spans="1:12" ht="13.2" x14ac:dyDescent="0.25">
      <c r="A48" s="87" t="s">
        <v>265</v>
      </c>
      <c r="B48" s="19"/>
      <c r="C48" s="19"/>
      <c r="D48" s="18"/>
      <c r="E48" s="95">
        <v>0</v>
      </c>
      <c r="F48" s="92"/>
      <c r="G48" s="87" t="s">
        <v>266</v>
      </c>
      <c r="H48" s="19"/>
      <c r="I48" s="19"/>
      <c r="J48" s="19"/>
      <c r="K48" s="126">
        <f>IF(K43=0,0,+[1]Vons!B30)</f>
        <v>0</v>
      </c>
      <c r="L48" s="92"/>
    </row>
    <row r="49" spans="1:12" ht="13.2" x14ac:dyDescent="0.25">
      <c r="A49" s="87" t="s">
        <v>267</v>
      </c>
      <c r="B49" s="19"/>
      <c r="C49" s="19"/>
      <c r="D49" s="18"/>
      <c r="E49" s="97">
        <v>0</v>
      </c>
      <c r="F49" s="92"/>
      <c r="G49" s="87" t="s">
        <v>268</v>
      </c>
      <c r="H49" s="19"/>
      <c r="I49" s="19"/>
      <c r="J49" s="19"/>
      <c r="K49" s="47">
        <f>+K47-K48</f>
        <v>0</v>
      </c>
      <c r="L49" s="92"/>
    </row>
    <row r="50" spans="1:12" ht="13.2" x14ac:dyDescent="0.25">
      <c r="A50" s="87"/>
      <c r="B50" s="19"/>
      <c r="C50" s="19"/>
      <c r="D50" s="18"/>
      <c r="E50" s="19"/>
      <c r="F50" s="92"/>
      <c r="G50" s="87"/>
      <c r="H50" s="19"/>
      <c r="I50" s="19"/>
      <c r="J50" s="19"/>
      <c r="K50" s="19"/>
      <c r="L50" s="92"/>
    </row>
    <row r="51" spans="1:12" ht="13.2" x14ac:dyDescent="0.25">
      <c r="A51" s="93" t="s">
        <v>269</v>
      </c>
      <c r="B51" s="7"/>
      <c r="C51" s="7"/>
      <c r="D51" s="1"/>
      <c r="E51" s="127">
        <v>0</v>
      </c>
      <c r="F51" s="94"/>
      <c r="G51" s="87" t="s">
        <v>270</v>
      </c>
      <c r="H51" s="19"/>
      <c r="I51" s="19"/>
      <c r="J51" s="19"/>
      <c r="K51" s="19"/>
      <c r="L51" s="92"/>
    </row>
    <row r="52" spans="1:12" ht="13.2" x14ac:dyDescent="0.25">
      <c r="A52" s="128" t="s">
        <v>271</v>
      </c>
      <c r="B52" s="102"/>
      <c r="C52" s="129" t="s">
        <v>272</v>
      </c>
      <c r="D52" s="102"/>
      <c r="E52" s="102"/>
      <c r="F52" s="130">
        <v>43</v>
      </c>
      <c r="G52" s="87" t="s">
        <v>273</v>
      </c>
      <c r="H52" s="19"/>
      <c r="I52" s="19"/>
      <c r="J52" s="19"/>
      <c r="K52" s="47">
        <f>IF(K43=0,0,24.3)</f>
        <v>0</v>
      </c>
      <c r="L52" s="92"/>
    </row>
    <row r="53" spans="1:12" ht="13.2" x14ac:dyDescent="0.25">
      <c r="A53" s="101"/>
      <c r="B53" s="102"/>
      <c r="C53" s="129"/>
      <c r="D53" s="102"/>
      <c r="E53" s="102"/>
      <c r="F53" s="102"/>
      <c r="G53" s="87" t="s">
        <v>274</v>
      </c>
      <c r="H53" s="19"/>
      <c r="I53" s="19"/>
      <c r="J53" s="19"/>
      <c r="K53" s="47">
        <f>IF(K43=0,0,-9.8)</f>
        <v>0</v>
      </c>
      <c r="L53" s="92"/>
    </row>
    <row r="54" spans="1:12" ht="13.2" x14ac:dyDescent="0.25">
      <c r="A54" s="128" t="s">
        <v>275</v>
      </c>
      <c r="B54" s="102"/>
      <c r="C54" s="129" t="s">
        <v>276</v>
      </c>
      <c r="D54" s="102"/>
      <c r="E54" s="102"/>
      <c r="F54" s="130">
        <f>'OAT DCF'!E46</f>
        <v>113.12980677146111</v>
      </c>
      <c r="G54" s="87" t="s">
        <v>277</v>
      </c>
      <c r="H54" s="19"/>
      <c r="I54" s="19"/>
      <c r="J54" s="19"/>
      <c r="K54" s="47">
        <f>IF(K43=0,0,18.6)</f>
        <v>0</v>
      </c>
      <c r="L54" s="92"/>
    </row>
    <row r="55" spans="1:12" ht="13.2" x14ac:dyDescent="0.25">
      <c r="A55" s="101"/>
      <c r="B55" s="102"/>
      <c r="C55" s="129" t="s">
        <v>278</v>
      </c>
      <c r="D55" s="102"/>
      <c r="E55" s="102"/>
      <c r="F55" s="131">
        <f>'OAT DCF'!E41</f>
        <v>15719.254796779178</v>
      </c>
      <c r="G55" s="87" t="s">
        <v>279</v>
      </c>
      <c r="H55" s="19"/>
      <c r="I55" s="19"/>
      <c r="J55" s="19"/>
      <c r="K55" s="126">
        <f>IF(K43=0,0,20.1)</f>
        <v>0</v>
      </c>
      <c r="L55" s="92"/>
    </row>
    <row r="56" spans="1:12" ht="13.2" x14ac:dyDescent="0.25">
      <c r="A56" s="101"/>
      <c r="B56" s="102"/>
      <c r="C56" s="102"/>
      <c r="D56" s="102"/>
      <c r="E56" s="102"/>
      <c r="F56" s="102"/>
      <c r="G56" s="87"/>
      <c r="H56" s="19"/>
      <c r="I56" s="19"/>
      <c r="J56" s="19"/>
      <c r="K56" s="19"/>
      <c r="L56" s="92"/>
    </row>
    <row r="57" spans="1:12" ht="13.2" x14ac:dyDescent="0.25">
      <c r="A57" s="128" t="s">
        <v>280</v>
      </c>
      <c r="B57" s="102"/>
      <c r="C57" s="129" t="s">
        <v>281</v>
      </c>
      <c r="D57" s="102"/>
      <c r="E57" s="102"/>
      <c r="F57" s="131">
        <f>+K47</f>
        <v>0</v>
      </c>
      <c r="G57" s="87" t="s">
        <v>184</v>
      </c>
      <c r="H57" s="19"/>
      <c r="I57" s="19"/>
      <c r="J57" s="19"/>
      <c r="K57" s="47">
        <f>+K49-SUM(K52:K55)</f>
        <v>0</v>
      </c>
      <c r="L57" s="92"/>
    </row>
    <row r="58" spans="1:12" ht="13.2" x14ac:dyDescent="0.25">
      <c r="A58" s="101"/>
      <c r="B58" s="102"/>
      <c r="C58" s="129" t="s">
        <v>288</v>
      </c>
      <c r="D58" s="102"/>
      <c r="E58" s="102"/>
      <c r="F58" s="132">
        <f>+E37/1000000</f>
        <v>131.93299999999999</v>
      </c>
      <c r="G58" s="93"/>
      <c r="H58" s="19"/>
      <c r="I58" s="19"/>
      <c r="J58" s="19"/>
      <c r="K58" s="19"/>
      <c r="L58" s="92"/>
    </row>
    <row r="59" spans="1:12" ht="13.2" x14ac:dyDescent="0.25">
      <c r="A59" s="101"/>
      <c r="B59" s="102"/>
      <c r="C59" s="102"/>
      <c r="D59" s="102"/>
      <c r="E59" s="102"/>
      <c r="F59" s="130">
        <f>+F57/F58</f>
        <v>0</v>
      </c>
      <c r="G59" s="133"/>
      <c r="H59" s="134"/>
      <c r="I59" s="134"/>
      <c r="J59" s="134"/>
      <c r="K59" s="134"/>
      <c r="L59" s="135"/>
    </row>
    <row r="60" spans="1:12" ht="13.2" x14ac:dyDescent="0.25">
      <c r="A60" s="101"/>
      <c r="B60" s="102"/>
      <c r="C60" s="102"/>
      <c r="D60" s="102"/>
      <c r="E60" s="102"/>
      <c r="F60" s="102"/>
      <c r="G60" s="136"/>
      <c r="H60" s="102"/>
      <c r="I60" s="137"/>
      <c r="J60" s="137"/>
      <c r="K60" s="137"/>
      <c r="L60" s="138"/>
    </row>
    <row r="61" spans="1:12" ht="13.2" x14ac:dyDescent="0.25">
      <c r="A61" s="101"/>
      <c r="B61" s="129" t="s">
        <v>282</v>
      </c>
      <c r="C61" s="102"/>
      <c r="D61" s="102"/>
      <c r="E61" s="102"/>
      <c r="F61" s="132">
        <f>+K47-K44</f>
        <v>0</v>
      </c>
      <c r="G61" s="139" t="s">
        <v>283</v>
      </c>
      <c r="H61" s="102"/>
      <c r="I61" s="129" t="s">
        <v>284</v>
      </c>
      <c r="J61" s="102"/>
      <c r="K61" s="140"/>
      <c r="L61" s="141">
        <f>+[1]Purchase!N38</f>
        <v>0.3628965705597077</v>
      </c>
    </row>
    <row r="62" spans="1:12" ht="13.2" x14ac:dyDescent="0.25">
      <c r="A62" s="128"/>
      <c r="B62" s="129" t="s">
        <v>285</v>
      </c>
      <c r="C62" s="129"/>
      <c r="D62" s="102"/>
      <c r="E62" s="102"/>
      <c r="F62" s="132">
        <f>+K37</f>
        <v>28.8</v>
      </c>
      <c r="G62" s="133"/>
      <c r="H62" s="140"/>
      <c r="I62" s="129" t="s">
        <v>286</v>
      </c>
      <c r="J62" s="102"/>
      <c r="K62" s="140"/>
      <c r="L62" s="141">
        <f>+'[1]EPS Accretion'!G60</f>
        <v>0</v>
      </c>
    </row>
    <row r="63" spans="1:12" ht="13.2" x14ac:dyDescent="0.25">
      <c r="A63" s="101"/>
      <c r="B63" s="102"/>
      <c r="C63" s="129"/>
      <c r="D63" s="102"/>
      <c r="E63" s="102"/>
      <c r="F63" s="130">
        <f>+F61/F62</f>
        <v>0</v>
      </c>
      <c r="G63" s="133"/>
      <c r="H63" s="140"/>
      <c r="I63" s="140"/>
      <c r="J63" s="140"/>
      <c r="K63" s="140"/>
      <c r="L63" s="142"/>
    </row>
    <row r="64" spans="1:12" ht="13.2" x14ac:dyDescent="0.25">
      <c r="A64" s="104"/>
      <c r="B64" s="105"/>
      <c r="C64" s="105"/>
      <c r="D64" s="105"/>
      <c r="E64" s="105"/>
      <c r="F64" s="105"/>
      <c r="G64" s="143"/>
      <c r="H64" s="144"/>
      <c r="I64" s="144"/>
      <c r="J64" s="144"/>
      <c r="K64" s="144"/>
      <c r="L64" s="145"/>
    </row>
  </sheetData>
  <mergeCells count="2">
    <mergeCell ref="G20:H20"/>
    <mergeCell ref="G21:H2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opLeftCell="A5" zoomScale="75" workbookViewId="0">
      <selection activeCell="D29" sqref="D29"/>
    </sheetView>
  </sheetViews>
  <sheetFormatPr defaultRowHeight="10.199999999999999" x14ac:dyDescent="0.2"/>
  <cols>
    <col min="2" max="2" width="56.140625" bestFit="1" customWidth="1"/>
    <col min="3" max="5" width="10.7109375" bestFit="1" customWidth="1"/>
    <col min="6" max="6" width="11.42578125" bestFit="1" customWidth="1"/>
    <col min="7" max="7" width="11" customWidth="1"/>
    <col min="8" max="8" width="11.42578125" bestFit="1" customWidth="1"/>
  </cols>
  <sheetData>
    <row r="1" spans="1:15" ht="13.2" x14ac:dyDescent="0.25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3.2" x14ac:dyDescent="0.25">
      <c r="A2" s="2" t="s">
        <v>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3.2" x14ac:dyDescent="0.25">
      <c r="A3" s="2" t="s">
        <v>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3.2" x14ac:dyDescent="0.25">
      <c r="A4" s="2"/>
      <c r="B4" s="2"/>
      <c r="C4" s="7">
        <v>2000</v>
      </c>
      <c r="D4" s="7">
        <v>1999</v>
      </c>
      <c r="E4" s="7">
        <v>1998</v>
      </c>
      <c r="F4" s="7">
        <v>1997</v>
      </c>
      <c r="G4" s="7">
        <v>1996</v>
      </c>
      <c r="H4" s="7">
        <v>1995</v>
      </c>
      <c r="I4" s="2"/>
      <c r="J4" s="2"/>
      <c r="K4" s="2"/>
      <c r="L4" s="2"/>
      <c r="M4" s="2"/>
      <c r="N4" s="2"/>
      <c r="O4" s="2"/>
    </row>
    <row r="5" spans="1:15" ht="13.2" x14ac:dyDescent="0.25">
      <c r="A5" s="2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3.2" x14ac:dyDescent="0.25">
      <c r="A6" s="2" t="s">
        <v>1</v>
      </c>
      <c r="B6" s="2"/>
      <c r="C6" s="4">
        <v>360.6</v>
      </c>
      <c r="D6" s="4">
        <v>455</v>
      </c>
      <c r="E6" s="4">
        <v>284.5</v>
      </c>
      <c r="F6" s="4">
        <v>-930.9</v>
      </c>
      <c r="G6" s="4">
        <v>247.9</v>
      </c>
      <c r="H6" s="4">
        <v>724</v>
      </c>
      <c r="I6" s="2"/>
      <c r="J6" s="2"/>
      <c r="K6" s="2"/>
      <c r="L6" s="2"/>
      <c r="M6" s="2"/>
      <c r="N6" s="2"/>
      <c r="O6" s="2"/>
    </row>
    <row r="7" spans="1:15" ht="13.2" x14ac:dyDescent="0.25">
      <c r="A7" s="2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3.2" x14ac:dyDescent="0.25">
      <c r="A8" s="2"/>
      <c r="B8" s="2" t="s">
        <v>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3.2" x14ac:dyDescent="0.25">
      <c r="A9" s="2"/>
      <c r="B9" s="2" t="s">
        <v>4</v>
      </c>
      <c r="C9" s="2">
        <v>133</v>
      </c>
      <c r="D9" s="2">
        <v>123.8</v>
      </c>
      <c r="E9" s="2">
        <v>132.5</v>
      </c>
      <c r="F9" s="2">
        <v>161.4</v>
      </c>
      <c r="G9" s="2">
        <v>200.6</v>
      </c>
      <c r="H9" s="2">
        <v>204</v>
      </c>
      <c r="I9" s="2"/>
      <c r="J9" s="2"/>
      <c r="K9" s="2"/>
      <c r="L9" s="2"/>
      <c r="M9" s="2"/>
      <c r="N9" s="2"/>
      <c r="O9" s="2"/>
    </row>
    <row r="10" spans="1:15" ht="13.2" x14ac:dyDescent="0.25">
      <c r="A10" s="2"/>
      <c r="B10" s="2" t="s">
        <v>5</v>
      </c>
      <c r="C10" s="2">
        <v>19.8</v>
      </c>
      <c r="D10" s="2">
        <v>14.2</v>
      </c>
      <c r="E10" s="2">
        <v>-31.1</v>
      </c>
      <c r="F10" s="2">
        <v>-12</v>
      </c>
      <c r="G10" s="2">
        <v>14.3</v>
      </c>
      <c r="H10" s="2">
        <v>22.5</v>
      </c>
      <c r="I10" s="2"/>
      <c r="J10" s="2"/>
      <c r="K10" s="2"/>
      <c r="L10" s="2"/>
      <c r="M10" s="2"/>
      <c r="N10" s="2"/>
      <c r="O10" s="2"/>
    </row>
    <row r="11" spans="1:15" ht="13.2" x14ac:dyDescent="0.25">
      <c r="A11" s="2"/>
      <c r="B11" s="2" t="s">
        <v>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3.2" x14ac:dyDescent="0.25">
      <c r="A12" s="2" t="s">
        <v>7</v>
      </c>
      <c r="B12" s="2"/>
      <c r="C12" s="2">
        <v>-3</v>
      </c>
      <c r="D12" s="2">
        <v>-4.5</v>
      </c>
      <c r="E12" s="2">
        <v>-26.7</v>
      </c>
      <c r="F12" s="5">
        <v>1151.4000000000001</v>
      </c>
      <c r="G12" s="2">
        <v>-81.8</v>
      </c>
      <c r="H12" s="2">
        <v>-694.6</v>
      </c>
      <c r="I12" s="2"/>
      <c r="J12" s="2"/>
      <c r="K12" s="2"/>
      <c r="L12" s="2"/>
      <c r="M12" s="2"/>
      <c r="N12" s="2"/>
      <c r="O12" s="2"/>
    </row>
    <row r="13" spans="1:15" ht="13.2" x14ac:dyDescent="0.25">
      <c r="A13" s="2"/>
      <c r="B13" s="2" t="s">
        <v>8</v>
      </c>
      <c r="C13" s="2">
        <v>65.2</v>
      </c>
      <c r="D13" s="2">
        <v>3.9</v>
      </c>
      <c r="E13" s="2">
        <v>89.7</v>
      </c>
      <c r="F13" s="2">
        <v>65.900000000000006</v>
      </c>
      <c r="G13" s="2">
        <v>23</v>
      </c>
      <c r="H13" s="2">
        <v>117.3</v>
      </c>
      <c r="I13" s="2"/>
      <c r="J13" s="2"/>
      <c r="K13" s="2"/>
      <c r="L13" s="2"/>
      <c r="M13" s="2"/>
      <c r="N13" s="2"/>
      <c r="O13" s="2"/>
    </row>
    <row r="14" spans="1:15" ht="13.2" x14ac:dyDescent="0.25">
      <c r="A14" s="2"/>
      <c r="B14" s="2" t="s">
        <v>9</v>
      </c>
      <c r="C14" s="2">
        <v>120.1</v>
      </c>
      <c r="D14" s="2" t="s">
        <v>10</v>
      </c>
      <c r="E14" s="2">
        <v>38.1</v>
      </c>
      <c r="F14" s="2">
        <v>39.799999999999997</v>
      </c>
      <c r="G14" s="2" t="s">
        <v>10</v>
      </c>
      <c r="H14" s="2" t="s">
        <v>10</v>
      </c>
      <c r="I14" s="2"/>
      <c r="J14" s="2"/>
      <c r="K14" s="2"/>
      <c r="L14" s="2"/>
      <c r="M14" s="2"/>
      <c r="N14" s="2"/>
      <c r="O14" s="2"/>
    </row>
    <row r="15" spans="1:15" ht="13.2" x14ac:dyDescent="0.25">
      <c r="A15" s="2"/>
      <c r="B15" s="2" t="s">
        <v>11</v>
      </c>
      <c r="C15" s="2">
        <v>6.9</v>
      </c>
      <c r="D15" s="2">
        <v>12.9</v>
      </c>
      <c r="E15" s="2">
        <v>11.9</v>
      </c>
      <c r="F15" s="2">
        <v>41.6</v>
      </c>
      <c r="G15" s="2">
        <v>29</v>
      </c>
      <c r="H15" s="2">
        <v>27.4</v>
      </c>
      <c r="I15" s="2"/>
      <c r="J15" s="2"/>
      <c r="K15" s="2"/>
      <c r="L15" s="2"/>
      <c r="M15" s="2"/>
      <c r="N15" s="2"/>
      <c r="O15" s="2"/>
    </row>
    <row r="16" spans="1:15" ht="13.2" x14ac:dyDescent="0.25">
      <c r="A16" s="2"/>
      <c r="B16" s="2" t="s">
        <v>12</v>
      </c>
      <c r="C16" s="2">
        <v>-50</v>
      </c>
      <c r="D16" s="2">
        <v>14.8</v>
      </c>
      <c r="E16" s="2">
        <v>5.6</v>
      </c>
      <c r="F16" s="2">
        <v>-61</v>
      </c>
      <c r="G16" s="2">
        <v>62.6</v>
      </c>
      <c r="H16" s="2">
        <v>43.7</v>
      </c>
      <c r="I16" s="2"/>
      <c r="J16" s="2"/>
      <c r="K16" s="2"/>
      <c r="L16" s="2"/>
      <c r="M16" s="2"/>
      <c r="N16" s="2"/>
      <c r="O16" s="2"/>
    </row>
    <row r="17" spans="1:15" ht="13.2" x14ac:dyDescent="0.25">
      <c r="A17" s="2"/>
      <c r="B17" s="2" t="s">
        <v>13</v>
      </c>
      <c r="C17" s="2">
        <v>-24.8</v>
      </c>
      <c r="D17" s="2">
        <v>-15.3</v>
      </c>
      <c r="E17" s="2">
        <v>-32.799999999999997</v>
      </c>
      <c r="F17" s="2">
        <v>-24.5</v>
      </c>
      <c r="G17" s="2">
        <v>19.600000000000001</v>
      </c>
      <c r="H17" s="2">
        <v>44.8</v>
      </c>
      <c r="I17" s="2"/>
      <c r="J17" s="2"/>
      <c r="K17" s="2"/>
      <c r="L17" s="2"/>
      <c r="M17" s="2"/>
      <c r="N17" s="2"/>
      <c r="O17" s="2"/>
    </row>
    <row r="18" spans="1:15" ht="13.2" x14ac:dyDescent="0.25">
      <c r="A18" s="2"/>
      <c r="B18" s="2" t="s">
        <v>14</v>
      </c>
      <c r="C18" s="2">
        <v>-63.2</v>
      </c>
      <c r="D18" s="2">
        <v>20.3</v>
      </c>
      <c r="E18" s="2">
        <v>-15.1</v>
      </c>
      <c r="F18" s="2">
        <v>-11.6</v>
      </c>
      <c r="G18" s="2">
        <v>65.099999999999994</v>
      </c>
      <c r="H18" s="2">
        <v>-76</v>
      </c>
      <c r="I18" s="2"/>
      <c r="J18" s="2"/>
      <c r="K18" s="2"/>
      <c r="L18" s="2"/>
      <c r="M18" s="2"/>
      <c r="N18" s="2"/>
      <c r="O18" s="2"/>
    </row>
    <row r="19" spans="1:15" ht="13.2" x14ac:dyDescent="0.25">
      <c r="A19" s="2"/>
      <c r="B19" s="2" t="s">
        <v>15</v>
      </c>
      <c r="C19" s="2">
        <v>2</v>
      </c>
      <c r="D19" s="2">
        <v>49.7</v>
      </c>
      <c r="E19" s="2">
        <v>-20</v>
      </c>
      <c r="F19" s="2">
        <v>-3.2</v>
      </c>
      <c r="G19" s="2">
        <v>-53.7</v>
      </c>
      <c r="H19" s="2">
        <v>49.8</v>
      </c>
      <c r="I19" s="2"/>
      <c r="J19" s="2"/>
      <c r="K19" s="2"/>
      <c r="L19" s="2"/>
      <c r="M19" s="2"/>
      <c r="N19" s="2"/>
      <c r="O19" s="2"/>
    </row>
    <row r="20" spans="1:15" ht="13.2" x14ac:dyDescent="0.25">
      <c r="A20" s="2"/>
      <c r="B20" s="2" t="s">
        <v>16</v>
      </c>
      <c r="C20" s="2">
        <v>-102.9</v>
      </c>
      <c r="D20" s="2">
        <v>-107.1</v>
      </c>
      <c r="E20" s="2">
        <v>21.3</v>
      </c>
      <c r="F20" s="2">
        <v>9.8000000000000007</v>
      </c>
      <c r="G20" s="2">
        <v>-164.2</v>
      </c>
      <c r="H20" s="2">
        <v>-117</v>
      </c>
      <c r="I20" s="2"/>
      <c r="J20" s="2"/>
      <c r="K20" s="2"/>
      <c r="L20" s="2"/>
      <c r="M20" s="2"/>
      <c r="N20" s="2"/>
      <c r="O20" s="2"/>
    </row>
    <row r="21" spans="1:15" ht="13.2" x14ac:dyDescent="0.25">
      <c r="A21" s="2"/>
      <c r="B21" s="2" t="s">
        <v>17</v>
      </c>
      <c r="C21" s="2">
        <v>35.6</v>
      </c>
      <c r="D21" s="2">
        <v>32</v>
      </c>
      <c r="E21" s="2">
        <v>32.200000000000003</v>
      </c>
      <c r="F21" s="2">
        <v>20.100000000000001</v>
      </c>
      <c r="G21" s="2">
        <v>21.5</v>
      </c>
      <c r="H21" s="2">
        <v>21.4</v>
      </c>
      <c r="I21" s="2"/>
      <c r="J21" s="2"/>
      <c r="K21" s="2"/>
      <c r="L21" s="2"/>
      <c r="M21" s="2"/>
      <c r="N21" s="2"/>
      <c r="O21" s="2"/>
    </row>
    <row r="22" spans="1:15" ht="13.2" x14ac:dyDescent="0.25">
      <c r="A22" s="2"/>
      <c r="B22" s="2" t="s">
        <v>18</v>
      </c>
      <c r="C22" s="2">
        <v>45</v>
      </c>
      <c r="D22" s="2">
        <v>22.8</v>
      </c>
      <c r="E22" s="2">
        <v>34.200000000000003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3.2" x14ac:dyDescent="0.25">
      <c r="A23" s="2"/>
      <c r="B23" s="2" t="s">
        <v>19</v>
      </c>
      <c r="C23" s="2">
        <v>-21.8</v>
      </c>
      <c r="D23" s="2">
        <v>8.6</v>
      </c>
      <c r="E23" s="2">
        <v>-10.8</v>
      </c>
      <c r="F23" s="2">
        <v>43.2</v>
      </c>
      <c r="G23" s="2">
        <v>26.5</v>
      </c>
      <c r="H23" s="2">
        <v>39.799999999999997</v>
      </c>
      <c r="I23" s="2"/>
      <c r="J23" s="2"/>
      <c r="K23" s="2"/>
      <c r="L23" s="2"/>
      <c r="M23" s="2"/>
      <c r="N23" s="2"/>
      <c r="O23" s="2"/>
    </row>
    <row r="24" spans="1:15" ht="13.2" x14ac:dyDescent="0.25">
      <c r="A24" s="2" t="s">
        <v>20</v>
      </c>
      <c r="B24" s="2"/>
      <c r="C24" s="2">
        <v>522.5</v>
      </c>
      <c r="D24" s="2">
        <v>631.1</v>
      </c>
      <c r="E24" s="2">
        <v>513.5</v>
      </c>
      <c r="F24" s="2">
        <v>490</v>
      </c>
      <c r="G24" s="2">
        <v>410.4</v>
      </c>
      <c r="H24" s="2">
        <v>407.1</v>
      </c>
      <c r="I24" s="2"/>
      <c r="J24" s="2"/>
      <c r="K24" s="2"/>
      <c r="L24" s="2"/>
      <c r="M24" s="2"/>
      <c r="N24" s="2"/>
      <c r="O24" s="2"/>
    </row>
    <row r="25" spans="1:15" ht="13.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3.2" x14ac:dyDescent="0.25">
      <c r="A26" s="2" t="s"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3.2" x14ac:dyDescent="0.25">
      <c r="A27" s="2"/>
      <c r="B27" s="2" t="s">
        <v>25</v>
      </c>
      <c r="C27" s="2">
        <v>-414.1</v>
      </c>
      <c r="D27" s="2">
        <v>-185.1</v>
      </c>
      <c r="E27" s="2">
        <v>-165.5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3.2" x14ac:dyDescent="0.25">
      <c r="A28" s="2"/>
      <c r="B28" s="2" t="s">
        <v>26</v>
      </c>
      <c r="C28" s="2">
        <v>418.8</v>
      </c>
      <c r="D28" s="2">
        <v>219</v>
      </c>
      <c r="E28" s="2">
        <v>143.1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3.2" x14ac:dyDescent="0.25">
      <c r="A29" s="2"/>
      <c r="B29" s="2" t="s">
        <v>108</v>
      </c>
      <c r="C29" s="2"/>
      <c r="D29" s="2"/>
      <c r="E29" s="2"/>
      <c r="F29" s="2" t="s">
        <v>10</v>
      </c>
      <c r="G29" s="2" t="s">
        <v>10</v>
      </c>
      <c r="H29" s="2">
        <v>-57.3</v>
      </c>
      <c r="I29" s="2"/>
      <c r="J29" s="2"/>
      <c r="K29" s="2"/>
      <c r="L29" s="2"/>
      <c r="M29" s="2"/>
      <c r="N29" s="2"/>
      <c r="O29" s="2"/>
    </row>
    <row r="30" spans="1:15" ht="13.2" x14ac:dyDescent="0.25">
      <c r="A30" s="2"/>
      <c r="B30" s="2" t="s">
        <v>116</v>
      </c>
      <c r="C30" s="2" t="s">
        <v>10</v>
      </c>
      <c r="D30" s="2">
        <v>14.3</v>
      </c>
      <c r="E30" s="2">
        <v>265.89999999999998</v>
      </c>
      <c r="F30" s="2">
        <v>300</v>
      </c>
      <c r="G30" s="2">
        <v>174.4</v>
      </c>
      <c r="H30" s="5">
        <v>1278.7</v>
      </c>
      <c r="I30" s="2"/>
      <c r="J30" s="2"/>
      <c r="K30" s="2"/>
      <c r="L30" s="2"/>
      <c r="M30" s="2"/>
      <c r="N30" s="2"/>
      <c r="O30" s="2"/>
    </row>
    <row r="31" spans="1:15" ht="13.2" x14ac:dyDescent="0.25">
      <c r="A31" s="2"/>
      <c r="B31" s="2" t="s">
        <v>27</v>
      </c>
      <c r="C31" s="2">
        <v>-285.60000000000002</v>
      </c>
      <c r="D31" s="2">
        <v>-222.4</v>
      </c>
      <c r="E31" s="2">
        <v>-204.7</v>
      </c>
      <c r="F31" s="2">
        <v>-215.7</v>
      </c>
      <c r="G31" s="2">
        <v>-242.7</v>
      </c>
      <c r="H31" s="2">
        <v>-301.2</v>
      </c>
      <c r="I31" s="2"/>
      <c r="J31" s="2"/>
      <c r="K31" s="2"/>
      <c r="L31" s="2"/>
      <c r="M31" s="2"/>
      <c r="N31" s="2"/>
      <c r="O31" s="2"/>
    </row>
    <row r="32" spans="1:15" ht="13.2" x14ac:dyDescent="0.25">
      <c r="A32" s="2"/>
      <c r="B32" s="2" t="s">
        <v>28</v>
      </c>
      <c r="C32" s="2">
        <v>6.4</v>
      </c>
      <c r="D32" s="2">
        <v>13.8</v>
      </c>
      <c r="E32" s="2">
        <v>7.7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3.2" x14ac:dyDescent="0.25">
      <c r="A33" s="2"/>
      <c r="B33" s="2" t="s">
        <v>29</v>
      </c>
      <c r="C33" s="2" t="s">
        <v>10</v>
      </c>
      <c r="D33" s="2" t="s">
        <v>10</v>
      </c>
      <c r="E33" s="2">
        <v>240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3.2" x14ac:dyDescent="0.25">
      <c r="A34" s="2"/>
      <c r="B34" s="2" t="s">
        <v>109</v>
      </c>
      <c r="C34" s="2"/>
      <c r="D34" s="2"/>
      <c r="E34" s="2"/>
      <c r="F34" s="2" t="s">
        <v>10</v>
      </c>
      <c r="G34" s="2">
        <v>0.2</v>
      </c>
      <c r="H34" s="2">
        <v>4.2</v>
      </c>
      <c r="I34" s="2"/>
      <c r="J34" s="2"/>
      <c r="K34" s="2"/>
      <c r="L34" s="2"/>
      <c r="M34" s="2"/>
      <c r="N34" s="2"/>
      <c r="O34" s="2"/>
    </row>
    <row r="35" spans="1:15" ht="13.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3.2" x14ac:dyDescent="0.25">
      <c r="A36" s="2" t="s">
        <v>110</v>
      </c>
      <c r="B36" s="2"/>
      <c r="C36" s="2">
        <v>-274.5</v>
      </c>
      <c r="D36" s="2">
        <v>-160.4</v>
      </c>
      <c r="E36" s="2">
        <v>286.5</v>
      </c>
      <c r="F36" s="2">
        <v>84.3</v>
      </c>
      <c r="G36" s="2">
        <v>-68.099999999999994</v>
      </c>
      <c r="H36" s="2">
        <v>924.4</v>
      </c>
      <c r="I36" s="2"/>
      <c r="J36" s="2"/>
      <c r="K36" s="2"/>
      <c r="L36" s="2"/>
      <c r="M36" s="2"/>
      <c r="N36" s="2"/>
      <c r="O36" s="2"/>
    </row>
    <row r="37" spans="1:15" ht="13.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3.2" x14ac:dyDescent="0.25">
      <c r="A38" s="2" t="s">
        <v>30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3.2" x14ac:dyDescent="0.25">
      <c r="A39" s="2"/>
      <c r="B39" s="2" t="s">
        <v>31</v>
      </c>
      <c r="C39" s="2">
        <v>-153.5</v>
      </c>
      <c r="D39" s="2">
        <v>-156.19999999999999</v>
      </c>
      <c r="E39" s="2">
        <v>-159.69999999999999</v>
      </c>
      <c r="F39" s="2">
        <v>-159.4</v>
      </c>
      <c r="G39" s="2">
        <v>-157</v>
      </c>
      <c r="H39" s="2">
        <v>-154.80000000000001</v>
      </c>
      <c r="I39" s="2"/>
      <c r="J39" s="2"/>
      <c r="K39" s="2"/>
      <c r="L39" s="2"/>
      <c r="M39" s="2"/>
      <c r="N39" s="2"/>
      <c r="O39" s="2"/>
    </row>
    <row r="40" spans="1:15" ht="13.2" x14ac:dyDescent="0.25">
      <c r="A40" s="2"/>
      <c r="B40" s="2" t="s">
        <v>32</v>
      </c>
      <c r="C40" s="2">
        <v>10.1</v>
      </c>
      <c r="D40" s="2">
        <v>34.200000000000003</v>
      </c>
      <c r="E40" s="2">
        <v>-17.2</v>
      </c>
      <c r="F40" s="2">
        <v>-452.9</v>
      </c>
      <c r="G40" s="2">
        <v>-124.5</v>
      </c>
      <c r="H40" s="5">
        <v>-1243.5</v>
      </c>
      <c r="I40" s="2"/>
      <c r="J40" s="2"/>
      <c r="K40" s="2"/>
      <c r="L40" s="2"/>
      <c r="M40" s="2"/>
      <c r="N40" s="2"/>
      <c r="O40" s="2"/>
    </row>
    <row r="41" spans="1:15" ht="13.2" x14ac:dyDescent="0.25">
      <c r="A41" s="2"/>
      <c r="B41" s="2" t="s">
        <v>33</v>
      </c>
      <c r="C41" s="2">
        <v>1.5</v>
      </c>
      <c r="D41" s="2">
        <v>1.2</v>
      </c>
      <c r="E41" s="2">
        <v>1.9</v>
      </c>
      <c r="F41" s="2">
        <v>8.3000000000000007</v>
      </c>
      <c r="G41" s="2">
        <v>2.4</v>
      </c>
      <c r="H41" s="2">
        <v>212.6</v>
      </c>
      <c r="I41" s="2"/>
      <c r="J41" s="2"/>
      <c r="K41" s="2"/>
      <c r="L41" s="2"/>
      <c r="M41" s="2"/>
      <c r="N41" s="2"/>
      <c r="O41" s="2"/>
    </row>
    <row r="42" spans="1:15" ht="13.2" x14ac:dyDescent="0.25">
      <c r="A42" s="2"/>
      <c r="B42" s="2" t="s">
        <v>34</v>
      </c>
      <c r="C42" s="2">
        <v>-86.6</v>
      </c>
      <c r="D42" s="2">
        <v>-95.8</v>
      </c>
      <c r="E42" s="2">
        <v>-108.7</v>
      </c>
      <c r="F42" s="2">
        <v>-54.4</v>
      </c>
      <c r="G42" s="2">
        <v>-77.7</v>
      </c>
      <c r="H42" s="2">
        <v>-60</v>
      </c>
      <c r="I42" s="2"/>
      <c r="J42" s="2"/>
      <c r="K42" s="2"/>
      <c r="L42" s="2"/>
      <c r="M42" s="2"/>
      <c r="N42" s="2"/>
      <c r="O42" s="2"/>
    </row>
    <row r="43" spans="1:15" ht="13.2" x14ac:dyDescent="0.25">
      <c r="A43" s="2"/>
      <c r="B43" s="2" t="s">
        <v>111</v>
      </c>
      <c r="C43" s="2"/>
      <c r="D43" s="2"/>
      <c r="E43" s="2"/>
      <c r="F43" s="2" t="s">
        <v>10</v>
      </c>
      <c r="G43" s="2" t="s">
        <v>10</v>
      </c>
      <c r="H43" s="2">
        <v>-112</v>
      </c>
      <c r="I43" s="2"/>
      <c r="J43" s="2"/>
      <c r="K43" s="2"/>
      <c r="L43" s="2"/>
      <c r="M43" s="2"/>
      <c r="N43" s="2"/>
      <c r="O43" s="2"/>
    </row>
    <row r="44" spans="1:15" ht="13.2" x14ac:dyDescent="0.25">
      <c r="A44" s="2"/>
      <c r="B44" s="2" t="s">
        <v>35</v>
      </c>
      <c r="C44" s="2">
        <v>131.1</v>
      </c>
      <c r="D44" s="2">
        <v>82.6</v>
      </c>
      <c r="E44" s="2">
        <v>112</v>
      </c>
      <c r="F44" s="2">
        <v>121.2</v>
      </c>
      <c r="G44" s="2">
        <v>31</v>
      </c>
      <c r="H44" s="2">
        <v>20.399999999999999</v>
      </c>
      <c r="I44" s="2"/>
      <c r="J44" s="2"/>
      <c r="K44" s="2"/>
      <c r="L44" s="2"/>
      <c r="M44" s="2"/>
      <c r="N44" s="2"/>
      <c r="O44" s="2"/>
    </row>
    <row r="45" spans="1:15" ht="13.2" x14ac:dyDescent="0.25">
      <c r="A45" s="2"/>
      <c r="B45" s="2" t="s">
        <v>36</v>
      </c>
      <c r="C45" s="2">
        <v>-242</v>
      </c>
      <c r="D45" s="2">
        <v>-373.2</v>
      </c>
      <c r="E45" s="2">
        <v>-377.3</v>
      </c>
      <c r="F45" s="2">
        <v>-50</v>
      </c>
      <c r="G45" s="2" t="s">
        <v>10</v>
      </c>
      <c r="H45" s="2" t="s">
        <v>10</v>
      </c>
      <c r="I45" s="2"/>
      <c r="J45" s="2"/>
      <c r="K45" s="2"/>
      <c r="L45" s="2"/>
      <c r="M45" s="2"/>
      <c r="N45" s="2"/>
      <c r="O45" s="2"/>
    </row>
    <row r="46" spans="1:15" ht="13.2" x14ac:dyDescent="0.25">
      <c r="A46" s="2"/>
      <c r="B46" s="2" t="s">
        <v>37</v>
      </c>
      <c r="C46" s="2">
        <v>-12.2</v>
      </c>
      <c r="D46" s="2">
        <v>-9.1</v>
      </c>
      <c r="E46" s="2">
        <v>-7.6</v>
      </c>
      <c r="F46" s="2">
        <v>-6.2</v>
      </c>
      <c r="G46" s="2">
        <v>-5.5</v>
      </c>
      <c r="H46" s="2">
        <v>-5.7</v>
      </c>
      <c r="I46" s="2"/>
      <c r="J46" s="2"/>
      <c r="K46" s="2"/>
      <c r="L46" s="2"/>
      <c r="M46" s="2"/>
      <c r="N46" s="2"/>
      <c r="O46" s="2"/>
    </row>
    <row r="47" spans="1:15" ht="13.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3.2" x14ac:dyDescent="0.25">
      <c r="A48" s="2" t="s">
        <v>38</v>
      </c>
      <c r="B48" s="2"/>
      <c r="C48" s="2">
        <v>-351.6</v>
      </c>
      <c r="D48" s="2">
        <v>-516.29999999999995</v>
      </c>
      <c r="E48" s="2">
        <v>-556.6</v>
      </c>
      <c r="F48" s="2">
        <v>-593.4</v>
      </c>
      <c r="G48" s="2">
        <v>-331.3</v>
      </c>
      <c r="H48" s="5">
        <v>-1343</v>
      </c>
      <c r="I48" s="2"/>
      <c r="J48" s="2"/>
      <c r="K48" s="2"/>
      <c r="L48" s="2"/>
      <c r="M48" s="2"/>
      <c r="N48" s="2"/>
      <c r="O48" s="2"/>
    </row>
    <row r="49" spans="1:15" ht="13.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3.2" x14ac:dyDescent="0.25">
      <c r="A50" s="2" t="s">
        <v>112</v>
      </c>
      <c r="B50" s="2"/>
      <c r="C50" s="2">
        <v>-5</v>
      </c>
      <c r="D50" s="2">
        <v>1.9</v>
      </c>
      <c r="E50" s="2">
        <v>-1</v>
      </c>
      <c r="F50" s="2">
        <v>-7.2</v>
      </c>
      <c r="G50" s="2">
        <v>6.3</v>
      </c>
      <c r="H50" s="2">
        <v>1.7</v>
      </c>
      <c r="I50" s="2"/>
      <c r="J50" s="2"/>
      <c r="K50" s="2"/>
      <c r="L50" s="2"/>
      <c r="M50" s="2"/>
      <c r="N50" s="2"/>
      <c r="O50" s="2"/>
    </row>
    <row r="51" spans="1:15" ht="13.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3.2" x14ac:dyDescent="0.25">
      <c r="A52" s="2" t="s">
        <v>113</v>
      </c>
      <c r="B52" s="2"/>
      <c r="C52" s="2">
        <v>-108.6</v>
      </c>
      <c r="D52" s="2">
        <v>-43.7</v>
      </c>
      <c r="E52" s="2">
        <v>242.4</v>
      </c>
      <c r="F52" s="2">
        <v>-26.3</v>
      </c>
      <c r="G52" s="2">
        <v>17.3</v>
      </c>
      <c r="H52" s="2">
        <v>-9.8000000000000007</v>
      </c>
      <c r="I52" s="2"/>
      <c r="J52" s="2"/>
      <c r="K52" s="2"/>
      <c r="L52" s="2"/>
      <c r="M52" s="2"/>
      <c r="N52" s="2"/>
      <c r="O52" s="2"/>
    </row>
    <row r="53" spans="1:15" ht="13.2" x14ac:dyDescent="0.25">
      <c r="A53" s="2" t="s">
        <v>114</v>
      </c>
      <c r="B53" s="2"/>
      <c r="C53" s="2">
        <v>282.89999999999998</v>
      </c>
      <c r="D53" s="2">
        <v>326.60000000000002</v>
      </c>
      <c r="E53" s="2">
        <v>84.2</v>
      </c>
      <c r="F53" s="2">
        <v>110.5</v>
      </c>
      <c r="G53" s="2">
        <v>93.2</v>
      </c>
      <c r="H53" s="2">
        <v>103</v>
      </c>
      <c r="I53" s="2"/>
      <c r="J53" s="2"/>
      <c r="K53" s="2"/>
      <c r="L53" s="2"/>
      <c r="M53" s="2"/>
      <c r="N53" s="2"/>
      <c r="O53" s="2"/>
    </row>
    <row r="54" spans="1:15" ht="13.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3.2" x14ac:dyDescent="0.25">
      <c r="A55" s="2" t="s">
        <v>115</v>
      </c>
      <c r="B55" s="2"/>
      <c r="C55" s="14">
        <v>174.3</v>
      </c>
      <c r="D55" s="14">
        <v>282.89999999999998</v>
      </c>
      <c r="E55" s="14">
        <v>326.60000000000002</v>
      </c>
      <c r="F55" s="2">
        <v>84.2</v>
      </c>
      <c r="G55" s="2">
        <v>110.5</v>
      </c>
      <c r="H55" s="2">
        <v>93.2</v>
      </c>
      <c r="I55" s="2"/>
      <c r="J55" s="2"/>
      <c r="K55" s="2"/>
      <c r="L55" s="2"/>
      <c r="M55" s="2"/>
      <c r="N55" s="2"/>
      <c r="O55" s="2"/>
    </row>
    <row r="56" spans="1:15" ht="13.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3.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3.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3.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3.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3.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3.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3.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3.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3.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3.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zoomScale="75" zoomScaleNormal="100" workbookViewId="0">
      <selection activeCell="B11" sqref="B11"/>
    </sheetView>
  </sheetViews>
  <sheetFormatPr defaultRowHeight="10.199999999999999" x14ac:dyDescent="0.2"/>
  <cols>
    <col min="1" max="1" width="75.140625" bestFit="1" customWidth="1"/>
    <col min="2" max="2" width="14.28515625" bestFit="1" customWidth="1"/>
    <col min="3" max="5" width="12.85546875" bestFit="1" customWidth="1"/>
    <col min="6" max="6" width="14.140625" customWidth="1"/>
    <col min="7" max="7" width="12.28515625" customWidth="1"/>
    <col min="8" max="8" width="10.7109375" bestFit="1" customWidth="1"/>
    <col min="9" max="9" width="12.7109375" customWidth="1"/>
    <col min="10" max="10" width="10.140625" bestFit="1" customWidth="1"/>
    <col min="11" max="11" width="10.42578125" customWidth="1"/>
    <col min="12" max="12" width="11.7109375" customWidth="1"/>
    <col min="13" max="13" width="10.140625" bestFit="1" customWidth="1"/>
    <col min="14" max="14" width="9.85546875" customWidth="1"/>
    <col min="15" max="15" width="11.42578125" customWidth="1"/>
    <col min="16" max="16" width="9.7109375" customWidth="1"/>
    <col min="17" max="17" width="9.85546875" customWidth="1"/>
    <col min="18" max="18" width="9.7109375" customWidth="1"/>
    <col min="19" max="20" width="9.85546875" bestFit="1" customWidth="1"/>
    <col min="21" max="22" width="10.140625" customWidth="1"/>
    <col min="23" max="23" width="10.28515625" customWidth="1"/>
    <col min="24" max="24" width="10.7109375" customWidth="1"/>
    <col min="25" max="25" width="10.42578125" customWidth="1"/>
    <col min="26" max="26" width="11.140625" customWidth="1"/>
    <col min="27" max="27" width="10" customWidth="1"/>
    <col min="28" max="28" width="10.28515625" customWidth="1"/>
  </cols>
  <sheetData>
    <row r="1" spans="1:19" ht="13.2" x14ac:dyDescent="0.25">
      <c r="A1" s="2" t="s">
        <v>39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3"/>
    </row>
    <row r="2" spans="1:19" ht="13.2" x14ac:dyDescent="0.25">
      <c r="A2" s="2" t="s">
        <v>23</v>
      </c>
      <c r="B2" s="3"/>
      <c r="C2" s="3"/>
      <c r="D2" s="3"/>
      <c r="E2" s="3"/>
      <c r="F2" s="3"/>
      <c r="G2" s="3"/>
      <c r="H2" s="3"/>
      <c r="I2" s="3"/>
      <c r="J2" s="25" t="s">
        <v>220</v>
      </c>
      <c r="K2" s="3"/>
      <c r="M2" s="3"/>
      <c r="N2" s="3"/>
      <c r="O2" s="3"/>
      <c r="P2" s="3"/>
    </row>
    <row r="3" spans="1:19" ht="13.2" x14ac:dyDescent="0.25">
      <c r="A3" s="2"/>
      <c r="B3" s="7">
        <v>2000</v>
      </c>
      <c r="C3" s="7">
        <v>1999</v>
      </c>
      <c r="D3" s="7">
        <v>1998</v>
      </c>
      <c r="E3" s="7">
        <v>1997</v>
      </c>
      <c r="F3" s="7">
        <v>1996</v>
      </c>
      <c r="G3" s="7">
        <v>1995</v>
      </c>
      <c r="H3" s="8"/>
      <c r="I3" s="9">
        <v>2000</v>
      </c>
      <c r="J3" s="9">
        <v>1999</v>
      </c>
      <c r="K3" s="9">
        <v>1998</v>
      </c>
      <c r="L3" s="9">
        <v>1997</v>
      </c>
      <c r="M3" s="9">
        <v>1996</v>
      </c>
      <c r="N3" s="9">
        <v>1995</v>
      </c>
      <c r="O3" s="9" t="s">
        <v>118</v>
      </c>
      <c r="P3" s="19"/>
    </row>
    <row r="4" spans="1:19" ht="13.2" x14ac:dyDescent="0.25">
      <c r="A4" s="25" t="s">
        <v>40</v>
      </c>
      <c r="B4" s="4">
        <v>5041</v>
      </c>
      <c r="C4" s="4">
        <v>4725.2</v>
      </c>
      <c r="D4" s="4">
        <v>4842.5</v>
      </c>
      <c r="E4" s="4">
        <v>5015.7</v>
      </c>
      <c r="F4" s="4">
        <v>5199</v>
      </c>
      <c r="G4" s="4">
        <v>5954</v>
      </c>
      <c r="H4" s="3"/>
      <c r="I4" s="10">
        <f t="shared" ref="I4:M5" si="0">(B4-C4)/C4</f>
        <v>6.683314991958017E-2</v>
      </c>
      <c r="J4" s="10">
        <f t="shared" si="0"/>
        <v>-2.4223025296850838E-2</v>
      </c>
      <c r="K4" s="10">
        <f t="shared" si="0"/>
        <v>-3.4531570867476089E-2</v>
      </c>
      <c r="L4" s="10">
        <f t="shared" si="0"/>
        <v>-3.5256780150028887E-2</v>
      </c>
      <c r="M4" s="10">
        <f t="shared" si="0"/>
        <v>-0.12680550890157877</v>
      </c>
      <c r="N4" s="24"/>
      <c r="O4" s="26">
        <f>SUM(I4:M4)/5</f>
        <v>-3.0796747059270879E-2</v>
      </c>
      <c r="P4" s="3"/>
    </row>
    <row r="5" spans="1:19" ht="13.2" x14ac:dyDescent="0.25">
      <c r="A5" s="25" t="s">
        <v>41</v>
      </c>
      <c r="B5" s="5">
        <v>2288.3000000000002</v>
      </c>
      <c r="C5" s="5">
        <v>2136.8000000000002</v>
      </c>
      <c r="D5" s="5">
        <v>2374.4</v>
      </c>
      <c r="E5" s="5">
        <v>2564.9</v>
      </c>
      <c r="F5" s="5">
        <v>2807.5</v>
      </c>
      <c r="G5" s="5">
        <v>3294.4</v>
      </c>
      <c r="H5" s="3"/>
      <c r="I5" s="10">
        <f t="shared" si="0"/>
        <v>7.0900411830774987E-2</v>
      </c>
      <c r="J5" s="10">
        <f t="shared" si="0"/>
        <v>-0.10006738544474389</v>
      </c>
      <c r="K5" s="10">
        <f t="shared" si="0"/>
        <v>-7.4271901438652574E-2</v>
      </c>
      <c r="L5" s="10">
        <f t="shared" si="0"/>
        <v>-8.6411398040961679E-2</v>
      </c>
      <c r="M5" s="10">
        <f t="shared" si="0"/>
        <v>-0.14779626032054397</v>
      </c>
      <c r="N5" s="24"/>
      <c r="O5" s="10">
        <f>SUM(I5:M5)/5</f>
        <v>-6.7529306682825418E-2</v>
      </c>
      <c r="P5" s="3"/>
    </row>
    <row r="6" spans="1:19" ht="13.2" x14ac:dyDescent="0.25">
      <c r="A6" s="25"/>
      <c r="B6" s="3"/>
      <c r="C6" s="3"/>
      <c r="D6" s="3"/>
      <c r="E6" s="2"/>
      <c r="F6" s="3"/>
      <c r="G6" s="3"/>
      <c r="H6" s="3"/>
      <c r="I6" s="10"/>
      <c r="J6" s="10"/>
      <c r="K6" s="10"/>
      <c r="L6" s="10"/>
      <c r="M6" s="10"/>
      <c r="N6" s="10"/>
      <c r="O6" s="2"/>
      <c r="P6" s="3"/>
      <c r="Q6" s="3"/>
    </row>
    <row r="7" spans="1:19" ht="13.2" x14ac:dyDescent="0.25">
      <c r="A7" s="25" t="s">
        <v>42</v>
      </c>
      <c r="B7" s="5">
        <v>2752.7</v>
      </c>
      <c r="C7" s="5">
        <v>2588.4</v>
      </c>
      <c r="D7" s="5">
        <v>2468.1</v>
      </c>
      <c r="E7" s="5">
        <v>2450.8000000000002</v>
      </c>
      <c r="F7" s="5">
        <v>2391.5</v>
      </c>
      <c r="G7" s="5">
        <v>2659.6</v>
      </c>
      <c r="H7" s="3"/>
      <c r="I7" s="10">
        <f t="shared" ref="I7:M8" si="1">(B7-C7)/C7</f>
        <v>6.3475506104156906E-2</v>
      </c>
      <c r="J7" s="10">
        <f t="shared" si="1"/>
        <v>4.8741947246870136E-2</v>
      </c>
      <c r="K7" s="10">
        <f t="shared" si="1"/>
        <v>7.0589195364777731E-3</v>
      </c>
      <c r="L7" s="10">
        <f t="shared" si="1"/>
        <v>2.479615304202391E-2</v>
      </c>
      <c r="M7" s="10">
        <f t="shared" si="1"/>
        <v>-0.10080463227553012</v>
      </c>
      <c r="N7" s="24"/>
      <c r="O7" s="10">
        <f>SUM(I7:M7)/5</f>
        <v>8.6535787307997179E-3</v>
      </c>
      <c r="P7" s="3"/>
      <c r="Q7" s="3"/>
      <c r="S7" s="29"/>
    </row>
    <row r="8" spans="1:19" ht="13.2" x14ac:dyDescent="0.25">
      <c r="A8" s="25" t="s">
        <v>43</v>
      </c>
      <c r="B8" s="5">
        <v>1968.8</v>
      </c>
      <c r="C8" s="5">
        <v>1904.1</v>
      </c>
      <c r="D8" s="5">
        <v>1872.5</v>
      </c>
      <c r="E8" s="5">
        <v>1938.9</v>
      </c>
      <c r="F8" s="5">
        <v>1981</v>
      </c>
      <c r="G8" s="5">
        <v>2358.8000000000002</v>
      </c>
      <c r="H8" s="3"/>
      <c r="I8" s="10">
        <f t="shared" si="1"/>
        <v>3.3979307809463816E-2</v>
      </c>
      <c r="J8" s="10">
        <f t="shared" si="1"/>
        <v>1.6875834445927856E-2</v>
      </c>
      <c r="K8" s="10">
        <f t="shared" si="1"/>
        <v>-3.4246222084687236E-2</v>
      </c>
      <c r="L8" s="10">
        <f t="shared" si="1"/>
        <v>-2.1251892983341701E-2</v>
      </c>
      <c r="M8" s="10">
        <f t="shared" si="1"/>
        <v>-0.1601661861963711</v>
      </c>
      <c r="N8" s="24"/>
      <c r="O8" s="10">
        <f>SUM(I8:M8)/5</f>
        <v>-3.2961831801801671E-2</v>
      </c>
      <c r="P8" s="3"/>
      <c r="Q8" s="3"/>
    </row>
    <row r="9" spans="1:19" ht="13.2" x14ac:dyDescent="0.25">
      <c r="A9" s="57"/>
      <c r="B9" s="3"/>
      <c r="C9" s="3"/>
      <c r="D9" s="3"/>
      <c r="E9" s="3"/>
      <c r="F9" s="3"/>
      <c r="G9" s="3"/>
      <c r="H9" s="3"/>
      <c r="I9" s="10"/>
      <c r="J9" s="10"/>
      <c r="K9" s="10"/>
      <c r="L9" s="10"/>
      <c r="M9" s="10"/>
      <c r="N9" s="10"/>
      <c r="O9" s="2"/>
      <c r="P9" s="3"/>
      <c r="Q9" s="3"/>
    </row>
    <row r="10" spans="1:19" ht="13.2" x14ac:dyDescent="0.25">
      <c r="A10" s="57"/>
      <c r="B10" s="200">
        <f>B7-B8</f>
        <v>783.89999999999986</v>
      </c>
      <c r="C10" s="3"/>
      <c r="D10" s="3"/>
      <c r="E10" s="3"/>
      <c r="F10" s="3"/>
      <c r="G10" s="3"/>
      <c r="H10" s="3"/>
      <c r="I10" s="10"/>
      <c r="J10" s="10"/>
      <c r="K10" s="10"/>
      <c r="L10" s="10"/>
      <c r="M10" s="10"/>
      <c r="N10" s="10"/>
      <c r="O10" s="2"/>
      <c r="P10" s="3"/>
      <c r="Q10" s="3"/>
    </row>
    <row r="11" spans="1:19" ht="13.2" x14ac:dyDescent="0.25">
      <c r="A11" s="57"/>
      <c r="B11" s="3"/>
      <c r="C11" s="3"/>
      <c r="D11" s="3"/>
      <c r="E11" s="3"/>
      <c r="F11" s="3"/>
      <c r="G11" s="3"/>
      <c r="H11" s="3"/>
      <c r="I11" s="10"/>
      <c r="J11" s="10"/>
      <c r="K11" s="10"/>
      <c r="L11" s="10"/>
      <c r="M11" s="10"/>
      <c r="N11" s="10"/>
      <c r="O11" s="2"/>
      <c r="P11" s="3"/>
      <c r="Q11" s="3"/>
    </row>
    <row r="12" spans="1:19" ht="13.2" x14ac:dyDescent="0.25">
      <c r="A12" s="25" t="s">
        <v>107</v>
      </c>
      <c r="B12" s="2">
        <v>182.5</v>
      </c>
      <c r="C12" s="2">
        <v>-2.2999999999999998</v>
      </c>
      <c r="D12" s="2">
        <v>128.5</v>
      </c>
      <c r="E12" s="5">
        <v>1486.3</v>
      </c>
      <c r="F12" s="2">
        <v>-113.4</v>
      </c>
      <c r="G12" s="5">
        <v>-1053.5</v>
      </c>
      <c r="H12" s="3"/>
      <c r="I12" s="10">
        <f t="shared" ref="I12:M15" si="2">(B12-C12)/C12</f>
        <v>-80.34782608695653</v>
      </c>
      <c r="J12" s="10">
        <f t="shared" si="2"/>
        <v>-1.0178988326848251</v>
      </c>
      <c r="K12" s="10">
        <f t="shared" si="2"/>
        <v>-0.91354369911861666</v>
      </c>
      <c r="L12" s="10">
        <f t="shared" si="2"/>
        <v>-14.106701940035274</v>
      </c>
      <c r="M12" s="10">
        <f t="shared" si="2"/>
        <v>-0.89235880398671097</v>
      </c>
      <c r="N12" s="24"/>
      <c r="O12" s="10">
        <f>SUM(I12:M12)/5</f>
        <v>-19.455665872556391</v>
      </c>
      <c r="P12" s="3"/>
      <c r="Q12" s="3"/>
    </row>
    <row r="13" spans="1:19" ht="13.2" x14ac:dyDescent="0.25">
      <c r="A13" s="25" t="s">
        <v>44</v>
      </c>
      <c r="B13" s="2">
        <v>54</v>
      </c>
      <c r="C13" s="2">
        <v>61.9</v>
      </c>
      <c r="D13" s="2">
        <v>69.599999999999994</v>
      </c>
      <c r="E13" s="2">
        <v>85.8</v>
      </c>
      <c r="F13" s="2">
        <v>106.8</v>
      </c>
      <c r="G13" s="2">
        <v>131.6</v>
      </c>
      <c r="H13" s="3"/>
      <c r="I13" s="10">
        <f t="shared" si="2"/>
        <v>-0.12762520193861066</v>
      </c>
      <c r="J13" s="10">
        <f t="shared" si="2"/>
        <v>-0.11063218390804593</v>
      </c>
      <c r="K13" s="10">
        <f t="shared" si="2"/>
        <v>-0.18881118881118886</v>
      </c>
      <c r="L13" s="10">
        <f t="shared" si="2"/>
        <v>-0.19662921348314608</v>
      </c>
      <c r="M13" s="10">
        <f t="shared" si="2"/>
        <v>-0.18844984802431611</v>
      </c>
      <c r="N13" s="24"/>
      <c r="O13" s="10">
        <f>SUM(I13:M13)/5</f>
        <v>-0.16242952723306153</v>
      </c>
      <c r="P13" s="3"/>
      <c r="Q13" s="3"/>
    </row>
    <row r="14" spans="1:19" ht="13.2" x14ac:dyDescent="0.25">
      <c r="A14" s="25" t="s">
        <v>45</v>
      </c>
      <c r="B14" s="2">
        <v>-9</v>
      </c>
      <c r="C14" s="2">
        <v>-11.7</v>
      </c>
      <c r="D14" s="2">
        <v>-10.7</v>
      </c>
      <c r="E14" s="2">
        <v>-6.7</v>
      </c>
      <c r="F14" s="2">
        <v>-7.4</v>
      </c>
      <c r="G14" s="2">
        <v>-6.2</v>
      </c>
      <c r="H14" s="3"/>
      <c r="I14" s="10">
        <f t="shared" si="2"/>
        <v>-0.23076923076923073</v>
      </c>
      <c r="J14" s="10">
        <f t="shared" si="2"/>
        <v>9.3457943925233655E-2</v>
      </c>
      <c r="K14" s="10">
        <f t="shared" si="2"/>
        <v>0.59701492537313416</v>
      </c>
      <c r="L14" s="10">
        <f t="shared" si="2"/>
        <v>-9.4594594594594614E-2</v>
      </c>
      <c r="M14" s="10">
        <f t="shared" si="2"/>
        <v>0.19354838709677422</v>
      </c>
      <c r="N14" s="24"/>
      <c r="O14" s="10">
        <f>SUM(I14:M14)/5</f>
        <v>0.11173148620626334</v>
      </c>
      <c r="P14" s="3"/>
      <c r="Q14" s="3"/>
    </row>
    <row r="15" spans="1:19" ht="13.2" x14ac:dyDescent="0.25">
      <c r="A15" s="25" t="s">
        <v>46</v>
      </c>
      <c r="B15" s="2">
        <v>5.3</v>
      </c>
      <c r="C15" s="2">
        <v>18.100000000000001</v>
      </c>
      <c r="D15" s="2">
        <v>11.6</v>
      </c>
      <c r="E15" s="2">
        <v>10.8</v>
      </c>
      <c r="F15" s="2">
        <v>8.9</v>
      </c>
      <c r="G15" s="2">
        <v>8.4</v>
      </c>
      <c r="H15" s="3"/>
      <c r="I15" s="10">
        <f t="shared" si="2"/>
        <v>-0.70718232044198892</v>
      </c>
      <c r="J15" s="10">
        <f t="shared" si="2"/>
        <v>0.56034482758620707</v>
      </c>
      <c r="K15" s="10">
        <f t="shared" si="2"/>
        <v>7.4074074074073973E-2</v>
      </c>
      <c r="L15" s="10">
        <f t="shared" si="2"/>
        <v>0.21348314606741575</v>
      </c>
      <c r="M15" s="10">
        <f t="shared" si="2"/>
        <v>5.9523809523809521E-2</v>
      </c>
      <c r="N15" s="24"/>
      <c r="O15" s="10">
        <f>SUM(I15:M15)/5</f>
        <v>4.0048707361903482E-2</v>
      </c>
      <c r="P15" s="3"/>
      <c r="Q15" s="3"/>
    </row>
    <row r="16" spans="1:19" ht="13.2" x14ac:dyDescent="0.25">
      <c r="A16" s="25"/>
      <c r="B16" s="3"/>
      <c r="C16" s="3"/>
      <c r="D16" s="3"/>
      <c r="E16" s="3"/>
      <c r="F16" s="2"/>
      <c r="G16" s="3"/>
      <c r="H16" s="3"/>
      <c r="I16" s="10"/>
      <c r="J16" s="10"/>
      <c r="K16" s="10"/>
      <c r="L16" s="10"/>
      <c r="M16" s="10"/>
      <c r="N16" s="10"/>
      <c r="O16" s="2"/>
      <c r="P16" s="3"/>
      <c r="Q16" s="3"/>
    </row>
    <row r="17" spans="1:17" ht="13.2" x14ac:dyDescent="0.25">
      <c r="A17" s="25" t="s">
        <v>47</v>
      </c>
      <c r="B17" s="2">
        <v>551.1</v>
      </c>
      <c r="C17" s="2">
        <v>618.29999999999995</v>
      </c>
      <c r="D17" s="2">
        <v>396.6</v>
      </c>
      <c r="E17" s="5">
        <v>-1064.3</v>
      </c>
      <c r="F17" s="2">
        <v>415.6</v>
      </c>
      <c r="G17" s="5">
        <v>1220.5</v>
      </c>
      <c r="H17" s="3"/>
      <c r="I17" s="10">
        <f t="shared" ref="I17:M18" si="3">(B17-C17)/C17</f>
        <v>-0.10868510431829199</v>
      </c>
      <c r="J17" s="10">
        <f t="shared" si="3"/>
        <v>0.55900151285930388</v>
      </c>
      <c r="K17" s="10">
        <f t="shared" si="3"/>
        <v>-1.3726392934323031</v>
      </c>
      <c r="L17" s="10">
        <f t="shared" si="3"/>
        <v>-3.560875842155919</v>
      </c>
      <c r="M17" s="10">
        <f t="shared" si="3"/>
        <v>-0.65948381810733303</v>
      </c>
      <c r="N17" s="24"/>
      <c r="O17" s="10">
        <f>SUM(I17:M17)/5</f>
        <v>-1.0285365090309084</v>
      </c>
      <c r="P17" s="3"/>
      <c r="Q17" s="3"/>
    </row>
    <row r="18" spans="1:17" ht="13.2" x14ac:dyDescent="0.25">
      <c r="A18" s="25" t="s">
        <v>48</v>
      </c>
      <c r="B18" s="2">
        <v>190.5</v>
      </c>
      <c r="C18" s="2">
        <v>163.30000000000001</v>
      </c>
      <c r="D18" s="2">
        <v>112.1</v>
      </c>
      <c r="E18" s="2">
        <v>-133.4</v>
      </c>
      <c r="F18" s="2">
        <v>167.7</v>
      </c>
      <c r="G18" s="2">
        <v>496.5</v>
      </c>
      <c r="H18" s="3"/>
      <c r="I18" s="10">
        <f t="shared" si="3"/>
        <v>0.16656460502143286</v>
      </c>
      <c r="J18" s="10">
        <f t="shared" si="3"/>
        <v>0.45673505798394309</v>
      </c>
      <c r="K18" s="10">
        <f t="shared" si="3"/>
        <v>-1.8403298350824586</v>
      </c>
      <c r="L18" s="10">
        <f t="shared" si="3"/>
        <v>-1.7954680977936794</v>
      </c>
      <c r="M18" s="10">
        <f t="shared" si="3"/>
        <v>-0.66223564954682779</v>
      </c>
      <c r="N18" s="24"/>
      <c r="O18" s="10">
        <f>SUM(I18:M18)/5</f>
        <v>-0.73494678388351797</v>
      </c>
      <c r="P18" s="3"/>
      <c r="Q18" s="3"/>
    </row>
    <row r="19" spans="1:17" ht="13.2" x14ac:dyDescent="0.25">
      <c r="A19" s="25"/>
      <c r="B19" s="3"/>
      <c r="C19" s="3"/>
      <c r="D19" s="3"/>
      <c r="E19" s="3"/>
      <c r="F19" s="2"/>
      <c r="G19" s="3"/>
      <c r="H19" s="3"/>
      <c r="I19" s="10"/>
      <c r="J19" s="10"/>
      <c r="K19" s="10"/>
      <c r="L19" s="10"/>
      <c r="M19" s="10"/>
      <c r="N19" s="10"/>
      <c r="O19" s="2"/>
      <c r="P19" s="3"/>
      <c r="Q19" s="3"/>
    </row>
    <row r="20" spans="1:17" ht="13.2" x14ac:dyDescent="0.25">
      <c r="A20" s="25" t="s">
        <v>49</v>
      </c>
      <c r="B20" s="2">
        <v>360.6</v>
      </c>
      <c r="C20" s="2">
        <v>455</v>
      </c>
      <c r="D20" s="2">
        <v>284.5</v>
      </c>
      <c r="E20" s="2">
        <v>-930.9</v>
      </c>
      <c r="F20" s="2">
        <v>247.9</v>
      </c>
      <c r="G20" s="2">
        <v>724</v>
      </c>
      <c r="H20" s="3"/>
      <c r="I20" s="10">
        <f t="shared" ref="I20:M21" si="4">(B20-C20)/C20</f>
        <v>-0.20747252747252742</v>
      </c>
      <c r="J20" s="10">
        <f t="shared" si="4"/>
        <v>0.59929701230228472</v>
      </c>
      <c r="K20" s="10">
        <f t="shared" si="4"/>
        <v>-1.3056182189279193</v>
      </c>
      <c r="L20" s="10">
        <f t="shared" si="4"/>
        <v>-4.7551432029043967</v>
      </c>
      <c r="M20" s="10">
        <f t="shared" si="4"/>
        <v>-0.65759668508287294</v>
      </c>
      <c r="N20" s="24"/>
      <c r="O20" s="10">
        <f>SUM(I20:M20)/5</f>
        <v>-1.2653067244170864</v>
      </c>
      <c r="P20" s="3"/>
      <c r="Q20" s="3"/>
    </row>
    <row r="21" spans="1:17" ht="13.2" x14ac:dyDescent="0.25">
      <c r="A21" s="25" t="s">
        <v>50</v>
      </c>
      <c r="B21" s="2">
        <v>4.2</v>
      </c>
      <c r="C21" s="2">
        <v>4.4000000000000004</v>
      </c>
      <c r="D21" s="2">
        <v>4.5</v>
      </c>
      <c r="E21" s="2">
        <v>3.5</v>
      </c>
      <c r="F21" s="2">
        <v>3.7</v>
      </c>
      <c r="G21" s="2">
        <v>4</v>
      </c>
      <c r="H21" s="3"/>
      <c r="I21" s="10">
        <f t="shared" si="4"/>
        <v>-4.5454545454545491E-2</v>
      </c>
      <c r="J21" s="10">
        <f t="shared" si="4"/>
        <v>-2.2222222222222143E-2</v>
      </c>
      <c r="K21" s="10">
        <f t="shared" si="4"/>
        <v>0.2857142857142857</v>
      </c>
      <c r="L21" s="10">
        <f t="shared" si="4"/>
        <v>-5.4054054054054099E-2</v>
      </c>
      <c r="M21" s="10">
        <f t="shared" si="4"/>
        <v>-7.4999999999999956E-2</v>
      </c>
      <c r="N21" s="24"/>
      <c r="O21" s="10">
        <f>SUM(I21:M21)/5</f>
        <v>1.7796692796692805E-2</v>
      </c>
      <c r="P21" s="3"/>
      <c r="Q21" s="3"/>
    </row>
    <row r="22" spans="1:17" ht="13.2" x14ac:dyDescent="0.25">
      <c r="A22" s="25"/>
      <c r="B22" s="3"/>
      <c r="C22" s="3"/>
      <c r="D22" s="3"/>
      <c r="E22" s="3"/>
      <c r="F22" s="2"/>
      <c r="G22" s="3"/>
      <c r="H22" s="3"/>
      <c r="I22" s="10"/>
      <c r="J22" s="10"/>
      <c r="K22" s="10"/>
      <c r="L22" s="10"/>
      <c r="M22" s="10"/>
      <c r="N22" s="10"/>
      <c r="O22" s="2"/>
      <c r="P22" s="3"/>
      <c r="Q22" s="3"/>
    </row>
    <row r="23" spans="1:17" ht="13.2" x14ac:dyDescent="0.25">
      <c r="A23" s="25" t="s">
        <v>51</v>
      </c>
      <c r="B23" s="2">
        <v>356.4</v>
      </c>
      <c r="C23" s="2">
        <v>450.6</v>
      </c>
      <c r="D23" s="2">
        <v>280</v>
      </c>
      <c r="E23" s="2">
        <v>-934.4</v>
      </c>
      <c r="F23" s="2">
        <v>244.2</v>
      </c>
      <c r="G23" s="2">
        <v>720</v>
      </c>
      <c r="H23" s="3"/>
      <c r="I23" s="10">
        <f>(B23-C23)/C23</f>
        <v>-0.20905459387483363</v>
      </c>
      <c r="J23" s="10">
        <f>(C23-D23)/D23</f>
        <v>0.60928571428571432</v>
      </c>
      <c r="K23" s="10">
        <f>(D23-E23)/E23</f>
        <v>-1.2996575342465755</v>
      </c>
      <c r="L23" s="10">
        <f>(E23-F23)/F23</f>
        <v>-4.826371826371826</v>
      </c>
      <c r="M23" s="10">
        <f>(F23-G23)/G23</f>
        <v>-0.66083333333333338</v>
      </c>
      <c r="N23" s="24"/>
      <c r="O23" s="10">
        <f>SUM(I23:M23)/5</f>
        <v>-1.2773263147081708</v>
      </c>
      <c r="P23" s="3"/>
      <c r="Q23" s="3"/>
    </row>
    <row r="24" spans="1:17" ht="13.2" x14ac:dyDescent="0.25">
      <c r="A24" s="25"/>
      <c r="B24" s="3"/>
      <c r="C24" s="3"/>
      <c r="D24" s="3"/>
      <c r="E24" s="3"/>
      <c r="F24" s="2"/>
      <c r="G24" s="3"/>
      <c r="H24" s="3"/>
      <c r="I24" s="10"/>
      <c r="J24" s="10"/>
      <c r="K24" s="10"/>
      <c r="L24" s="10"/>
      <c r="M24" s="10"/>
      <c r="N24" s="10"/>
      <c r="O24" s="2"/>
      <c r="P24" s="3"/>
      <c r="Q24" s="3"/>
    </row>
    <row r="25" spans="1:17" ht="13.2" x14ac:dyDescent="0.25">
      <c r="A25" s="25" t="s">
        <v>52</v>
      </c>
      <c r="B25" s="3"/>
      <c r="C25" s="3"/>
      <c r="D25" s="3"/>
      <c r="E25" s="3"/>
      <c r="F25" s="2"/>
      <c r="G25" s="3"/>
      <c r="H25" s="3"/>
      <c r="I25" s="10"/>
      <c r="J25" s="10"/>
      <c r="K25" s="10"/>
      <c r="L25" s="10"/>
      <c r="M25" s="10"/>
      <c r="N25" s="10"/>
      <c r="O25" s="2"/>
      <c r="P25" s="3"/>
      <c r="Q25" s="3"/>
    </row>
    <row r="26" spans="1:17" ht="13.2" x14ac:dyDescent="0.25">
      <c r="A26" s="25" t="s">
        <v>53</v>
      </c>
      <c r="B26" s="2">
        <v>2.71</v>
      </c>
      <c r="C26" s="2">
        <v>3.36</v>
      </c>
      <c r="D26" s="2">
        <v>2.04</v>
      </c>
      <c r="E26" s="2">
        <v>-6.8</v>
      </c>
      <c r="F26" s="2">
        <v>1.8</v>
      </c>
      <c r="G26" s="2">
        <v>5.39</v>
      </c>
      <c r="H26" s="3"/>
      <c r="I26" s="10"/>
      <c r="J26" s="10"/>
      <c r="K26" s="10"/>
      <c r="L26" s="10"/>
      <c r="M26" s="10"/>
      <c r="N26" s="10"/>
      <c r="O26" s="2"/>
      <c r="P26" s="3"/>
      <c r="Q26" s="3"/>
    </row>
    <row r="27" spans="1:17" ht="13.2" x14ac:dyDescent="0.25">
      <c r="A27" s="25" t="s">
        <v>54</v>
      </c>
      <c r="B27" s="2">
        <v>2.61</v>
      </c>
      <c r="C27" s="2">
        <v>3.23</v>
      </c>
      <c r="D27" s="2">
        <v>1.97</v>
      </c>
      <c r="E27" s="2">
        <v>-6.8</v>
      </c>
      <c r="F27" s="2">
        <v>1.78</v>
      </c>
      <c r="G27" s="2">
        <v>5.23</v>
      </c>
      <c r="H27" s="3"/>
      <c r="I27" s="10"/>
      <c r="J27" s="10"/>
      <c r="K27" s="10"/>
      <c r="L27" s="10"/>
      <c r="M27" s="10"/>
      <c r="N27" s="10"/>
      <c r="O27" s="2"/>
      <c r="P27" s="3"/>
      <c r="Q27" s="3"/>
    </row>
    <row r="28" spans="1:17" ht="13.2" x14ac:dyDescent="0.25">
      <c r="A28" s="25" t="s">
        <v>55</v>
      </c>
      <c r="B28" s="2">
        <v>1.1399999999999999</v>
      </c>
      <c r="C28" s="2">
        <v>1.1399999999999999</v>
      </c>
      <c r="D28" s="2">
        <v>1.1399999999999999</v>
      </c>
      <c r="E28" s="2">
        <v>1.1399999999999999</v>
      </c>
      <c r="F28" s="2">
        <v>1.1399999999999999</v>
      </c>
      <c r="G28" s="2">
        <v>1.1399999999999999</v>
      </c>
      <c r="H28" s="3"/>
      <c r="I28" s="10"/>
      <c r="J28" s="10"/>
      <c r="K28" s="10"/>
      <c r="L28" s="10"/>
      <c r="M28" s="10"/>
      <c r="N28" s="10"/>
      <c r="O28" s="2"/>
      <c r="P28" s="3"/>
      <c r="Q28" s="3"/>
    </row>
    <row r="29" spans="1:17" ht="13.2" x14ac:dyDescent="0.25">
      <c r="A29" s="25"/>
      <c r="B29" s="3"/>
      <c r="C29" s="3"/>
      <c r="D29" s="3"/>
      <c r="E29" s="3"/>
      <c r="F29" s="2"/>
      <c r="G29" s="3"/>
      <c r="H29" s="3"/>
      <c r="I29" s="10"/>
      <c r="J29" s="10"/>
      <c r="K29" s="10"/>
      <c r="L29" s="10"/>
      <c r="M29" s="10"/>
      <c r="N29" s="10"/>
      <c r="O29" s="2"/>
      <c r="P29" s="3"/>
      <c r="Q29" s="3"/>
    </row>
    <row r="30" spans="1:17" ht="13.2" x14ac:dyDescent="0.25">
      <c r="A30" s="25" t="s">
        <v>106</v>
      </c>
      <c r="B30" s="6">
        <v>131689</v>
      </c>
      <c r="C30" s="6">
        <v>134027</v>
      </c>
      <c r="D30" s="6">
        <v>137185</v>
      </c>
      <c r="E30" s="6">
        <v>137460</v>
      </c>
      <c r="F30" s="6">
        <v>135466</v>
      </c>
      <c r="G30" s="6">
        <v>134149</v>
      </c>
      <c r="H30" s="3"/>
      <c r="I30" s="10"/>
      <c r="J30" s="10"/>
      <c r="K30" s="10"/>
      <c r="L30" s="10"/>
      <c r="M30" s="10"/>
      <c r="N30" s="10"/>
      <c r="O30" s="2"/>
      <c r="P30" s="3"/>
      <c r="Q30" s="3"/>
    </row>
    <row r="31" spans="1:17" x14ac:dyDescent="0.2">
      <c r="A31" s="58"/>
      <c r="I31" s="12"/>
      <c r="J31" s="12"/>
      <c r="K31" s="12"/>
      <c r="L31" s="12"/>
      <c r="M31" s="12"/>
      <c r="N31" s="12"/>
      <c r="O31" s="12"/>
    </row>
    <row r="32" spans="1:17" ht="13.2" x14ac:dyDescent="0.25">
      <c r="A32" s="58"/>
      <c r="C32" s="25" t="s">
        <v>219</v>
      </c>
      <c r="I32" s="12"/>
      <c r="J32" s="12"/>
      <c r="K32" s="12"/>
      <c r="L32" s="12"/>
      <c r="M32" s="12"/>
      <c r="N32" s="12"/>
      <c r="O32" s="12"/>
    </row>
    <row r="33" spans="1:20" ht="13.2" x14ac:dyDescent="0.25">
      <c r="A33" s="58"/>
      <c r="D33" s="15" t="s">
        <v>119</v>
      </c>
      <c r="E33" s="2"/>
      <c r="G33" s="2"/>
      <c r="H33" s="2"/>
      <c r="J33" s="27" t="s">
        <v>137</v>
      </c>
      <c r="K33" s="27" t="s">
        <v>137</v>
      </c>
      <c r="L33" s="27" t="s">
        <v>137</v>
      </c>
      <c r="M33" s="27" t="s">
        <v>137</v>
      </c>
      <c r="N33" s="27" t="s">
        <v>137</v>
      </c>
      <c r="O33" s="27" t="s">
        <v>137</v>
      </c>
      <c r="P33" s="27" t="s">
        <v>137</v>
      </c>
      <c r="Q33" s="27" t="s">
        <v>137</v>
      </c>
      <c r="R33" s="27" t="s">
        <v>137</v>
      </c>
      <c r="S33" s="27" t="s">
        <v>137</v>
      </c>
      <c r="T33" t="s">
        <v>210</v>
      </c>
    </row>
    <row r="34" spans="1:20" ht="13.2" x14ac:dyDescent="0.25">
      <c r="A34" s="23"/>
      <c r="B34" s="21">
        <v>2000</v>
      </c>
      <c r="C34" s="21">
        <v>1999</v>
      </c>
      <c r="D34" s="21">
        <v>1998</v>
      </c>
      <c r="E34" s="21">
        <v>1997</v>
      </c>
      <c r="F34" s="21">
        <v>1996</v>
      </c>
      <c r="G34" s="21">
        <v>1995</v>
      </c>
      <c r="H34" s="22" t="s">
        <v>118</v>
      </c>
      <c r="I34" s="12"/>
      <c r="J34" s="9">
        <v>2001</v>
      </c>
      <c r="K34" s="7">
        <f>J34+1</f>
        <v>2002</v>
      </c>
      <c r="L34" s="7">
        <f t="shared" ref="L34:S34" si="5">K34+1</f>
        <v>2003</v>
      </c>
      <c r="M34" s="7">
        <f t="shared" si="5"/>
        <v>2004</v>
      </c>
      <c r="N34" s="7">
        <f t="shared" si="5"/>
        <v>2005</v>
      </c>
      <c r="O34" s="7">
        <f t="shared" si="5"/>
        <v>2006</v>
      </c>
      <c r="P34" s="7">
        <f t="shared" si="5"/>
        <v>2007</v>
      </c>
      <c r="Q34" s="7">
        <f t="shared" si="5"/>
        <v>2008</v>
      </c>
      <c r="R34" s="7">
        <f t="shared" si="5"/>
        <v>2009</v>
      </c>
      <c r="S34" s="7">
        <f t="shared" si="5"/>
        <v>2010</v>
      </c>
    </row>
    <row r="35" spans="1:20" ht="13.2" x14ac:dyDescent="0.25">
      <c r="A35" s="25" t="s">
        <v>40</v>
      </c>
      <c r="B35" s="10">
        <f t="shared" ref="B35:G36" si="6">B4/B$4</f>
        <v>1</v>
      </c>
      <c r="C35" s="10">
        <f t="shared" si="6"/>
        <v>1</v>
      </c>
      <c r="D35" s="10">
        <f t="shared" si="6"/>
        <v>1</v>
      </c>
      <c r="E35" s="10">
        <f t="shared" si="6"/>
        <v>1</v>
      </c>
      <c r="F35" s="10">
        <f t="shared" si="6"/>
        <v>1</v>
      </c>
      <c r="G35" s="10">
        <f t="shared" si="6"/>
        <v>1</v>
      </c>
      <c r="H35" s="11">
        <f>SUM(B35:G35)/6</f>
        <v>1</v>
      </c>
      <c r="I35" s="12"/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</row>
    <row r="36" spans="1:20" ht="13.2" x14ac:dyDescent="0.25">
      <c r="A36" s="25" t="s">
        <v>41</v>
      </c>
      <c r="B36" s="10">
        <f t="shared" si="6"/>
        <v>0.45393771077167233</v>
      </c>
      <c r="C36" s="10">
        <f t="shared" si="6"/>
        <v>0.45221366291373916</v>
      </c>
      <c r="D36" s="10">
        <f t="shared" si="6"/>
        <v>0.4903252452245741</v>
      </c>
      <c r="E36" s="10">
        <f t="shared" si="6"/>
        <v>0.51137428474589797</v>
      </c>
      <c r="F36" s="10">
        <f t="shared" si="6"/>
        <v>0.54000769378726676</v>
      </c>
      <c r="G36" s="10">
        <f t="shared" si="6"/>
        <v>0.55330870003359089</v>
      </c>
      <c r="H36" s="11">
        <f t="shared" ref="H36:H54" si="7">SUM(B36:G36)/6</f>
        <v>0.50019454957945686</v>
      </c>
      <c r="I36" s="12"/>
      <c r="J36" s="10">
        <v>0.45393771077167233</v>
      </c>
      <c r="K36" s="10">
        <v>0.45393771077167233</v>
      </c>
      <c r="L36" s="10">
        <v>0.45393771077167233</v>
      </c>
      <c r="M36" s="10">
        <v>0.45393771077167233</v>
      </c>
      <c r="N36" s="10">
        <v>0.45393771077167233</v>
      </c>
      <c r="O36" s="10">
        <v>0.45393771077167233</v>
      </c>
      <c r="P36" s="10">
        <v>0.45393771077167233</v>
      </c>
      <c r="Q36" s="10">
        <v>0.45393771077167233</v>
      </c>
      <c r="R36" s="10">
        <v>0.45393771077167233</v>
      </c>
      <c r="S36" s="10">
        <v>0.45393771077167233</v>
      </c>
      <c r="T36" s="156" t="s">
        <v>290</v>
      </c>
    </row>
    <row r="37" spans="1:20" ht="13.2" x14ac:dyDescent="0.25">
      <c r="A37" s="25"/>
      <c r="B37" s="10"/>
      <c r="C37" s="10"/>
      <c r="D37" s="10"/>
      <c r="E37" s="10"/>
      <c r="F37" s="10"/>
      <c r="G37" s="10"/>
      <c r="H37" s="11"/>
      <c r="I37" s="12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20" ht="13.2" x14ac:dyDescent="0.25">
      <c r="A38" s="25" t="s">
        <v>42</v>
      </c>
      <c r="B38" s="10">
        <f t="shared" ref="B38:G39" si="8">B7/B$4</f>
        <v>0.54606228922832767</v>
      </c>
      <c r="C38" s="10">
        <f t="shared" si="8"/>
        <v>0.5477863370862609</v>
      </c>
      <c r="D38" s="10">
        <f t="shared" si="8"/>
        <v>0.5096747547754259</v>
      </c>
      <c r="E38" s="10">
        <f t="shared" si="8"/>
        <v>0.4886257152541022</v>
      </c>
      <c r="F38" s="10">
        <f t="shared" si="8"/>
        <v>0.45999230621273324</v>
      </c>
      <c r="G38" s="10">
        <f t="shared" si="8"/>
        <v>0.44669129996640911</v>
      </c>
      <c r="H38" s="11">
        <f t="shared" si="7"/>
        <v>0.49980545042054314</v>
      </c>
      <c r="I38" s="12"/>
      <c r="J38" s="10">
        <v>0.54606228922832767</v>
      </c>
      <c r="K38" s="10">
        <v>0.54606228922832767</v>
      </c>
      <c r="L38" s="10">
        <v>0.54606228922832767</v>
      </c>
      <c r="M38" s="10">
        <v>0.54606228922832767</v>
      </c>
      <c r="N38" s="10">
        <v>0.54606228922832767</v>
      </c>
      <c r="O38" s="10">
        <v>0.54606228922832767</v>
      </c>
      <c r="P38" s="10">
        <v>0.54606228922832767</v>
      </c>
      <c r="Q38" s="10">
        <v>0.54606228922832767</v>
      </c>
      <c r="R38" s="10">
        <v>0.54606228922832767</v>
      </c>
      <c r="S38" s="10">
        <v>0.54606228922832767</v>
      </c>
    </row>
    <row r="39" spans="1:20" ht="13.2" x14ac:dyDescent="0.25">
      <c r="A39" s="25" t="s">
        <v>43</v>
      </c>
      <c r="B39" s="10">
        <f t="shared" si="8"/>
        <v>0.39055742908153146</v>
      </c>
      <c r="C39" s="10">
        <f t="shared" si="8"/>
        <v>0.40296707017692374</v>
      </c>
      <c r="D39" s="10">
        <f t="shared" si="8"/>
        <v>0.38668043366029942</v>
      </c>
      <c r="E39" s="10">
        <f t="shared" si="8"/>
        <v>0.38656618218792993</v>
      </c>
      <c r="F39" s="10">
        <f t="shared" si="8"/>
        <v>0.38103481438738218</v>
      </c>
      <c r="G39" s="10">
        <f t="shared" si="8"/>
        <v>0.39617064158548876</v>
      </c>
      <c r="H39" s="11">
        <f t="shared" si="7"/>
        <v>0.39066276184659254</v>
      </c>
      <c r="I39" s="12"/>
      <c r="J39" s="10">
        <v>0.39055742908153146</v>
      </c>
      <c r="K39" s="10">
        <v>0.39055742908153146</v>
      </c>
      <c r="L39" s="10">
        <v>0.39055742908153146</v>
      </c>
      <c r="M39" s="10">
        <v>0.39055742908153146</v>
      </c>
      <c r="N39" s="10">
        <v>0.39055742908153146</v>
      </c>
      <c r="O39" s="10">
        <v>0.39055742908153146</v>
      </c>
      <c r="P39" s="10">
        <v>0.39055742908153146</v>
      </c>
      <c r="Q39" s="10">
        <v>0.39055742908153146</v>
      </c>
      <c r="R39" s="10">
        <v>0.39055742908153146</v>
      </c>
      <c r="S39" s="10">
        <v>0.39055742908153146</v>
      </c>
    </row>
    <row r="40" spans="1:20" ht="13.2" x14ac:dyDescent="0.25">
      <c r="A40" s="57"/>
      <c r="B40" s="10"/>
      <c r="C40" s="10"/>
      <c r="D40" s="10"/>
      <c r="E40" s="10"/>
      <c r="F40" s="10"/>
      <c r="G40" s="10"/>
      <c r="H40" s="11"/>
      <c r="I40" s="12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:20" ht="13.2" x14ac:dyDescent="0.25">
      <c r="A41" s="57"/>
      <c r="B41" s="10"/>
      <c r="C41" s="10"/>
      <c r="D41" s="10"/>
      <c r="E41" s="10"/>
      <c r="F41" s="10"/>
      <c r="G41" s="10"/>
      <c r="H41" s="11"/>
      <c r="I41" s="12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0" ht="13.2" x14ac:dyDescent="0.25">
      <c r="A42" s="57"/>
      <c r="B42" s="10"/>
      <c r="C42" s="10"/>
      <c r="D42" s="10"/>
      <c r="E42" s="10"/>
      <c r="F42" s="10"/>
      <c r="G42" s="10"/>
      <c r="H42" s="11"/>
      <c r="I42" s="12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0" ht="13.2" x14ac:dyDescent="0.25">
      <c r="A43" s="25" t="s">
        <v>107</v>
      </c>
      <c r="B43" s="10">
        <f t="shared" ref="B43:C46" si="9">B12/B$4</f>
        <v>3.6203134298750245E-2</v>
      </c>
      <c r="C43" s="10">
        <f t="shared" si="9"/>
        <v>-4.8675188351815794E-4</v>
      </c>
      <c r="D43" s="10">
        <f t="shared" ref="D43:G46" si="10">D12/D$4</f>
        <v>2.6535880227155396E-2</v>
      </c>
      <c r="E43" s="10">
        <f t="shared" si="10"/>
        <v>0.29632952529058754</v>
      </c>
      <c r="F43" s="10">
        <f t="shared" si="10"/>
        <v>-2.1811886901327179E-2</v>
      </c>
      <c r="G43" s="10">
        <f t="shared" si="10"/>
        <v>-0.17693987235471953</v>
      </c>
      <c r="H43" s="11">
        <f t="shared" si="7"/>
        <v>2.6638338112821385E-2</v>
      </c>
      <c r="I43" s="12"/>
      <c r="J43" s="10">
        <f>$H43</f>
        <v>2.6638338112821385E-2</v>
      </c>
      <c r="K43" s="10">
        <f t="shared" ref="K43:S43" si="11">$H43</f>
        <v>2.6638338112821385E-2</v>
      </c>
      <c r="L43" s="10">
        <f t="shared" si="11"/>
        <v>2.6638338112821385E-2</v>
      </c>
      <c r="M43" s="10">
        <f t="shared" si="11"/>
        <v>2.6638338112821385E-2</v>
      </c>
      <c r="N43" s="10">
        <f t="shared" si="11"/>
        <v>2.6638338112821385E-2</v>
      </c>
      <c r="O43" s="10">
        <f t="shared" si="11"/>
        <v>2.6638338112821385E-2</v>
      </c>
      <c r="P43" s="10">
        <f t="shared" si="11"/>
        <v>2.6638338112821385E-2</v>
      </c>
      <c r="Q43" s="10">
        <f t="shared" si="11"/>
        <v>2.6638338112821385E-2</v>
      </c>
      <c r="R43" s="10">
        <f t="shared" si="11"/>
        <v>2.6638338112821385E-2</v>
      </c>
      <c r="S43" s="10">
        <f t="shared" si="11"/>
        <v>2.6638338112821385E-2</v>
      </c>
      <c r="T43" s="156" t="s">
        <v>291</v>
      </c>
    </row>
    <row r="44" spans="1:20" ht="13.2" x14ac:dyDescent="0.25">
      <c r="A44" s="25" t="s">
        <v>44</v>
      </c>
      <c r="B44" s="10">
        <f t="shared" si="9"/>
        <v>1.0712160285657607E-2</v>
      </c>
      <c r="C44" s="10">
        <f t="shared" si="9"/>
        <v>1.3099974604249555E-2</v>
      </c>
      <c r="D44" s="10">
        <f t="shared" si="10"/>
        <v>1.4372741352607124E-2</v>
      </c>
      <c r="E44" s="10">
        <f t="shared" si="10"/>
        <v>1.7106286261140021E-2</v>
      </c>
      <c r="F44" s="10">
        <f t="shared" si="10"/>
        <v>2.0542412002308136E-2</v>
      </c>
      <c r="G44" s="10">
        <f t="shared" si="10"/>
        <v>2.2102788041652669E-2</v>
      </c>
      <c r="H44" s="11">
        <f t="shared" si="7"/>
        <v>1.6322727091269185E-2</v>
      </c>
      <c r="I44" s="12"/>
      <c r="J44" s="10">
        <v>1.0712160285657607E-2</v>
      </c>
      <c r="K44" s="10">
        <v>1.0712160285657607E-2</v>
      </c>
      <c r="L44" s="10">
        <v>1.0712160285657607E-2</v>
      </c>
      <c r="M44" s="10">
        <v>1.0712160285657607E-2</v>
      </c>
      <c r="N44" s="10">
        <v>1.0712160285657607E-2</v>
      </c>
      <c r="O44" s="10">
        <v>1.0712160285657607E-2</v>
      </c>
      <c r="P44" s="10">
        <v>1.0712160285657607E-2</v>
      </c>
      <c r="Q44" s="10">
        <v>1.0712160285657607E-2</v>
      </c>
      <c r="R44" s="10">
        <v>1.0712160285657607E-2</v>
      </c>
      <c r="S44" s="10">
        <v>1.0712160285657607E-2</v>
      </c>
    </row>
    <row r="45" spans="1:20" ht="13.2" x14ac:dyDescent="0.25">
      <c r="A45" s="25" t="s">
        <v>45</v>
      </c>
      <c r="B45" s="10">
        <f t="shared" si="9"/>
        <v>-1.7853600476096013E-3</v>
      </c>
      <c r="C45" s="10">
        <f t="shared" si="9"/>
        <v>-2.4760856683314993E-3</v>
      </c>
      <c r="D45" s="10">
        <f t="shared" si="10"/>
        <v>-2.2096024780588535E-3</v>
      </c>
      <c r="E45" s="10">
        <f t="shared" si="10"/>
        <v>-1.3358055705086031E-3</v>
      </c>
      <c r="F45" s="10">
        <f t="shared" si="10"/>
        <v>-1.4233506443546836E-3</v>
      </c>
      <c r="G45" s="10">
        <f t="shared" si="10"/>
        <v>-1.0413167618407793E-3</v>
      </c>
      <c r="H45" s="11">
        <f t="shared" si="7"/>
        <v>-1.7119201951173366E-3</v>
      </c>
      <c r="I45" s="12"/>
      <c r="J45" s="10">
        <v>-1.7853600476096013E-3</v>
      </c>
      <c r="K45" s="10">
        <v>-1.7853600476096013E-3</v>
      </c>
      <c r="L45" s="10">
        <v>-1.7853600476096013E-3</v>
      </c>
      <c r="M45" s="10">
        <v>-1.7853600476096013E-3</v>
      </c>
      <c r="N45" s="10">
        <v>-1.7853600476096013E-3</v>
      </c>
      <c r="O45" s="10">
        <v>-1.7853600476096013E-3</v>
      </c>
      <c r="P45" s="10">
        <v>-1.7853600476096013E-3</v>
      </c>
      <c r="Q45" s="10">
        <v>-1.7853600476096013E-3</v>
      </c>
      <c r="R45" s="10">
        <v>-1.7853600476096013E-3</v>
      </c>
      <c r="S45" s="10">
        <v>-1.7853600476096013E-3</v>
      </c>
    </row>
    <row r="46" spans="1:20" ht="13.2" x14ac:dyDescent="0.25">
      <c r="A46" s="25" t="s">
        <v>46</v>
      </c>
      <c r="B46" s="10">
        <f t="shared" si="9"/>
        <v>1.0513786947034319E-3</v>
      </c>
      <c r="C46" s="10">
        <f t="shared" si="9"/>
        <v>3.8305256920341999E-3</v>
      </c>
      <c r="D46" s="10">
        <f t="shared" si="10"/>
        <v>2.3954568921011874E-3</v>
      </c>
      <c r="E46" s="10">
        <f t="shared" si="10"/>
        <v>2.1532388300735694E-3</v>
      </c>
      <c r="F46" s="10">
        <f t="shared" si="10"/>
        <v>1.7118676668590113E-3</v>
      </c>
      <c r="G46" s="10">
        <f t="shared" si="10"/>
        <v>1.4108162579778301E-3</v>
      </c>
      <c r="H46" s="11">
        <f t="shared" si="7"/>
        <v>2.0922140056248719E-3</v>
      </c>
      <c r="I46" s="12"/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56" t="s">
        <v>292</v>
      </c>
    </row>
    <row r="47" spans="1:20" ht="13.2" x14ac:dyDescent="0.25">
      <c r="A47" s="25"/>
      <c r="B47" s="10"/>
      <c r="C47" s="10"/>
      <c r="D47" s="10"/>
      <c r="E47" s="10"/>
      <c r="F47" s="10"/>
      <c r="G47" s="10"/>
      <c r="H47" s="11"/>
      <c r="I47" s="12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spans="1:20" ht="13.2" x14ac:dyDescent="0.25">
      <c r="A48" s="25" t="s">
        <v>47</v>
      </c>
      <c r="B48" s="10">
        <f t="shared" ref="B48:G49" si="12">B17/B$4</f>
        <v>0.10932354691529458</v>
      </c>
      <c r="C48" s="10">
        <f t="shared" si="12"/>
        <v>0.13085160416490307</v>
      </c>
      <c r="D48" s="10">
        <f t="shared" si="12"/>
        <v>8.1899845121321632E-2</v>
      </c>
      <c r="E48" s="10">
        <f t="shared" si="12"/>
        <v>-0.21219371174512033</v>
      </c>
      <c r="F48" s="10">
        <f t="shared" si="12"/>
        <v>7.9938449701865755E-2</v>
      </c>
      <c r="G48" s="10">
        <f t="shared" si="12"/>
        <v>0.2049882431978502</v>
      </c>
      <c r="H48" s="11">
        <f t="shared" si="7"/>
        <v>6.5801329559352487E-2</v>
      </c>
      <c r="I48" s="12"/>
      <c r="J48" s="10">
        <v>0.10932354691529458</v>
      </c>
      <c r="K48" s="10">
        <v>0.10932354691529458</v>
      </c>
      <c r="L48" s="10">
        <v>0.10932354691529458</v>
      </c>
      <c r="M48" s="10">
        <v>0.10932354691529458</v>
      </c>
      <c r="N48" s="10">
        <v>0.10932354691529458</v>
      </c>
      <c r="O48" s="10">
        <v>0.10932354691529458</v>
      </c>
      <c r="P48" s="10">
        <v>0.10932354691529458</v>
      </c>
      <c r="Q48" s="10">
        <v>0.10932354691529458</v>
      </c>
      <c r="R48" s="10">
        <v>0.10932354691529458</v>
      </c>
      <c r="S48" s="10">
        <v>0.10932354691529458</v>
      </c>
    </row>
    <row r="49" spans="1:20" ht="13.2" x14ac:dyDescent="0.25">
      <c r="A49" s="25" t="s">
        <v>48</v>
      </c>
      <c r="B49" s="10">
        <f t="shared" si="12"/>
        <v>3.7790121007736557E-2</v>
      </c>
      <c r="C49" s="10">
        <f t="shared" si="12"/>
        <v>3.4559383729789221E-2</v>
      </c>
      <c r="D49" s="10">
        <f t="shared" si="12"/>
        <v>2.3149199793495095E-2</v>
      </c>
      <c r="E49" s="10">
        <f t="shared" si="12"/>
        <v>-2.659648703072353E-2</v>
      </c>
      <c r="F49" s="10">
        <f t="shared" si="12"/>
        <v>3.2256203115983838E-2</v>
      </c>
      <c r="G49" s="10">
        <f t="shared" si="12"/>
        <v>8.3389318105475313E-2</v>
      </c>
      <c r="H49" s="11">
        <f t="shared" si="7"/>
        <v>3.0757956453626084E-2</v>
      </c>
      <c r="I49" s="12"/>
      <c r="J49" s="10">
        <v>3.7790121007736557E-2</v>
      </c>
      <c r="K49" s="10">
        <v>3.7790121007736557E-2</v>
      </c>
      <c r="L49" s="10">
        <v>3.7790121007736557E-2</v>
      </c>
      <c r="M49" s="10">
        <v>3.7790121007736557E-2</v>
      </c>
      <c r="N49" s="10">
        <v>3.7790121007736557E-2</v>
      </c>
      <c r="O49" s="10">
        <v>3.7790121007736557E-2</v>
      </c>
      <c r="P49" s="10">
        <v>3.7790121007736557E-2</v>
      </c>
      <c r="Q49" s="10">
        <v>3.7790121007736557E-2</v>
      </c>
      <c r="R49" s="10">
        <v>3.7790121007736557E-2</v>
      </c>
      <c r="S49" s="10">
        <v>3.7790121007736557E-2</v>
      </c>
      <c r="T49" s="156" t="s">
        <v>293</v>
      </c>
    </row>
    <row r="50" spans="1:20" ht="13.2" x14ac:dyDescent="0.25">
      <c r="A50" s="25"/>
      <c r="B50" s="10"/>
      <c r="C50" s="10"/>
      <c r="D50" s="10"/>
      <c r="E50" s="10"/>
      <c r="F50" s="10"/>
      <c r="G50" s="10"/>
      <c r="H50" s="11"/>
      <c r="I50" s="12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spans="1:20" ht="13.2" x14ac:dyDescent="0.25">
      <c r="A51" s="25" t="s">
        <v>49</v>
      </c>
      <c r="B51" s="10">
        <f t="shared" ref="B51:G52" si="13">B20/B$4</f>
        <v>7.1533425907558026E-2</v>
      </c>
      <c r="C51" s="10">
        <f t="shared" si="13"/>
        <v>9.6292220435113859E-2</v>
      </c>
      <c r="D51" s="10">
        <f t="shared" si="13"/>
        <v>5.8750645327826534E-2</v>
      </c>
      <c r="E51" s="10">
        <f t="shared" si="13"/>
        <v>-0.1855972247143968</v>
      </c>
      <c r="F51" s="10">
        <f t="shared" si="13"/>
        <v>4.7682246585881903E-2</v>
      </c>
      <c r="G51" s="10">
        <f t="shared" si="13"/>
        <v>0.12159892509237487</v>
      </c>
      <c r="H51" s="11">
        <f t="shared" si="7"/>
        <v>3.5043373105726396E-2</v>
      </c>
      <c r="I51" s="12"/>
      <c r="J51" s="10">
        <v>7.1533425907558026E-2</v>
      </c>
      <c r="K51" s="10">
        <v>7.1533425907558026E-2</v>
      </c>
      <c r="L51" s="10">
        <v>7.1533425907558026E-2</v>
      </c>
      <c r="M51" s="10">
        <v>7.1533425907558026E-2</v>
      </c>
      <c r="N51" s="10">
        <v>7.1533425907558026E-2</v>
      </c>
      <c r="O51" s="10">
        <v>7.1533425907558026E-2</v>
      </c>
      <c r="P51" s="10">
        <v>7.1533425907558026E-2</v>
      </c>
      <c r="Q51" s="10">
        <v>7.1533425907558026E-2</v>
      </c>
      <c r="R51" s="10">
        <v>7.1533425907558026E-2</v>
      </c>
      <c r="S51" s="10">
        <v>7.1533425907558026E-2</v>
      </c>
    </row>
    <row r="52" spans="1:20" ht="13.2" x14ac:dyDescent="0.25">
      <c r="A52" s="25" t="s">
        <v>50</v>
      </c>
      <c r="B52" s="10">
        <f t="shared" si="13"/>
        <v>8.3316802221781398E-4</v>
      </c>
      <c r="C52" s="10">
        <f t="shared" si="13"/>
        <v>9.3117751629560668E-4</v>
      </c>
      <c r="D52" s="10">
        <f t="shared" si="13"/>
        <v>9.2927207021166751E-4</v>
      </c>
      <c r="E52" s="10">
        <f t="shared" si="13"/>
        <v>6.9780888011643444E-4</v>
      </c>
      <c r="F52" s="10">
        <f t="shared" si="13"/>
        <v>7.1167532217734182E-4</v>
      </c>
      <c r="G52" s="10">
        <f t="shared" si="13"/>
        <v>6.7181726570372856E-4</v>
      </c>
      <c r="H52" s="11">
        <f t="shared" si="7"/>
        <v>7.958198461204322E-4</v>
      </c>
      <c r="I52" s="12"/>
      <c r="J52" s="10">
        <v>8.3316802221781398E-4</v>
      </c>
      <c r="K52" s="10">
        <v>8.3316802221781398E-4</v>
      </c>
      <c r="L52" s="10">
        <v>8.3316802221781398E-4</v>
      </c>
      <c r="M52" s="10">
        <v>8.3316802221781398E-4</v>
      </c>
      <c r="N52" s="10">
        <v>8.3316802221781398E-4</v>
      </c>
      <c r="O52" s="10">
        <v>8.3316802221781398E-4</v>
      </c>
      <c r="P52" s="10">
        <v>8.3316802221781398E-4</v>
      </c>
      <c r="Q52" s="10">
        <v>8.3316802221781398E-4</v>
      </c>
      <c r="R52" s="10">
        <v>8.3316802221781398E-4</v>
      </c>
      <c r="S52" s="10">
        <v>8.3316802221781398E-4</v>
      </c>
    </row>
    <row r="53" spans="1:20" ht="13.2" x14ac:dyDescent="0.25">
      <c r="A53" s="25"/>
      <c r="B53" s="10"/>
      <c r="C53" s="10"/>
      <c r="D53" s="10"/>
      <c r="E53" s="10"/>
      <c r="F53" s="10"/>
      <c r="G53" s="10"/>
      <c r="H53" s="11"/>
      <c r="I53" s="12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spans="1:20" ht="13.2" x14ac:dyDescent="0.25">
      <c r="A54" s="25" t="s">
        <v>51</v>
      </c>
      <c r="B54" s="10">
        <f t="shared" ref="B54:G54" si="14">B23/B$4</f>
        <v>7.0700257885340206E-2</v>
      </c>
      <c r="C54" s="10">
        <f t="shared" si="14"/>
        <v>9.5361042918818265E-2</v>
      </c>
      <c r="D54" s="10">
        <f t="shared" si="14"/>
        <v>5.7821373257614869E-2</v>
      </c>
      <c r="E54" s="10">
        <f t="shared" si="14"/>
        <v>-0.18629503359451324</v>
      </c>
      <c r="F54" s="10">
        <f t="shared" si="14"/>
        <v>4.6970571263704554E-2</v>
      </c>
      <c r="G54" s="10">
        <f t="shared" si="14"/>
        <v>0.12092710782667114</v>
      </c>
      <c r="H54" s="11">
        <f t="shared" si="7"/>
        <v>3.4247553259605969E-2</v>
      </c>
      <c r="I54" s="12"/>
      <c r="J54" s="10">
        <v>7.0700257885340206E-2</v>
      </c>
      <c r="K54" s="10">
        <v>7.0700257885340206E-2</v>
      </c>
      <c r="L54" s="10">
        <v>7.0700257885340206E-2</v>
      </c>
      <c r="M54" s="10">
        <v>7.0700257885340206E-2</v>
      </c>
      <c r="N54" s="10">
        <v>7.0700257885340206E-2</v>
      </c>
      <c r="O54" s="10">
        <v>7.0700257885340206E-2</v>
      </c>
      <c r="P54" s="10">
        <v>7.0700257885340206E-2</v>
      </c>
      <c r="Q54" s="10">
        <v>7.0700257885340206E-2</v>
      </c>
      <c r="R54" s="10">
        <v>7.0700257885340206E-2</v>
      </c>
      <c r="S54" s="10">
        <v>7.0700257885340206E-2</v>
      </c>
    </row>
    <row r="55" spans="1:20" ht="13.2" x14ac:dyDescent="0.25">
      <c r="A55" s="58"/>
      <c r="B55" s="2"/>
      <c r="C55" s="2"/>
      <c r="D55" s="2"/>
      <c r="E55" s="2"/>
      <c r="F55" s="2"/>
      <c r="G55" s="2"/>
      <c r="H55" s="2"/>
      <c r="I55" s="12"/>
      <c r="J55" s="12"/>
      <c r="K55" s="12"/>
      <c r="L55" s="12"/>
      <c r="M55" s="12"/>
      <c r="N55" s="12"/>
      <c r="O55" s="12"/>
    </row>
    <row r="56" spans="1:20" ht="13.2" x14ac:dyDescent="0.25">
      <c r="A56" s="58"/>
      <c r="B56" s="2"/>
      <c r="C56" s="2"/>
      <c r="D56" s="2"/>
      <c r="E56" s="2"/>
      <c r="F56" s="2"/>
      <c r="G56" s="2"/>
      <c r="H56" s="2"/>
      <c r="I56" s="12"/>
      <c r="J56" s="12"/>
      <c r="K56" s="12"/>
      <c r="L56" s="12"/>
      <c r="M56" s="12"/>
      <c r="N56" s="12"/>
      <c r="O56" s="12"/>
    </row>
    <row r="57" spans="1:20" ht="13.2" x14ac:dyDescent="0.25">
      <c r="A57" s="58"/>
      <c r="B57" s="2"/>
      <c r="C57" s="2"/>
      <c r="D57" s="2"/>
      <c r="E57" s="2"/>
      <c r="F57" s="2"/>
      <c r="G57" s="2"/>
      <c r="H57" s="2"/>
      <c r="I57" s="12"/>
      <c r="J57" s="12"/>
      <c r="K57" s="12"/>
      <c r="L57" s="12"/>
      <c r="M57" s="12"/>
      <c r="N57" s="12"/>
      <c r="O57" s="12"/>
    </row>
    <row r="58" spans="1:20" x14ac:dyDescent="0.2">
      <c r="A58" s="58"/>
      <c r="I58" s="12"/>
      <c r="J58" s="12"/>
      <c r="K58" s="12"/>
      <c r="L58" s="12"/>
      <c r="M58" s="12"/>
      <c r="N58" s="12"/>
      <c r="O58" s="12"/>
    </row>
    <row r="59" spans="1:20" ht="13.2" x14ac:dyDescent="0.25">
      <c r="A59" s="21" t="s">
        <v>121</v>
      </c>
      <c r="B59" s="22" t="s">
        <v>127</v>
      </c>
      <c r="C59" s="22" t="s">
        <v>128</v>
      </c>
      <c r="D59" s="22" t="s">
        <v>129</v>
      </c>
      <c r="E59" s="22" t="s">
        <v>130</v>
      </c>
      <c r="F59" s="22" t="s">
        <v>131</v>
      </c>
      <c r="G59" s="22" t="s">
        <v>132</v>
      </c>
      <c r="H59" s="17"/>
    </row>
    <row r="60" spans="1:20" ht="13.2" x14ac:dyDescent="0.25">
      <c r="A60" s="25" t="s">
        <v>126</v>
      </c>
      <c r="B60" s="14">
        <v>97.375</v>
      </c>
      <c r="C60" s="2"/>
      <c r="D60" s="2"/>
      <c r="E60" s="2"/>
      <c r="F60" s="2"/>
      <c r="G60" s="2"/>
    </row>
    <row r="61" spans="1:20" ht="13.2" x14ac:dyDescent="0.25">
      <c r="A61" s="25" t="s">
        <v>133</v>
      </c>
      <c r="B61" s="14">
        <v>131.68899999999999</v>
      </c>
      <c r="C61" s="2"/>
      <c r="D61" s="2"/>
      <c r="E61" s="2"/>
      <c r="F61" s="2"/>
      <c r="G61" s="2"/>
      <c r="H61" s="2"/>
    </row>
    <row r="62" spans="1:20" ht="13.2" x14ac:dyDescent="0.25">
      <c r="A62" s="25" t="s">
        <v>122</v>
      </c>
      <c r="B62" s="14">
        <f>B60/B4</f>
        <v>1.9316603848442769E-2</v>
      </c>
      <c r="C62" s="2"/>
      <c r="D62" s="2"/>
      <c r="E62" s="2"/>
      <c r="F62" s="2"/>
      <c r="G62" s="2"/>
      <c r="H62" s="2"/>
    </row>
    <row r="63" spans="1:20" ht="13.2" x14ac:dyDescent="0.25">
      <c r="A63" s="25" t="s">
        <v>123</v>
      </c>
      <c r="B63" s="14">
        <f>B60/(B17+B13+'OAT Cash Flow'!C9)</f>
        <v>0.13192656821568893</v>
      </c>
      <c r="C63" s="2"/>
      <c r="D63" s="2"/>
      <c r="E63" s="2"/>
      <c r="F63" s="2"/>
      <c r="G63" s="2"/>
      <c r="H63" s="2"/>
    </row>
    <row r="64" spans="1:20" ht="13.2" x14ac:dyDescent="0.25">
      <c r="A64" s="25" t="s">
        <v>124</v>
      </c>
      <c r="B64" s="14">
        <f>B60/B23</f>
        <v>0.2732182940516274</v>
      </c>
      <c r="C64" s="2"/>
      <c r="D64" s="2"/>
      <c r="E64" s="2"/>
      <c r="F64" s="2"/>
      <c r="G64" s="2"/>
      <c r="H64" s="2"/>
    </row>
    <row r="65" spans="1:8" ht="13.2" x14ac:dyDescent="0.25">
      <c r="A65" s="25" t="s">
        <v>134</v>
      </c>
      <c r="B65" s="14">
        <f>(B60/(B23/B61))</f>
        <v>35.979843925364754</v>
      </c>
      <c r="C65" s="2"/>
      <c r="D65" s="2"/>
      <c r="E65" s="2"/>
      <c r="F65" s="2"/>
      <c r="G65" s="2"/>
      <c r="H65" s="2"/>
    </row>
    <row r="66" spans="1:8" ht="13.2" x14ac:dyDescent="0.25">
      <c r="A66" s="25" t="s">
        <v>135</v>
      </c>
      <c r="B66" s="14">
        <f>B60/('OAT Balance Sheet'!B60/'OAT Income Statement'!B61)</f>
        <v>36.152287496475893</v>
      </c>
      <c r="C66" s="2"/>
      <c r="D66" s="2"/>
      <c r="E66" s="2"/>
      <c r="F66" s="2"/>
      <c r="G66" s="2"/>
      <c r="H66" s="2"/>
    </row>
    <row r="67" spans="1:8" ht="13.2" x14ac:dyDescent="0.25">
      <c r="A67" s="25" t="s">
        <v>125</v>
      </c>
      <c r="B67" s="2"/>
      <c r="C67" s="2"/>
      <c r="D67" s="2"/>
      <c r="E67" s="2"/>
      <c r="F67" s="2"/>
      <c r="G67" s="2"/>
      <c r="H67" s="2"/>
    </row>
    <row r="68" spans="1:8" ht="13.2" x14ac:dyDescent="0.25">
      <c r="A68" s="2"/>
      <c r="B68" s="2"/>
      <c r="C68" s="2"/>
      <c r="D68" s="2"/>
      <c r="E68" s="2"/>
      <c r="F68" s="2"/>
      <c r="G68" s="2"/>
      <c r="H68" s="2"/>
    </row>
    <row r="69" spans="1:8" ht="13.2" x14ac:dyDescent="0.25">
      <c r="B69" s="2"/>
      <c r="C69" s="2"/>
      <c r="D69" s="2"/>
      <c r="E69" s="2"/>
      <c r="F69" s="2"/>
      <c r="G69" s="2"/>
    </row>
    <row r="70" spans="1:8" ht="13.2" x14ac:dyDescent="0.25">
      <c r="B70" s="2"/>
      <c r="C70" s="2"/>
      <c r="D70" s="2"/>
      <c r="E70" s="2"/>
      <c r="F70" s="2"/>
      <c r="G70" s="2"/>
    </row>
  </sheetData>
  <pageMargins left="0.75" right="0.75" top="1" bottom="1" header="0.5" footer="0.5"/>
  <pageSetup scale="84" orientation="landscape" r:id="rId1"/>
  <headerFooter alignWithMargins="0"/>
  <rowBreaks count="1" manualBreakCount="1">
    <brk id="31" max="16383" man="1"/>
  </rowBreaks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7"/>
  <sheetViews>
    <sheetView topLeftCell="A68" zoomScale="75" zoomScaleNormal="100" workbookViewId="0">
      <selection activeCell="G100" sqref="G100"/>
    </sheetView>
  </sheetViews>
  <sheetFormatPr defaultRowHeight="10.199999999999999" x14ac:dyDescent="0.2"/>
  <cols>
    <col min="1" max="1" width="75.42578125" bestFit="1" customWidth="1"/>
    <col min="2" max="2" width="14.28515625" customWidth="1"/>
    <col min="3" max="3" width="14.7109375" customWidth="1"/>
    <col min="4" max="5" width="14.28515625" bestFit="1" customWidth="1"/>
    <col min="6" max="6" width="14.7109375" customWidth="1"/>
    <col min="7" max="7" width="16.7109375" style="159" customWidth="1"/>
    <col min="8" max="8" width="76.140625" hidden="1" customWidth="1"/>
    <col min="9" max="9" width="22.140625" customWidth="1"/>
    <col min="10" max="10" width="17.85546875" customWidth="1"/>
    <col min="11" max="12" width="14.28515625" bestFit="1" customWidth="1"/>
    <col min="13" max="13" width="17.140625" customWidth="1"/>
    <col min="14" max="14" width="11.28515625" bestFit="1" customWidth="1"/>
  </cols>
  <sheetData>
    <row r="1" spans="1:14" ht="13.2" x14ac:dyDescent="0.25">
      <c r="A1" s="25" t="s">
        <v>39</v>
      </c>
      <c r="B1" s="2"/>
      <c r="C1" s="2"/>
      <c r="D1" s="2"/>
      <c r="E1" s="2"/>
      <c r="F1" s="2"/>
      <c r="G1" s="157"/>
      <c r="H1" s="25" t="s">
        <v>39</v>
      </c>
      <c r="I1" s="2"/>
      <c r="J1" s="2"/>
      <c r="K1" s="2"/>
      <c r="L1" s="2"/>
      <c r="M1" s="2"/>
    </row>
    <row r="2" spans="1:14" ht="13.2" x14ac:dyDescent="0.25">
      <c r="A2" s="25"/>
      <c r="B2" s="2"/>
      <c r="C2" s="2"/>
      <c r="D2" s="2"/>
      <c r="E2" s="2"/>
      <c r="F2" s="2"/>
      <c r="G2" s="157"/>
      <c r="H2" s="25"/>
      <c r="I2" s="2"/>
      <c r="J2" s="25" t="s">
        <v>220</v>
      </c>
      <c r="K2" s="2"/>
      <c r="L2" s="2"/>
      <c r="M2" s="2"/>
      <c r="N2" s="2"/>
    </row>
    <row r="3" spans="1:14" ht="13.2" x14ac:dyDescent="0.25">
      <c r="A3" s="25" t="s">
        <v>56</v>
      </c>
      <c r="B3" s="2"/>
      <c r="C3" s="2"/>
      <c r="D3" s="2"/>
      <c r="E3" s="2"/>
      <c r="F3" s="2"/>
      <c r="G3" s="157"/>
      <c r="H3" s="25" t="s">
        <v>56</v>
      </c>
      <c r="I3" s="2"/>
      <c r="J3" s="2"/>
      <c r="K3" s="2"/>
      <c r="L3" s="15"/>
      <c r="M3" s="2"/>
      <c r="N3" s="2"/>
    </row>
    <row r="4" spans="1:14" ht="13.2" x14ac:dyDescent="0.25">
      <c r="A4" s="25" t="s">
        <v>57</v>
      </c>
      <c r="B4" s="59">
        <v>36891</v>
      </c>
      <c r="C4" s="59">
        <v>36525</v>
      </c>
      <c r="D4" s="59">
        <v>36160</v>
      </c>
      <c r="E4" s="59">
        <v>35795</v>
      </c>
      <c r="F4" s="59">
        <v>35430</v>
      </c>
      <c r="G4" s="158"/>
      <c r="H4" s="25" t="s">
        <v>57</v>
      </c>
      <c r="I4" s="60">
        <v>36891</v>
      </c>
      <c r="J4" s="60">
        <v>36525</v>
      </c>
      <c r="K4" s="60">
        <v>36160</v>
      </c>
      <c r="L4" s="60">
        <v>35795</v>
      </c>
      <c r="M4" s="60">
        <v>35430</v>
      </c>
      <c r="N4" s="22" t="s">
        <v>118</v>
      </c>
    </row>
    <row r="5" spans="1:14" ht="13.2" x14ac:dyDescent="0.25">
      <c r="A5" s="25" t="s">
        <v>58</v>
      </c>
      <c r="B5" s="2">
        <v>174.3</v>
      </c>
      <c r="C5" s="2">
        <v>282.89999999999998</v>
      </c>
      <c r="D5" s="2">
        <v>326.60000000000002</v>
      </c>
      <c r="E5" s="2">
        <v>84.2</v>
      </c>
      <c r="F5" s="4">
        <v>110.5</v>
      </c>
      <c r="G5" s="157"/>
      <c r="H5" s="25" t="s">
        <v>58</v>
      </c>
      <c r="I5" s="10">
        <f>(B5-C5)/C5</f>
        <v>-0.38388123011664893</v>
      </c>
      <c r="J5" s="10">
        <f>(C5-D5)/D5</f>
        <v>-0.13380281690140858</v>
      </c>
      <c r="K5" s="10">
        <f>(D5-E5)/E5</f>
        <v>2.8788598574821855</v>
      </c>
      <c r="L5" s="10">
        <f>(E5-F5)/F5</f>
        <v>-0.23800904977375564</v>
      </c>
      <c r="M5" s="10"/>
      <c r="N5" s="11">
        <f>SUM(I5:L5)/4</f>
        <v>0.53079169017259309</v>
      </c>
    </row>
    <row r="6" spans="1:14" ht="13.2" x14ac:dyDescent="0.25">
      <c r="A6" s="25" t="s">
        <v>59</v>
      </c>
      <c r="B6" s="2">
        <v>0.3</v>
      </c>
      <c r="C6" s="2">
        <v>0.3</v>
      </c>
      <c r="D6" s="2">
        <v>27.5</v>
      </c>
      <c r="E6" s="2"/>
      <c r="F6" s="2"/>
      <c r="G6" s="157"/>
      <c r="H6" s="25" t="s">
        <v>59</v>
      </c>
      <c r="I6" s="10">
        <f>(B6-C6)/C6</f>
        <v>0</v>
      </c>
      <c r="J6" s="10">
        <f>(C6-D6)/D6</f>
        <v>-0.98909090909090902</v>
      </c>
      <c r="K6" s="10"/>
      <c r="L6" s="10"/>
      <c r="M6" s="10"/>
      <c r="N6" s="11"/>
    </row>
    <row r="7" spans="1:14" ht="13.2" x14ac:dyDescent="0.25">
      <c r="A7" s="25" t="s">
        <v>60</v>
      </c>
      <c r="B7" s="2">
        <v>298</v>
      </c>
      <c r="C7" s="2">
        <v>254.3</v>
      </c>
      <c r="D7" s="2">
        <v>283.39999999999998</v>
      </c>
      <c r="E7" s="2">
        <v>305.7</v>
      </c>
      <c r="F7" s="2">
        <v>294.89999999999998</v>
      </c>
      <c r="G7" s="157"/>
      <c r="H7" s="25" t="s">
        <v>60</v>
      </c>
      <c r="I7" s="10">
        <f>(B7-C7)/C7</f>
        <v>0.17184427841132516</v>
      </c>
      <c r="J7" s="10">
        <f>(C7-D7)/D7</f>
        <v>-0.10268172194777689</v>
      </c>
      <c r="K7" s="10">
        <f>(D7-E7)/E7</f>
        <v>-7.2947333987569557E-2</v>
      </c>
      <c r="L7" s="10">
        <f>(E7-F7)/F7</f>
        <v>3.6622583926754874E-2</v>
      </c>
      <c r="M7" s="10"/>
      <c r="N7" s="11">
        <f>SUM(I7:L7)/4</f>
        <v>8.2094516006833967E-3</v>
      </c>
    </row>
    <row r="8" spans="1:14" ht="13.2" x14ac:dyDescent="0.25">
      <c r="A8" s="25" t="s">
        <v>61</v>
      </c>
      <c r="B8" s="2"/>
      <c r="C8" s="2"/>
      <c r="D8" s="2"/>
      <c r="E8" s="2"/>
      <c r="F8" s="2"/>
      <c r="G8" s="157"/>
      <c r="H8" s="25" t="s">
        <v>61</v>
      </c>
      <c r="I8" s="10"/>
      <c r="J8" s="10"/>
      <c r="K8" s="10"/>
      <c r="L8" s="10"/>
      <c r="M8" s="10"/>
      <c r="N8" s="2"/>
    </row>
    <row r="9" spans="1:14" ht="13.2" x14ac:dyDescent="0.25">
      <c r="A9" s="25" t="s">
        <v>62</v>
      </c>
      <c r="B9" s="2">
        <v>213.9</v>
      </c>
      <c r="C9" s="2">
        <v>186.6</v>
      </c>
      <c r="D9" s="2">
        <v>189.1</v>
      </c>
      <c r="E9" s="2">
        <v>172.6</v>
      </c>
      <c r="F9" s="2">
        <v>181.8</v>
      </c>
      <c r="G9" s="157"/>
      <c r="H9" s="25" t="s">
        <v>62</v>
      </c>
      <c r="I9" s="10">
        <f t="shared" ref="I9:L11" si="0">(B9-C9)/C9</f>
        <v>0.14630225080385859</v>
      </c>
      <c r="J9" s="10">
        <f t="shared" si="0"/>
        <v>-1.3220518244315178E-2</v>
      </c>
      <c r="K9" s="10">
        <f t="shared" si="0"/>
        <v>9.5596755504055622E-2</v>
      </c>
      <c r="L9" s="10">
        <f t="shared" si="0"/>
        <v>-5.0605060506050695E-2</v>
      </c>
      <c r="M9" s="10"/>
      <c r="N9" s="11">
        <f>SUM(I9:L9)/4</f>
        <v>4.4518356889387087E-2</v>
      </c>
    </row>
    <row r="10" spans="1:14" ht="13.2" x14ac:dyDescent="0.25">
      <c r="A10" s="25" t="s">
        <v>63</v>
      </c>
      <c r="B10" s="2">
        <v>39</v>
      </c>
      <c r="C10" s="2">
        <v>50</v>
      </c>
      <c r="D10" s="2">
        <v>48.4</v>
      </c>
      <c r="E10" s="2">
        <v>59</v>
      </c>
      <c r="F10" s="2">
        <v>62.1</v>
      </c>
      <c r="G10" s="157"/>
      <c r="H10" s="25" t="s">
        <v>63</v>
      </c>
      <c r="I10" s="10">
        <f t="shared" si="0"/>
        <v>-0.22</v>
      </c>
      <c r="J10" s="10">
        <f t="shared" si="0"/>
        <v>3.305785123966945E-2</v>
      </c>
      <c r="K10" s="10">
        <f t="shared" si="0"/>
        <v>-0.17966101694915257</v>
      </c>
      <c r="L10" s="10">
        <f t="shared" si="0"/>
        <v>-4.9919484702093418E-2</v>
      </c>
      <c r="M10" s="10"/>
      <c r="N10" s="11">
        <f>SUM(I10:L10)/4</f>
        <v>-0.10413066260289414</v>
      </c>
    </row>
    <row r="11" spans="1:14" ht="13.2" x14ac:dyDescent="0.25">
      <c r="A11" s="25" t="s">
        <v>64</v>
      </c>
      <c r="B11" s="2">
        <v>34.5</v>
      </c>
      <c r="C11" s="2">
        <v>29.6</v>
      </c>
      <c r="D11" s="2">
        <v>23.9</v>
      </c>
      <c r="E11" s="2">
        <v>24.5</v>
      </c>
      <c r="F11" s="2">
        <v>31</v>
      </c>
      <c r="G11" s="157"/>
      <c r="H11" s="25" t="s">
        <v>64</v>
      </c>
      <c r="I11" s="10">
        <f t="shared" si="0"/>
        <v>0.16554054054054049</v>
      </c>
      <c r="J11" s="10">
        <f t="shared" si="0"/>
        <v>0.23849372384937251</v>
      </c>
      <c r="K11" s="10">
        <f t="shared" si="0"/>
        <v>-2.4489795918367405E-2</v>
      </c>
      <c r="L11" s="10">
        <f t="shared" si="0"/>
        <v>-0.20967741935483872</v>
      </c>
      <c r="M11" s="10"/>
      <c r="N11" s="11">
        <f>SUM(I11:L11)/4</f>
        <v>4.2466762279176708E-2</v>
      </c>
    </row>
    <row r="12" spans="1:14" ht="13.2" x14ac:dyDescent="0.25">
      <c r="A12" s="25"/>
      <c r="B12" s="2"/>
      <c r="C12" s="2"/>
      <c r="D12" s="2"/>
      <c r="E12" s="2"/>
      <c r="F12" s="2"/>
      <c r="G12" s="157"/>
      <c r="H12" s="25"/>
      <c r="I12" s="10"/>
      <c r="J12" s="10"/>
      <c r="K12" s="10"/>
      <c r="L12" s="10"/>
      <c r="M12" s="10"/>
      <c r="N12" s="2"/>
    </row>
    <row r="13" spans="1:14" ht="13.2" x14ac:dyDescent="0.25">
      <c r="A13" s="25" t="s">
        <v>65</v>
      </c>
      <c r="B13" s="2">
        <v>287.39999999999998</v>
      </c>
      <c r="C13" s="2">
        <v>266.2</v>
      </c>
      <c r="D13" s="2">
        <v>261.39999999999998</v>
      </c>
      <c r="E13" s="2">
        <v>256.10000000000002</v>
      </c>
      <c r="F13" s="2">
        <v>274.89999999999998</v>
      </c>
      <c r="G13" s="157"/>
      <c r="H13" s="25" t="s">
        <v>65</v>
      </c>
      <c r="I13" s="10">
        <f t="shared" ref="I13:L14" si="1">(B13-C13)/C13</f>
        <v>7.9639368895567206E-2</v>
      </c>
      <c r="J13" s="10">
        <f t="shared" si="1"/>
        <v>1.8362662586075027E-2</v>
      </c>
      <c r="K13" s="10">
        <f t="shared" si="1"/>
        <v>2.0695040999609348E-2</v>
      </c>
      <c r="L13" s="10">
        <f t="shared" si="1"/>
        <v>-6.8388504910876516E-2</v>
      </c>
      <c r="M13" s="10"/>
      <c r="N13" s="11">
        <f>SUM(I13:L13)/4</f>
        <v>1.2577141892593766E-2</v>
      </c>
    </row>
    <row r="14" spans="1:14" ht="13.2" x14ac:dyDescent="0.25">
      <c r="A14" s="25" t="s">
        <v>66</v>
      </c>
      <c r="B14" s="2">
        <v>253.7</v>
      </c>
      <c r="C14" s="2">
        <v>193</v>
      </c>
      <c r="D14" s="2">
        <v>216.1</v>
      </c>
      <c r="E14" s="2">
        <v>487</v>
      </c>
      <c r="F14" s="2">
        <v>209.4</v>
      </c>
      <c r="G14" s="157"/>
      <c r="H14" s="25" t="s">
        <v>66</v>
      </c>
      <c r="I14" s="10">
        <f t="shared" si="1"/>
        <v>0.31450777202072533</v>
      </c>
      <c r="J14" s="10">
        <f t="shared" si="1"/>
        <v>-0.10689495603887086</v>
      </c>
      <c r="K14" s="10">
        <f t="shared" si="1"/>
        <v>-0.55626283367556462</v>
      </c>
      <c r="L14" s="10">
        <f t="shared" si="1"/>
        <v>1.3256924546322828</v>
      </c>
      <c r="M14" s="10"/>
      <c r="N14" s="11">
        <f>SUM(I14:L14)/4</f>
        <v>0.24426060923464316</v>
      </c>
    </row>
    <row r="15" spans="1:14" ht="13.2" x14ac:dyDescent="0.25">
      <c r="A15" s="25"/>
      <c r="B15" s="2"/>
      <c r="C15" s="2"/>
      <c r="D15" s="2"/>
      <c r="E15" s="2"/>
      <c r="F15" s="2"/>
      <c r="G15" s="157"/>
      <c r="H15" s="25"/>
      <c r="I15" s="10"/>
      <c r="J15" s="10"/>
      <c r="K15" s="10"/>
      <c r="L15" s="10"/>
      <c r="M15" s="10"/>
      <c r="N15" s="2"/>
    </row>
    <row r="16" spans="1:14" ht="13.2" x14ac:dyDescent="0.25">
      <c r="A16" s="25" t="s">
        <v>67</v>
      </c>
      <c r="B16" s="5">
        <v>1013.7</v>
      </c>
      <c r="C16" s="2">
        <v>996.7</v>
      </c>
      <c r="D16" s="5">
        <v>1115</v>
      </c>
      <c r="E16" s="5">
        <v>1133</v>
      </c>
      <c r="F16" s="2">
        <v>889.7</v>
      </c>
      <c r="G16" s="157"/>
      <c r="H16" s="25" t="s">
        <v>67</v>
      </c>
      <c r="I16" s="10">
        <f>(B16-C16)/C16</f>
        <v>1.7056285742951739E-2</v>
      </c>
      <c r="J16" s="10">
        <f>(C16-D16)/D16</f>
        <v>-0.10609865470852013</v>
      </c>
      <c r="K16" s="10">
        <f>(D16-E16)/E16</f>
        <v>-1.5887025595763458E-2</v>
      </c>
      <c r="L16" s="10">
        <f>(E16-F16)/F16</f>
        <v>0.27346296504439693</v>
      </c>
      <c r="M16" s="10"/>
      <c r="N16" s="11">
        <f>SUM(I16:L16)/4</f>
        <v>4.213339262076627E-2</v>
      </c>
    </row>
    <row r="17" spans="1:14" ht="13.2" x14ac:dyDescent="0.25">
      <c r="A17" s="25" t="s">
        <v>68</v>
      </c>
      <c r="B17" s="2"/>
      <c r="C17" s="2"/>
      <c r="D17" s="2"/>
      <c r="E17" s="2"/>
      <c r="F17" s="2"/>
      <c r="G17" s="157"/>
      <c r="H17" s="25" t="s">
        <v>68</v>
      </c>
      <c r="I17" s="2"/>
      <c r="J17" s="2"/>
      <c r="K17" s="2"/>
      <c r="L17" s="2"/>
      <c r="M17" s="2"/>
      <c r="N17" s="2"/>
    </row>
    <row r="18" spans="1:14" ht="13.2" x14ac:dyDescent="0.25">
      <c r="A18" s="25" t="s">
        <v>69</v>
      </c>
      <c r="B18" s="2">
        <v>27.1</v>
      </c>
      <c r="C18" s="2">
        <v>28.2</v>
      </c>
      <c r="D18" s="2">
        <v>24.1</v>
      </c>
      <c r="E18" s="2">
        <v>29.1</v>
      </c>
      <c r="F18" s="2">
        <v>29.6</v>
      </c>
      <c r="G18" s="157"/>
      <c r="H18" s="25" t="s">
        <v>69</v>
      </c>
      <c r="I18" s="10">
        <f t="shared" ref="I18:L20" si="2">(B18-C18)/C18</f>
        <v>-3.9007092198581485E-2</v>
      </c>
      <c r="J18" s="10">
        <f t="shared" si="2"/>
        <v>0.17012448132780073</v>
      </c>
      <c r="K18" s="10">
        <f t="shared" si="2"/>
        <v>-0.1718213058419244</v>
      </c>
      <c r="L18" s="10">
        <f t="shared" si="2"/>
        <v>-1.6891891891891889E-2</v>
      </c>
      <c r="M18" s="10"/>
      <c r="N18" s="11">
        <f>SUM(I18:L18)/4</f>
        <v>-1.4398952151149259E-2</v>
      </c>
    </row>
    <row r="19" spans="1:14" ht="13.2" x14ac:dyDescent="0.25">
      <c r="A19" s="25" t="s">
        <v>70</v>
      </c>
      <c r="B19" s="2">
        <v>430.6</v>
      </c>
      <c r="C19" s="2">
        <v>407.6</v>
      </c>
      <c r="D19" s="2">
        <v>390.2</v>
      </c>
      <c r="E19" s="2">
        <v>417.2</v>
      </c>
      <c r="F19" s="2">
        <v>389.5</v>
      </c>
      <c r="G19" s="157"/>
      <c r="H19" s="25" t="s">
        <v>70</v>
      </c>
      <c r="I19" s="10">
        <f t="shared" si="2"/>
        <v>5.6427870461236505E-2</v>
      </c>
      <c r="J19" s="10">
        <f t="shared" si="2"/>
        <v>4.459251665812413E-2</v>
      </c>
      <c r="K19" s="10">
        <f t="shared" si="2"/>
        <v>-6.471716203259828E-2</v>
      </c>
      <c r="L19" s="10">
        <f t="shared" si="2"/>
        <v>7.1116816431322186E-2</v>
      </c>
      <c r="M19" s="10"/>
      <c r="N19" s="11">
        <f>SUM(I19:L19)/4</f>
        <v>2.6855010379521135E-2</v>
      </c>
    </row>
    <row r="20" spans="1:14" ht="13.2" x14ac:dyDescent="0.25">
      <c r="A20" s="25" t="s">
        <v>71</v>
      </c>
      <c r="B20" s="5">
        <v>1469.9</v>
      </c>
      <c r="C20" s="5">
        <v>1416.1</v>
      </c>
      <c r="D20" s="5">
        <v>1404.5</v>
      </c>
      <c r="E20" s="5">
        <v>1466.8</v>
      </c>
      <c r="F20" s="5">
        <v>1524.2</v>
      </c>
      <c r="G20" s="157"/>
      <c r="H20" s="25" t="s">
        <v>71</v>
      </c>
      <c r="I20" s="10">
        <f t="shared" si="2"/>
        <v>3.799166725513748E-2</v>
      </c>
      <c r="J20" s="10">
        <f t="shared" si="2"/>
        <v>8.2591669633320826E-3</v>
      </c>
      <c r="K20" s="10">
        <f t="shared" si="2"/>
        <v>-4.2473411508044692E-2</v>
      </c>
      <c r="L20" s="10">
        <f t="shared" si="2"/>
        <v>-3.7659099855662043E-2</v>
      </c>
      <c r="M20" s="10"/>
      <c r="N20" s="11">
        <f>SUM(I20:L20)/4</f>
        <v>-8.4704192863092921E-3</v>
      </c>
    </row>
    <row r="21" spans="1:14" ht="13.2" x14ac:dyDescent="0.25">
      <c r="A21" s="25"/>
      <c r="B21" s="2"/>
      <c r="C21" s="2"/>
      <c r="D21" s="2"/>
      <c r="E21" s="2"/>
      <c r="F21" s="2"/>
      <c r="G21" s="157"/>
      <c r="H21" s="25"/>
      <c r="I21" s="2"/>
      <c r="J21" s="2"/>
      <c r="K21" s="2"/>
      <c r="L21" s="2"/>
      <c r="M21" s="2"/>
      <c r="N21" s="2"/>
    </row>
    <row r="22" spans="1:14" ht="13.2" x14ac:dyDescent="0.25">
      <c r="A22" s="25" t="s">
        <v>72</v>
      </c>
      <c r="B22" s="5">
        <v>1927.6</v>
      </c>
      <c r="C22" s="5">
        <v>1851.9</v>
      </c>
      <c r="D22" s="5">
        <v>1818.8</v>
      </c>
      <c r="E22" s="5">
        <v>1913.1</v>
      </c>
      <c r="F22" s="5">
        <v>1943.3</v>
      </c>
      <c r="G22" s="157"/>
      <c r="H22" s="25" t="s">
        <v>72</v>
      </c>
      <c r="I22" s="10">
        <f t="shared" ref="I22:L23" si="3">(B22-C22)/C22</f>
        <v>4.0876937199632708E-2</v>
      </c>
      <c r="J22" s="10">
        <f t="shared" si="3"/>
        <v>1.819881240378279E-2</v>
      </c>
      <c r="K22" s="10">
        <f t="shared" si="3"/>
        <v>-4.9291725471747407E-2</v>
      </c>
      <c r="L22" s="10">
        <f t="shared" si="3"/>
        <v>-1.5540575310039648E-2</v>
      </c>
      <c r="M22" s="10"/>
      <c r="N22" s="11">
        <f>SUM(I22:L22)/4</f>
        <v>-1.4391377945928898E-3</v>
      </c>
    </row>
    <row r="23" spans="1:14" ht="13.2" x14ac:dyDescent="0.25">
      <c r="A23" s="25" t="s">
        <v>73</v>
      </c>
      <c r="B23" s="2">
        <v>807.6</v>
      </c>
      <c r="C23" s="2">
        <v>745.2</v>
      </c>
      <c r="D23" s="2">
        <v>748.6</v>
      </c>
      <c r="E23" s="2">
        <v>748.4</v>
      </c>
      <c r="F23" s="2">
        <v>742.6</v>
      </c>
      <c r="G23" s="157"/>
      <c r="H23" s="25" t="s">
        <v>73</v>
      </c>
      <c r="I23" s="10">
        <f t="shared" si="3"/>
        <v>8.3735909822866314E-2</v>
      </c>
      <c r="J23" s="10">
        <f t="shared" si="3"/>
        <v>-4.5418113812449598E-3</v>
      </c>
      <c r="K23" s="10">
        <f t="shared" si="3"/>
        <v>2.6723677177985765E-4</v>
      </c>
      <c r="L23" s="10">
        <f t="shared" si="3"/>
        <v>7.8103959062751881E-3</v>
      </c>
      <c r="M23" s="10"/>
      <c r="N23" s="11">
        <f>SUM(I23:L23)/4</f>
        <v>2.18179327799191E-2</v>
      </c>
    </row>
    <row r="24" spans="1:14" ht="13.2" x14ac:dyDescent="0.25">
      <c r="A24" s="25"/>
      <c r="B24" s="2"/>
      <c r="C24" s="2"/>
      <c r="D24" s="2"/>
      <c r="E24" s="2"/>
      <c r="F24" s="2"/>
      <c r="G24" s="157"/>
      <c r="H24" s="25"/>
      <c r="I24" s="2"/>
      <c r="J24" s="2"/>
      <c r="K24" s="2"/>
      <c r="L24" s="2"/>
      <c r="M24" s="2"/>
      <c r="N24" s="2"/>
    </row>
    <row r="25" spans="1:14" ht="13.2" x14ac:dyDescent="0.25">
      <c r="A25" s="25" t="s">
        <v>74</v>
      </c>
      <c r="B25" s="5">
        <v>1120</v>
      </c>
      <c r="C25" s="5">
        <v>1106.7</v>
      </c>
      <c r="D25" s="5">
        <v>1070.2</v>
      </c>
      <c r="E25" s="5">
        <v>1164.7</v>
      </c>
      <c r="F25" s="5">
        <v>1200.7</v>
      </c>
      <c r="G25" s="157"/>
      <c r="H25" s="25" t="s">
        <v>74</v>
      </c>
      <c r="I25" s="10">
        <f t="shared" ref="I25:L27" si="4">(B25-C25)/C25</f>
        <v>1.2017710309930383E-2</v>
      </c>
      <c r="J25" s="10">
        <f t="shared" si="4"/>
        <v>3.4105774621566061E-2</v>
      </c>
      <c r="K25" s="10">
        <f t="shared" si="4"/>
        <v>-8.1136773418047564E-2</v>
      </c>
      <c r="L25" s="10">
        <f t="shared" si="4"/>
        <v>-2.9982510202381941E-2</v>
      </c>
      <c r="M25" s="10"/>
      <c r="N25" s="11">
        <f>SUM(I25:L25)/4</f>
        <v>-1.6248949672233268E-2</v>
      </c>
    </row>
    <row r="26" spans="1:14" ht="13.2" x14ac:dyDescent="0.25">
      <c r="A26" s="25" t="s">
        <v>75</v>
      </c>
      <c r="B26" s="2">
        <v>229.2</v>
      </c>
      <c r="C26" s="2">
        <v>236.9</v>
      </c>
      <c r="D26" s="2">
        <v>245.7</v>
      </c>
      <c r="E26" s="2">
        <v>350.5</v>
      </c>
      <c r="F26" s="5">
        <v>2237.1999999999998</v>
      </c>
      <c r="G26" s="157"/>
      <c r="H26" s="25" t="s">
        <v>75</v>
      </c>
      <c r="I26" s="10">
        <f t="shared" si="4"/>
        <v>-3.2503165892781835E-2</v>
      </c>
      <c r="J26" s="10">
        <f t="shared" si="4"/>
        <v>-3.5816035816035749E-2</v>
      </c>
      <c r="K26" s="10">
        <f t="shared" si="4"/>
        <v>-0.29900142653352357</v>
      </c>
      <c r="L26" s="10">
        <f t="shared" si="4"/>
        <v>-0.84333094940103703</v>
      </c>
      <c r="M26" s="10"/>
      <c r="N26" s="11">
        <f>SUM(I26:L26)/4</f>
        <v>-0.30266289441084454</v>
      </c>
    </row>
    <row r="27" spans="1:14" ht="13.2" x14ac:dyDescent="0.25">
      <c r="A27" s="25" t="s">
        <v>76</v>
      </c>
      <c r="B27" s="2">
        <v>55.9</v>
      </c>
      <c r="C27" s="2">
        <v>55.9</v>
      </c>
      <c r="D27" s="2">
        <v>79.400000000000006</v>
      </c>
      <c r="E27" s="2">
        <v>48.8</v>
      </c>
      <c r="F27" s="2">
        <v>66.8</v>
      </c>
      <c r="G27" s="157"/>
      <c r="H27" s="25" t="s">
        <v>76</v>
      </c>
      <c r="I27" s="10">
        <f t="shared" si="4"/>
        <v>0</v>
      </c>
      <c r="J27" s="10">
        <f t="shared" si="4"/>
        <v>-0.29596977329974816</v>
      </c>
      <c r="K27" s="10">
        <f t="shared" si="4"/>
        <v>0.62704918032786905</v>
      </c>
      <c r="L27" s="10">
        <f t="shared" si="4"/>
        <v>-0.26946107784431139</v>
      </c>
      <c r="M27" s="10"/>
      <c r="N27" s="11">
        <f>SUM(I27:L27)/4</f>
        <v>1.5404582295952374E-2</v>
      </c>
    </row>
    <row r="28" spans="1:14" ht="13.2" x14ac:dyDescent="0.25">
      <c r="A28" s="25"/>
      <c r="B28" s="2"/>
      <c r="C28" s="2"/>
      <c r="D28" s="2"/>
      <c r="E28" s="2"/>
      <c r="F28" s="2"/>
      <c r="G28" s="157"/>
      <c r="H28" s="25"/>
      <c r="I28" s="2"/>
      <c r="J28" s="2"/>
      <c r="K28" s="2"/>
      <c r="L28" s="2"/>
      <c r="M28" s="2"/>
      <c r="N28" s="2"/>
    </row>
    <row r="29" spans="1:14" ht="13.2" x14ac:dyDescent="0.25">
      <c r="A29" s="25" t="s">
        <v>77</v>
      </c>
      <c r="B29" s="5">
        <v>2418.8000000000002</v>
      </c>
      <c r="C29" s="5">
        <v>2396.1999999999998</v>
      </c>
      <c r="D29" s="5">
        <v>2510.3000000000002</v>
      </c>
      <c r="E29" s="14">
        <v>2697</v>
      </c>
      <c r="F29" s="14">
        <v>4394.3999999999996</v>
      </c>
      <c r="G29" s="157"/>
      <c r="H29" s="25" t="s">
        <v>77</v>
      </c>
      <c r="I29" s="10">
        <f>(B29-C29)/C29</f>
        <v>9.4316000333863476E-3</v>
      </c>
      <c r="J29" s="10">
        <f>(C29-D29)/D29</f>
        <v>-4.5452734732900589E-2</v>
      </c>
      <c r="K29" s="10">
        <f>(D29-E29)/E29</f>
        <v>-6.9225064886911311E-2</v>
      </c>
      <c r="L29" s="10">
        <f>(E29-F29)/F29</f>
        <v>-0.38626433642818125</v>
      </c>
      <c r="M29" s="10"/>
      <c r="N29" s="11">
        <f>SUM(I29:L29)/4</f>
        <v>-0.1228776340036517</v>
      </c>
    </row>
    <row r="30" spans="1:14" ht="13.2" x14ac:dyDescent="0.25">
      <c r="A30" s="25"/>
      <c r="B30" s="2"/>
      <c r="C30" s="2"/>
      <c r="D30" s="2"/>
      <c r="E30" s="2"/>
      <c r="F30" s="2"/>
      <c r="G30" s="157"/>
      <c r="H30" s="25"/>
      <c r="I30" s="2"/>
      <c r="J30" s="2"/>
      <c r="K30" s="2"/>
      <c r="L30" s="2"/>
      <c r="M30" s="2"/>
      <c r="N30" s="2"/>
    </row>
    <row r="31" spans="1:14" ht="13.2" x14ac:dyDescent="0.25">
      <c r="A31" s="25" t="s">
        <v>78</v>
      </c>
      <c r="B31" s="2"/>
      <c r="C31" s="2"/>
      <c r="D31" s="2"/>
      <c r="E31" s="2"/>
      <c r="F31" s="2"/>
      <c r="G31" s="157"/>
      <c r="H31" s="25" t="s">
        <v>78</v>
      </c>
      <c r="I31" s="2"/>
      <c r="J31" s="2"/>
      <c r="K31" s="2"/>
      <c r="L31" s="2"/>
      <c r="M31" s="2"/>
    </row>
    <row r="32" spans="1:14" ht="13.2" x14ac:dyDescent="0.25">
      <c r="A32" s="25" t="s">
        <v>79</v>
      </c>
      <c r="B32" s="2"/>
      <c r="C32" s="2"/>
      <c r="D32" s="2"/>
      <c r="E32" s="2"/>
      <c r="F32" s="2"/>
      <c r="G32" s="157"/>
      <c r="H32" s="25" t="s">
        <v>79</v>
      </c>
      <c r="I32" s="2"/>
      <c r="J32" s="2"/>
      <c r="K32" s="2"/>
      <c r="L32" s="2"/>
      <c r="M32" s="2"/>
    </row>
    <row r="33" spans="1:14" ht="13.2" x14ac:dyDescent="0.25">
      <c r="A33" s="25" t="s">
        <v>80</v>
      </c>
      <c r="B33" s="2">
        <v>81.599999999999994</v>
      </c>
      <c r="C33" s="2">
        <v>73.3</v>
      </c>
      <c r="D33" s="2">
        <v>41.3</v>
      </c>
      <c r="E33" s="2">
        <v>61</v>
      </c>
      <c r="F33" s="2">
        <v>517</v>
      </c>
      <c r="G33" s="157"/>
      <c r="H33" s="25" t="s">
        <v>80</v>
      </c>
      <c r="I33" s="10">
        <f t="shared" ref="I33:L39" si="5">(B33-C33)/C33</f>
        <v>0.11323328785811729</v>
      </c>
      <c r="J33" s="10">
        <f t="shared" si="5"/>
        <v>0.7748184019370461</v>
      </c>
      <c r="K33" s="10">
        <f t="shared" si="5"/>
        <v>-0.32295081967213118</v>
      </c>
      <c r="L33" s="10">
        <f t="shared" si="5"/>
        <v>-0.88201160541586077</v>
      </c>
      <c r="M33" s="10"/>
      <c r="N33" s="11">
        <f t="shared" ref="N33:N39" si="6">SUM(I33:L33)/4</f>
        <v>-7.9227683823207135E-2</v>
      </c>
    </row>
    <row r="34" spans="1:14" ht="13.2" x14ac:dyDescent="0.25">
      <c r="A34" s="25" t="s">
        <v>81</v>
      </c>
      <c r="B34" s="2">
        <v>48</v>
      </c>
      <c r="C34" s="2">
        <v>81.2</v>
      </c>
      <c r="D34" s="2">
        <v>95.2</v>
      </c>
      <c r="E34" s="2">
        <v>108.4</v>
      </c>
      <c r="F34" s="2">
        <v>51.1</v>
      </c>
      <c r="G34" s="157"/>
      <c r="H34" s="25" t="s">
        <v>81</v>
      </c>
      <c r="I34" s="10">
        <f t="shared" si="5"/>
        <v>-0.40886699507389163</v>
      </c>
      <c r="J34" s="10">
        <f t="shared" si="5"/>
        <v>-0.14705882352941177</v>
      </c>
      <c r="K34" s="10">
        <f t="shared" si="5"/>
        <v>-0.12177121771217714</v>
      </c>
      <c r="L34" s="10">
        <f t="shared" si="5"/>
        <v>1.1213307240704502</v>
      </c>
      <c r="M34" s="10"/>
      <c r="N34" s="11">
        <f t="shared" si="6"/>
        <v>0.11090842193874242</v>
      </c>
    </row>
    <row r="35" spans="1:14" ht="13.2" x14ac:dyDescent="0.25">
      <c r="A35" s="25" t="s">
        <v>82</v>
      </c>
      <c r="B35" s="2">
        <v>212.3</v>
      </c>
      <c r="C35" s="2">
        <v>213.6</v>
      </c>
      <c r="D35" s="2">
        <v>168.4</v>
      </c>
      <c r="E35" s="2">
        <v>191.3</v>
      </c>
      <c r="F35" s="2">
        <v>210.2</v>
      </c>
      <c r="G35" s="157"/>
      <c r="H35" s="25" t="s">
        <v>82</v>
      </c>
      <c r="I35" s="10">
        <f t="shared" si="5"/>
        <v>-6.0861423220972986E-3</v>
      </c>
      <c r="J35" s="10">
        <f t="shared" si="5"/>
        <v>0.26840855106888356</v>
      </c>
      <c r="K35" s="10">
        <f t="shared" si="5"/>
        <v>-0.11970726607422898</v>
      </c>
      <c r="L35" s="10">
        <f t="shared" si="5"/>
        <v>-8.9914367269267256E-2</v>
      </c>
      <c r="M35" s="10"/>
      <c r="N35" s="11">
        <f t="shared" si="6"/>
        <v>1.3175193850822501E-2</v>
      </c>
    </row>
    <row r="36" spans="1:14" ht="13.2" x14ac:dyDescent="0.25">
      <c r="A36" s="25" t="s">
        <v>83</v>
      </c>
      <c r="B36" s="2">
        <v>135.9</v>
      </c>
      <c r="C36" s="2">
        <v>139.1</v>
      </c>
      <c r="D36" s="2">
        <v>131.4</v>
      </c>
      <c r="E36" s="2">
        <v>132.30000000000001</v>
      </c>
      <c r="F36" s="2">
        <v>111.3</v>
      </c>
      <c r="G36" s="157"/>
      <c r="H36" s="25" t="s">
        <v>83</v>
      </c>
      <c r="I36" s="10">
        <f t="shared" si="5"/>
        <v>-2.3005032350826661E-2</v>
      </c>
      <c r="J36" s="10">
        <f t="shared" si="5"/>
        <v>5.8599695585996869E-2</v>
      </c>
      <c r="K36" s="10">
        <f t="shared" si="5"/>
        <v>-6.8027210884354164E-3</v>
      </c>
      <c r="L36" s="10">
        <f t="shared" si="5"/>
        <v>0.18867924528301899</v>
      </c>
      <c r="M36" s="10"/>
      <c r="N36" s="11">
        <f t="shared" si="6"/>
        <v>5.436779685743845E-2</v>
      </c>
    </row>
    <row r="37" spans="1:14" ht="13.2" x14ac:dyDescent="0.25">
      <c r="A37" s="25" t="s">
        <v>84</v>
      </c>
      <c r="B37" s="2">
        <v>126.7</v>
      </c>
      <c r="C37" s="2">
        <v>138.69999999999999</v>
      </c>
      <c r="D37" s="2">
        <v>125.6</v>
      </c>
      <c r="E37" s="2">
        <v>123</v>
      </c>
      <c r="F37" s="2">
        <v>130.19999999999999</v>
      </c>
      <c r="G37" s="157"/>
      <c r="H37" s="25" t="s">
        <v>84</v>
      </c>
      <c r="I37" s="10">
        <f t="shared" si="5"/>
        <v>-8.6517664023071275E-2</v>
      </c>
      <c r="J37" s="10">
        <f t="shared" si="5"/>
        <v>0.1042993630573248</v>
      </c>
      <c r="K37" s="10">
        <f t="shared" si="5"/>
        <v>2.1138211382113775E-2</v>
      </c>
      <c r="L37" s="10">
        <f t="shared" si="5"/>
        <v>-5.5299539170506833E-2</v>
      </c>
      <c r="M37" s="10"/>
      <c r="N37" s="11">
        <f t="shared" si="6"/>
        <v>-4.0949071885348822E-3</v>
      </c>
    </row>
    <row r="38" spans="1:14" ht="13.2" x14ac:dyDescent="0.25">
      <c r="A38" s="25" t="s">
        <v>85</v>
      </c>
      <c r="B38" s="2">
        <v>15.6</v>
      </c>
      <c r="C38" s="2">
        <v>40.1</v>
      </c>
      <c r="D38" s="2">
        <v>63.7</v>
      </c>
      <c r="E38" s="2">
        <v>73.8</v>
      </c>
      <c r="F38" s="2">
        <v>42.4</v>
      </c>
      <c r="G38" s="157"/>
      <c r="H38" s="25" t="s">
        <v>85</v>
      </c>
      <c r="I38" s="10">
        <f t="shared" si="5"/>
        <v>-0.61097256857855364</v>
      </c>
      <c r="J38" s="10">
        <f t="shared" si="5"/>
        <v>-0.3704866562009419</v>
      </c>
      <c r="K38" s="10">
        <f t="shared" si="5"/>
        <v>-0.13685636856368558</v>
      </c>
      <c r="L38" s="10">
        <f t="shared" si="5"/>
        <v>0.74056603773584906</v>
      </c>
      <c r="M38" s="10"/>
      <c r="N38" s="11">
        <f t="shared" si="6"/>
        <v>-9.4437388901833036E-2</v>
      </c>
    </row>
    <row r="39" spans="1:14" ht="13.2" x14ac:dyDescent="0.25">
      <c r="A39" s="25" t="s">
        <v>86</v>
      </c>
      <c r="B39" s="2">
        <v>240.3</v>
      </c>
      <c r="C39" s="2">
        <v>252.3</v>
      </c>
      <c r="D39" s="2">
        <v>383.5</v>
      </c>
      <c r="E39" s="2">
        <v>255.9</v>
      </c>
      <c r="F39" s="2">
        <v>292.5</v>
      </c>
      <c r="G39" s="157"/>
      <c r="H39" s="25" t="s">
        <v>86</v>
      </c>
      <c r="I39" s="10">
        <f t="shared" si="5"/>
        <v>-4.7562425683709865E-2</v>
      </c>
      <c r="J39" s="10">
        <f t="shared" si="5"/>
        <v>-0.34211212516297257</v>
      </c>
      <c r="K39" s="10">
        <f t="shared" si="5"/>
        <v>0.498632278233685</v>
      </c>
      <c r="L39" s="10">
        <f t="shared" si="5"/>
        <v>-0.12512820512820511</v>
      </c>
      <c r="M39" s="10"/>
      <c r="N39" s="11">
        <f t="shared" si="6"/>
        <v>-4.0426194353006401E-3</v>
      </c>
    </row>
    <row r="40" spans="1:14" ht="13.2" x14ac:dyDescent="0.25">
      <c r="A40" s="25"/>
      <c r="B40" s="2"/>
      <c r="C40" s="2"/>
      <c r="D40" s="2"/>
      <c r="E40" s="2"/>
      <c r="F40" s="2"/>
      <c r="G40" s="157"/>
      <c r="H40" s="25"/>
      <c r="I40" s="2"/>
      <c r="J40" s="2"/>
      <c r="K40" s="2"/>
      <c r="L40" s="2"/>
      <c r="M40" s="2"/>
      <c r="N40" s="2"/>
    </row>
    <row r="41" spans="1:14" ht="13.2" x14ac:dyDescent="0.25">
      <c r="A41" s="25" t="s">
        <v>87</v>
      </c>
      <c r="B41" s="2">
        <v>860.4</v>
      </c>
      <c r="C41" s="2">
        <v>938.3</v>
      </c>
      <c r="D41" s="5">
        <v>1009.1</v>
      </c>
      <c r="E41" s="2">
        <v>945.7</v>
      </c>
      <c r="F41" s="5">
        <v>1354.7</v>
      </c>
      <c r="G41" s="157"/>
      <c r="H41" s="25" t="s">
        <v>87</v>
      </c>
      <c r="I41" s="10">
        <f t="shared" ref="I41:L43" si="7">(B41-C41)/C41</f>
        <v>-8.3022487477352636E-2</v>
      </c>
      <c r="J41" s="10">
        <f t="shared" si="7"/>
        <v>-7.0161530076305684E-2</v>
      </c>
      <c r="K41" s="10">
        <f t="shared" si="7"/>
        <v>6.7040287617637695E-2</v>
      </c>
      <c r="L41" s="10">
        <f t="shared" si="7"/>
        <v>-0.30191186240496048</v>
      </c>
      <c r="M41" s="10"/>
      <c r="N41" s="11">
        <f>SUM(I41:L41)/4</f>
        <v>-9.701389808524527E-2</v>
      </c>
    </row>
    <row r="42" spans="1:14" ht="13.2" x14ac:dyDescent="0.25">
      <c r="A42" s="25" t="s">
        <v>88</v>
      </c>
      <c r="B42" s="2">
        <v>664.1</v>
      </c>
      <c r="C42" s="2">
        <v>715</v>
      </c>
      <c r="D42" s="2">
        <v>795.1</v>
      </c>
      <c r="E42" s="2">
        <v>887.6</v>
      </c>
      <c r="F42" s="2">
        <v>993.5</v>
      </c>
      <c r="G42" s="157"/>
      <c r="H42" s="25" t="s">
        <v>88</v>
      </c>
      <c r="I42" s="10">
        <f t="shared" si="7"/>
        <v>-7.1188811188811152E-2</v>
      </c>
      <c r="J42" s="10">
        <f t="shared" si="7"/>
        <v>-0.10074204502578295</v>
      </c>
      <c r="K42" s="10">
        <f t="shared" si="7"/>
        <v>-0.10421360973411446</v>
      </c>
      <c r="L42" s="10">
        <f t="shared" si="7"/>
        <v>-0.10659285354806239</v>
      </c>
      <c r="M42" s="10"/>
      <c r="N42" s="11">
        <f>SUM(I42:L42)/4</f>
        <v>-9.5684329874192731E-2</v>
      </c>
    </row>
    <row r="43" spans="1:14" ht="13.2" x14ac:dyDescent="0.25">
      <c r="A43" s="25" t="s">
        <v>89</v>
      </c>
      <c r="B43" s="2">
        <v>518</v>
      </c>
      <c r="C43" s="2">
        <v>523.1</v>
      </c>
      <c r="D43" s="2">
        <v>533.4</v>
      </c>
      <c r="E43" s="2">
        <v>578.9</v>
      </c>
      <c r="F43" s="2">
        <v>558.9</v>
      </c>
      <c r="G43" s="157"/>
      <c r="H43" s="25" t="s">
        <v>89</v>
      </c>
      <c r="I43" s="10">
        <f t="shared" si="7"/>
        <v>-9.749569871917458E-3</v>
      </c>
      <c r="J43" s="10">
        <f t="shared" si="7"/>
        <v>-1.9310086239220012E-2</v>
      </c>
      <c r="K43" s="10">
        <f t="shared" si="7"/>
        <v>-7.8597339782345829E-2</v>
      </c>
      <c r="L43" s="10">
        <f t="shared" si="7"/>
        <v>3.5784576847378784E-2</v>
      </c>
      <c r="M43" s="10"/>
      <c r="N43" s="11">
        <f>SUM(I43:L43)/4</f>
        <v>-1.7968104761526126E-2</v>
      </c>
    </row>
    <row r="44" spans="1:14" ht="13.2" x14ac:dyDescent="0.25">
      <c r="A44" s="25" t="s">
        <v>104</v>
      </c>
      <c r="B44" s="2"/>
      <c r="C44" s="2"/>
      <c r="D44" s="2"/>
      <c r="E44" s="2">
        <v>36.299999999999997</v>
      </c>
      <c r="F44" s="2">
        <v>238.4</v>
      </c>
      <c r="G44" s="157"/>
      <c r="H44" s="25" t="s">
        <v>104</v>
      </c>
      <c r="I44" s="2"/>
      <c r="J44" s="2"/>
      <c r="K44" s="2"/>
      <c r="L44" s="2"/>
      <c r="M44" s="2"/>
    </row>
    <row r="45" spans="1:14" ht="13.2" x14ac:dyDescent="0.25">
      <c r="A45" s="25" t="s">
        <v>90</v>
      </c>
      <c r="B45" s="2"/>
      <c r="C45" s="2"/>
      <c r="D45" s="2"/>
      <c r="E45" s="2"/>
      <c r="F45" s="2"/>
      <c r="G45" s="157"/>
      <c r="H45" s="25" t="s">
        <v>90</v>
      </c>
      <c r="I45" s="2"/>
      <c r="J45" s="2"/>
      <c r="K45" s="2"/>
      <c r="L45" s="2"/>
      <c r="M45" s="2"/>
    </row>
    <row r="46" spans="1:14" ht="13.2" x14ac:dyDescent="0.25">
      <c r="A46" s="25" t="s">
        <v>91</v>
      </c>
      <c r="B46" s="2"/>
      <c r="C46" s="2"/>
      <c r="D46" s="2"/>
      <c r="E46" s="2"/>
      <c r="F46" s="2"/>
      <c r="G46" s="157"/>
      <c r="H46" s="25" t="s">
        <v>91</v>
      </c>
      <c r="I46" s="2"/>
      <c r="J46" s="2"/>
      <c r="K46" s="2"/>
      <c r="L46" s="2"/>
      <c r="M46" s="2"/>
    </row>
    <row r="47" spans="1:14" ht="13.2" x14ac:dyDescent="0.25">
      <c r="A47" s="25" t="s">
        <v>105</v>
      </c>
      <c r="B47" s="2">
        <v>100</v>
      </c>
      <c r="C47" s="2">
        <v>100</v>
      </c>
      <c r="D47" s="2">
        <v>100</v>
      </c>
      <c r="E47" s="2">
        <v>100</v>
      </c>
      <c r="F47" s="2">
        <v>100</v>
      </c>
      <c r="G47" s="157"/>
      <c r="H47" s="25" t="s">
        <v>105</v>
      </c>
      <c r="I47" s="2"/>
      <c r="J47" s="2"/>
      <c r="K47" s="2"/>
      <c r="L47" s="2"/>
      <c r="M47" s="2"/>
    </row>
    <row r="48" spans="1:14" ht="13.2" x14ac:dyDescent="0.25">
      <c r="A48" s="25" t="s">
        <v>92</v>
      </c>
      <c r="B48" s="2">
        <v>-27.2</v>
      </c>
      <c r="C48" s="2">
        <v>-38.5</v>
      </c>
      <c r="D48" s="2">
        <v>-48.4</v>
      </c>
      <c r="E48" s="2">
        <v>-57.2</v>
      </c>
      <c r="F48" s="2">
        <v>-64.900000000000006</v>
      </c>
      <c r="G48" s="157"/>
      <c r="H48" s="25" t="s">
        <v>92</v>
      </c>
      <c r="I48" s="2"/>
      <c r="J48" s="2"/>
      <c r="K48" s="2"/>
      <c r="L48" s="2"/>
      <c r="M48" s="2"/>
    </row>
    <row r="49" spans="1:14" ht="13.2" x14ac:dyDescent="0.25">
      <c r="A49" s="25" t="s">
        <v>93</v>
      </c>
      <c r="B49" s="2"/>
      <c r="C49" s="2"/>
      <c r="D49" s="2"/>
      <c r="E49" s="2"/>
      <c r="F49" s="2"/>
      <c r="G49" s="157"/>
      <c r="H49" s="25" t="s">
        <v>93</v>
      </c>
      <c r="I49" s="2"/>
      <c r="J49" s="2"/>
      <c r="K49" s="2"/>
      <c r="L49" s="2"/>
      <c r="M49" s="2"/>
    </row>
    <row r="50" spans="1:14" ht="13.2" x14ac:dyDescent="0.25">
      <c r="A50" s="25" t="s">
        <v>94</v>
      </c>
      <c r="B50" s="2">
        <v>-51.2</v>
      </c>
      <c r="C50" s="2">
        <v>-39</v>
      </c>
      <c r="D50" s="2">
        <v>-29.9</v>
      </c>
      <c r="E50" s="2">
        <v>-22.3</v>
      </c>
      <c r="F50" s="2">
        <v>-16.100000000000001</v>
      </c>
      <c r="G50" s="157"/>
      <c r="H50" s="25" t="s">
        <v>94</v>
      </c>
      <c r="I50" s="2"/>
      <c r="J50" s="2"/>
      <c r="K50" s="2"/>
      <c r="L50" s="2"/>
      <c r="M50" s="2"/>
    </row>
    <row r="51" spans="1:14" ht="13.2" x14ac:dyDescent="0.25">
      <c r="A51" s="25" t="s">
        <v>95</v>
      </c>
      <c r="B51" s="2"/>
      <c r="C51" s="2"/>
      <c r="D51" s="2"/>
      <c r="E51" s="2"/>
      <c r="F51" s="2"/>
      <c r="G51" s="157"/>
      <c r="H51" s="25" t="s">
        <v>95</v>
      </c>
      <c r="I51" s="2"/>
      <c r="J51" s="2"/>
      <c r="K51" s="2"/>
      <c r="L51" s="2"/>
      <c r="M51" s="2"/>
    </row>
    <row r="52" spans="1:14" ht="13.2" x14ac:dyDescent="0.25">
      <c r="A52" s="25" t="s">
        <v>96</v>
      </c>
      <c r="B52" s="2"/>
      <c r="C52" s="2"/>
      <c r="D52" s="2"/>
      <c r="E52" s="2"/>
      <c r="F52" s="2"/>
      <c r="G52" s="157"/>
      <c r="H52" s="25" t="s">
        <v>96</v>
      </c>
      <c r="I52" s="2"/>
      <c r="J52" s="2"/>
      <c r="K52" s="2"/>
      <c r="L52" s="2"/>
      <c r="M52" s="2"/>
    </row>
    <row r="53" spans="1:14" ht="13.2" x14ac:dyDescent="0.25">
      <c r="A53" s="25" t="s">
        <v>97</v>
      </c>
      <c r="B53" s="2">
        <v>840</v>
      </c>
      <c r="C53" s="2">
        <v>840</v>
      </c>
      <c r="D53" s="2">
        <v>840</v>
      </c>
      <c r="E53" s="2">
        <v>840</v>
      </c>
      <c r="F53" s="2">
        <v>840</v>
      </c>
      <c r="G53" s="157"/>
      <c r="H53" s="25" t="s">
        <v>97</v>
      </c>
      <c r="I53" s="10">
        <f>(B53-C53)/C53</f>
        <v>0</v>
      </c>
      <c r="J53" s="10">
        <f>(C53-D53)/D53</f>
        <v>0</v>
      </c>
      <c r="K53" s="10">
        <f>(D53-E53)/E53</f>
        <v>0</v>
      </c>
      <c r="L53" s="10">
        <f>(E53-F53)/F53</f>
        <v>0</v>
      </c>
      <c r="M53" s="10"/>
      <c r="N53" s="11">
        <f t="shared" ref="N53:N58" si="8">SUM(I53:L53)/4</f>
        <v>0</v>
      </c>
    </row>
    <row r="54" spans="1:14" ht="13.2" x14ac:dyDescent="0.25">
      <c r="A54" s="25" t="s">
        <v>98</v>
      </c>
      <c r="B54" s="2">
        <v>136.4</v>
      </c>
      <c r="C54" s="2">
        <v>100.7</v>
      </c>
      <c r="D54" s="2">
        <v>78.900000000000006</v>
      </c>
      <c r="E54" s="2">
        <v>29</v>
      </c>
      <c r="F54" s="2" t="s">
        <v>10</v>
      </c>
      <c r="G54" s="157"/>
      <c r="H54" s="25" t="s">
        <v>98</v>
      </c>
      <c r="I54" s="10">
        <f t="shared" ref="I54:K58" si="9">(B54-C54)/C54</f>
        <v>0.35451837140019865</v>
      </c>
      <c r="J54" s="10">
        <f t="shared" si="9"/>
        <v>0.27629911280101388</v>
      </c>
      <c r="K54" s="10">
        <f t="shared" si="9"/>
        <v>1.720689655172414</v>
      </c>
      <c r="L54" s="10"/>
      <c r="M54" s="10"/>
      <c r="N54" s="11">
        <f>SUM(I54:K54)/4</f>
        <v>0.58787678484340666</v>
      </c>
    </row>
    <row r="55" spans="1:14" ht="13.2" x14ac:dyDescent="0.25">
      <c r="A55" s="25" t="s">
        <v>99</v>
      </c>
      <c r="B55" s="5">
        <v>1061.7</v>
      </c>
      <c r="C55" s="2">
        <v>854.6</v>
      </c>
      <c r="D55" s="2">
        <v>555.79999999999995</v>
      </c>
      <c r="E55" s="2">
        <v>431</v>
      </c>
      <c r="F55" s="5">
        <v>1521.3</v>
      </c>
      <c r="G55" s="157"/>
      <c r="H55" s="25" t="s">
        <v>99</v>
      </c>
      <c r="I55" s="10">
        <f t="shared" si="9"/>
        <v>0.24233559560028084</v>
      </c>
      <c r="J55" s="10">
        <f t="shared" si="9"/>
        <v>0.537603454480029</v>
      </c>
      <c r="K55" s="10">
        <f t="shared" si="9"/>
        <v>0.28955916473317855</v>
      </c>
      <c r="L55" s="10">
        <f>(E55-F55)/F55</f>
        <v>-0.71668967330572531</v>
      </c>
      <c r="M55" s="10"/>
      <c r="N55" s="11">
        <f t="shared" si="8"/>
        <v>8.8202135376940771E-2</v>
      </c>
    </row>
    <row r="56" spans="1:14" ht="13.2" x14ac:dyDescent="0.25">
      <c r="A56" s="25" t="s">
        <v>117</v>
      </c>
      <c r="B56" s="2">
        <v>-111.3</v>
      </c>
      <c r="C56" s="2">
        <v>-95.1</v>
      </c>
      <c r="D56" s="2">
        <v>-80.099999999999994</v>
      </c>
      <c r="E56" s="2">
        <v>-82.4</v>
      </c>
      <c r="F56" s="2">
        <v>-68.2</v>
      </c>
      <c r="G56" s="157"/>
      <c r="H56" s="25" t="s">
        <v>117</v>
      </c>
      <c r="I56" s="10">
        <f t="shared" si="9"/>
        <v>0.17034700315457418</v>
      </c>
      <c r="J56" s="10">
        <f t="shared" si="9"/>
        <v>0.18726591760299627</v>
      </c>
      <c r="K56" s="10">
        <f t="shared" si="9"/>
        <v>-2.7912621359223438E-2</v>
      </c>
      <c r="L56" s="10">
        <f>(E56-F56)/F56</f>
        <v>0.2082111436950147</v>
      </c>
      <c r="M56" s="10"/>
      <c r="N56" s="11">
        <f t="shared" si="8"/>
        <v>0.13447786077334042</v>
      </c>
    </row>
    <row r="57" spans="1:14" ht="13.2" x14ac:dyDescent="0.25">
      <c r="A57" s="25" t="s">
        <v>100</v>
      </c>
      <c r="B57" s="2">
        <v>-21.2</v>
      </c>
      <c r="C57" s="2">
        <v>-45.5</v>
      </c>
      <c r="D57" s="2">
        <v>-67.599999999999994</v>
      </c>
      <c r="E57" s="2">
        <v>-91</v>
      </c>
      <c r="F57" s="2">
        <v>-103.4</v>
      </c>
      <c r="G57" s="157"/>
      <c r="H57" s="25" t="s">
        <v>100</v>
      </c>
      <c r="I57" s="10">
        <f t="shared" si="9"/>
        <v>-0.53406593406593406</v>
      </c>
      <c r="J57" s="10">
        <f t="shared" si="9"/>
        <v>-0.32692307692307687</v>
      </c>
      <c r="K57" s="10">
        <f t="shared" si="9"/>
        <v>-0.25714285714285723</v>
      </c>
      <c r="L57" s="10">
        <f>(E57-F57)/F57</f>
        <v>-0.11992263056092849</v>
      </c>
      <c r="M57" s="10"/>
      <c r="N57" s="11">
        <f t="shared" si="8"/>
        <v>-0.30951362467319915</v>
      </c>
    </row>
    <row r="58" spans="1:14" ht="13.2" x14ac:dyDescent="0.25">
      <c r="A58" s="25" t="s">
        <v>101</v>
      </c>
      <c r="B58" s="5">
        <v>-1550.9</v>
      </c>
      <c r="C58" s="5">
        <v>-1457.4</v>
      </c>
      <c r="D58" s="5">
        <v>-1176</v>
      </c>
      <c r="E58" s="2">
        <v>-898.6</v>
      </c>
      <c r="F58" s="2">
        <v>-959.8</v>
      </c>
      <c r="G58" s="157"/>
      <c r="H58" s="25" t="s">
        <v>101</v>
      </c>
      <c r="I58" s="10">
        <f t="shared" si="9"/>
        <v>6.4155345135172223E-2</v>
      </c>
      <c r="J58" s="10">
        <f t="shared" si="9"/>
        <v>0.23928571428571435</v>
      </c>
      <c r="K58" s="10">
        <f t="shared" si="9"/>
        <v>0.30870242599599373</v>
      </c>
      <c r="L58" s="10">
        <f>(E58-F58)/F58</f>
        <v>-6.3763284017503585E-2</v>
      </c>
      <c r="M58" s="10"/>
      <c r="N58" s="11">
        <f t="shared" si="8"/>
        <v>0.13709505034984421</v>
      </c>
    </row>
    <row r="59" spans="1:14" ht="13.2" x14ac:dyDescent="0.25">
      <c r="A59" s="25"/>
      <c r="B59" s="2"/>
      <c r="C59" s="2"/>
      <c r="D59" s="2"/>
      <c r="E59" s="2"/>
      <c r="F59" s="2"/>
      <c r="G59" s="157"/>
      <c r="H59" s="25"/>
      <c r="I59" s="2"/>
      <c r="J59" s="2"/>
      <c r="K59" s="2"/>
      <c r="L59" s="2"/>
      <c r="M59" s="2"/>
      <c r="N59" s="2"/>
    </row>
    <row r="60" spans="1:14" ht="13.2" x14ac:dyDescent="0.25">
      <c r="A60" s="25" t="s">
        <v>102</v>
      </c>
      <c r="B60" s="2">
        <v>354.7</v>
      </c>
      <c r="C60" s="2">
        <v>197.3</v>
      </c>
      <c r="D60" s="2">
        <v>151</v>
      </c>
      <c r="E60" s="2">
        <v>228</v>
      </c>
      <c r="F60" s="5">
        <v>1229.9000000000001</v>
      </c>
      <c r="G60" s="157"/>
      <c r="H60" s="25" t="s">
        <v>102</v>
      </c>
      <c r="I60" s="10">
        <f>(B60-C60)/C60</f>
        <v>0.79776989356310168</v>
      </c>
      <c r="J60" s="10">
        <f>(C60-D60)/D60</f>
        <v>0.30662251655629147</v>
      </c>
      <c r="K60" s="10">
        <f>(D60-E60)/E60</f>
        <v>-0.33771929824561403</v>
      </c>
      <c r="L60" s="10">
        <f>(E60-F60)/F60</f>
        <v>-0.81461907472152206</v>
      </c>
      <c r="M60" s="10"/>
      <c r="N60" s="11">
        <f>SUM(I60:L60)/4</f>
        <v>-1.1986490711935749E-2</v>
      </c>
    </row>
    <row r="61" spans="1:14" ht="13.2" x14ac:dyDescent="0.25">
      <c r="A61" s="25"/>
      <c r="B61" s="2"/>
      <c r="C61" s="2"/>
      <c r="D61" s="2"/>
      <c r="E61" s="2"/>
      <c r="F61" s="2"/>
      <c r="G61" s="157"/>
      <c r="H61" s="25"/>
      <c r="I61" s="2"/>
      <c r="J61" s="2"/>
      <c r="K61" s="2"/>
      <c r="L61" s="2"/>
      <c r="M61" s="2"/>
      <c r="N61" s="2"/>
    </row>
    <row r="62" spans="1:14" ht="13.2" x14ac:dyDescent="0.25">
      <c r="A62" s="25" t="s">
        <v>103</v>
      </c>
      <c r="B62" s="5">
        <v>2418.8000000000002</v>
      </c>
      <c r="C62" s="5">
        <v>2396.1999999999998</v>
      </c>
      <c r="D62" s="14">
        <v>2510.3000000000002</v>
      </c>
      <c r="E62" s="14">
        <v>2697</v>
      </c>
      <c r="F62" s="14">
        <v>4394.3999999999996</v>
      </c>
      <c r="G62" s="157"/>
      <c r="H62" s="25" t="s">
        <v>103</v>
      </c>
      <c r="I62" s="10">
        <f>(B62-C62)/C62</f>
        <v>9.4316000333863476E-3</v>
      </c>
      <c r="J62" s="10">
        <f>(C62-D62)/D62</f>
        <v>-4.5452734732900589E-2</v>
      </c>
      <c r="K62" s="10">
        <f>(D62-E62)/E62</f>
        <v>-6.9225064886911311E-2</v>
      </c>
      <c r="L62" s="10">
        <f>(E62-F62)/F62</f>
        <v>-0.38626433642818125</v>
      </c>
      <c r="M62" s="10"/>
      <c r="N62" s="11">
        <f>SUM(I62:L62)/4</f>
        <v>-0.1228776340036517</v>
      </c>
    </row>
    <row r="63" spans="1:14" ht="13.2" x14ac:dyDescent="0.25">
      <c r="A63" s="2"/>
      <c r="B63" s="2"/>
      <c r="C63" s="2"/>
      <c r="D63" s="2"/>
      <c r="E63" s="2"/>
      <c r="F63" s="2"/>
      <c r="G63" s="157"/>
      <c r="H63" s="2"/>
      <c r="I63" s="2"/>
      <c r="J63" s="2"/>
      <c r="K63" s="2"/>
      <c r="L63" s="2"/>
      <c r="M63" s="2"/>
    </row>
    <row r="64" spans="1:14" ht="13.2" x14ac:dyDescent="0.25">
      <c r="A64" s="2"/>
      <c r="B64" s="2"/>
      <c r="C64" s="2"/>
      <c r="D64" s="2"/>
      <c r="E64" s="2"/>
      <c r="F64" s="2"/>
      <c r="G64" s="157"/>
      <c r="H64" s="2"/>
      <c r="I64" s="2"/>
      <c r="J64" s="2"/>
      <c r="K64" s="2"/>
      <c r="L64" s="2"/>
      <c r="M64" s="2"/>
    </row>
    <row r="65" spans="1:25" ht="13.2" x14ac:dyDescent="0.25">
      <c r="A65" s="2"/>
    </row>
    <row r="66" spans="1:25" ht="13.2" x14ac:dyDescent="0.25">
      <c r="A66" s="25" t="s">
        <v>39</v>
      </c>
      <c r="B66" s="2"/>
      <c r="C66" s="20" t="s">
        <v>120</v>
      </c>
      <c r="E66" s="2"/>
      <c r="F66" s="2"/>
      <c r="G66" s="157"/>
      <c r="H66" s="25" t="s">
        <v>39</v>
      </c>
      <c r="I66" s="2"/>
      <c r="J66" s="2"/>
      <c r="K66" s="2"/>
      <c r="M66" s="25" t="s">
        <v>136</v>
      </c>
    </row>
    <row r="67" spans="1:25" ht="13.2" x14ac:dyDescent="0.25">
      <c r="A67" s="25"/>
      <c r="B67" s="2"/>
      <c r="C67" s="15" t="s">
        <v>119</v>
      </c>
      <c r="E67" s="2"/>
      <c r="F67" s="2"/>
      <c r="H67" s="25"/>
      <c r="I67" s="28" t="s">
        <v>137</v>
      </c>
      <c r="J67" s="28" t="s">
        <v>137</v>
      </c>
      <c r="K67" s="28" t="s">
        <v>137</v>
      </c>
      <c r="L67" s="28" t="s">
        <v>137</v>
      </c>
      <c r="M67" s="28" t="s">
        <v>137</v>
      </c>
      <c r="N67" s="28" t="s">
        <v>137</v>
      </c>
      <c r="O67" s="28" t="s">
        <v>137</v>
      </c>
      <c r="P67" s="28" t="s">
        <v>137</v>
      </c>
      <c r="Q67" s="28" t="s">
        <v>137</v>
      </c>
      <c r="R67" s="28" t="s">
        <v>137</v>
      </c>
      <c r="S67" t="s">
        <v>294</v>
      </c>
    </row>
    <row r="68" spans="1:25" ht="13.2" x14ac:dyDescent="0.25">
      <c r="A68" s="25" t="s">
        <v>56</v>
      </c>
      <c r="B68" s="13">
        <v>36891</v>
      </c>
      <c r="C68" s="13">
        <v>36525</v>
      </c>
      <c r="D68" s="13">
        <v>36160</v>
      </c>
      <c r="E68" s="13">
        <v>35795</v>
      </c>
      <c r="F68" s="13">
        <v>35430</v>
      </c>
      <c r="G68" s="160" t="s">
        <v>299</v>
      </c>
      <c r="H68" s="25" t="s">
        <v>56</v>
      </c>
      <c r="I68" s="7">
        <v>2001</v>
      </c>
      <c r="J68" s="7">
        <f>I68+1</f>
        <v>2002</v>
      </c>
      <c r="K68" s="7">
        <f t="shared" ref="K68:R68" si="10">J68+1</f>
        <v>2003</v>
      </c>
      <c r="L68" s="7">
        <f t="shared" si="10"/>
        <v>2004</v>
      </c>
      <c r="M68" s="7">
        <f t="shared" si="10"/>
        <v>2005</v>
      </c>
      <c r="N68" s="7">
        <f t="shared" si="10"/>
        <v>2006</v>
      </c>
      <c r="O68" s="7">
        <f t="shared" si="10"/>
        <v>2007</v>
      </c>
      <c r="P68" s="7">
        <f t="shared" si="10"/>
        <v>2008</v>
      </c>
      <c r="Q68" s="7">
        <f t="shared" si="10"/>
        <v>2009</v>
      </c>
      <c r="R68" s="7">
        <f t="shared" si="10"/>
        <v>2010</v>
      </c>
      <c r="S68" s="19"/>
      <c r="T68" s="19"/>
      <c r="U68" s="19"/>
      <c r="V68" s="19"/>
      <c r="W68" s="19"/>
      <c r="X68" s="19"/>
      <c r="Y68" s="18"/>
    </row>
    <row r="69" spans="1:25" ht="13.2" x14ac:dyDescent="0.25">
      <c r="A69" s="25" t="s">
        <v>57</v>
      </c>
      <c r="B69" s="2"/>
      <c r="C69" s="2"/>
      <c r="D69" s="2"/>
      <c r="E69" s="2"/>
      <c r="F69" s="2"/>
      <c r="G69" s="161"/>
      <c r="H69" s="25" t="s">
        <v>57</v>
      </c>
      <c r="I69" s="2"/>
      <c r="J69" s="2"/>
      <c r="K69" s="2"/>
      <c r="L69" s="2"/>
      <c r="M69" s="2"/>
    </row>
    <row r="70" spans="1:25" ht="13.2" x14ac:dyDescent="0.25">
      <c r="A70" s="25" t="s">
        <v>58</v>
      </c>
      <c r="B70" s="10">
        <f>B5/'OAT Income Statement'!B$4</f>
        <v>3.4576472922039282E-2</v>
      </c>
      <c r="C70" s="10">
        <f>C5/'OAT Income Statement'!C$4</f>
        <v>5.9870481672733428E-2</v>
      </c>
      <c r="D70" s="10">
        <f>D5/'OAT Income Statement'!D$4</f>
        <v>6.7444501806917925E-2</v>
      </c>
      <c r="E70" s="10">
        <f>E5/'OAT Income Statement'!E$4</f>
        <v>1.6787287915943937E-2</v>
      </c>
      <c r="F70" s="10">
        <f>F5/'OAT Income Statement'!F$4</f>
        <v>2.1254087324485478E-2</v>
      </c>
      <c r="G70" s="162">
        <f>SUM(B70:F70)/5</f>
        <v>3.9986566328424004E-2</v>
      </c>
      <c r="H70" s="25" t="s">
        <v>58</v>
      </c>
      <c r="I70" s="10">
        <v>3.4576472922039282E-2</v>
      </c>
      <c r="J70" s="10">
        <v>3.4576472922039282E-2</v>
      </c>
      <c r="K70" s="10">
        <v>3.4576472922039282E-2</v>
      </c>
      <c r="L70" s="10">
        <v>3.4576472922039282E-2</v>
      </c>
      <c r="M70" s="10">
        <v>3.4576472922039282E-2</v>
      </c>
      <c r="N70" s="10">
        <v>3.4576472922039282E-2</v>
      </c>
      <c r="O70" s="10">
        <v>3.4576472922039282E-2</v>
      </c>
      <c r="P70" s="10">
        <v>3.4576472922039282E-2</v>
      </c>
      <c r="Q70" s="10">
        <v>3.4576472922039282E-2</v>
      </c>
      <c r="R70" s="10">
        <v>3.4576472922039282E-2</v>
      </c>
    </row>
    <row r="71" spans="1:25" ht="13.2" x14ac:dyDescent="0.25">
      <c r="A71" s="25" t="s">
        <v>59</v>
      </c>
      <c r="B71" s="10">
        <f>B6/'OAT Income Statement'!B$4</f>
        <v>5.9512001586986709E-5</v>
      </c>
      <c r="C71" s="10">
        <f>C6/'OAT Income Statement'!C$4</f>
        <v>6.3489376111064088E-5</v>
      </c>
      <c r="D71" s="10">
        <f>D6/'OAT Income Statement'!D$4</f>
        <v>5.6788848735157462E-3</v>
      </c>
      <c r="E71" s="10">
        <f>E6/'OAT Income Statement'!E$4</f>
        <v>0</v>
      </c>
      <c r="F71" s="10">
        <f>F6/'OAT Income Statement'!F$4</f>
        <v>0</v>
      </c>
      <c r="G71" s="162">
        <f t="shared" ref="G71:G76" si="11">SUM(B71:F71)/5</f>
        <v>1.1603772502427594E-3</v>
      </c>
      <c r="H71" s="25" t="s">
        <v>59</v>
      </c>
      <c r="I71" s="10">
        <v>5.9512001586986709E-5</v>
      </c>
      <c r="J71" s="10">
        <v>5.9512001586986709E-5</v>
      </c>
      <c r="K71" s="10">
        <v>5.9512001586986709E-5</v>
      </c>
      <c r="L71" s="10">
        <v>5.9512001586986709E-5</v>
      </c>
      <c r="M71" s="10">
        <v>5.9512001586986709E-5</v>
      </c>
      <c r="N71" s="10">
        <v>5.9512001586986709E-5</v>
      </c>
      <c r="O71" s="10">
        <v>5.9512001586986709E-5</v>
      </c>
      <c r="P71" s="10">
        <v>5.9512001586986709E-5</v>
      </c>
      <c r="Q71" s="10">
        <v>5.9512001586986709E-5</v>
      </c>
      <c r="R71" s="10">
        <v>5.9512001586986709E-5</v>
      </c>
    </row>
    <row r="72" spans="1:25" ht="13.2" x14ac:dyDescent="0.25">
      <c r="A72" s="25" t="s">
        <v>60</v>
      </c>
      <c r="B72" s="10">
        <f>B7/'OAT Income Statement'!B$4</f>
        <v>5.9115254909740129E-2</v>
      </c>
      <c r="C72" s="10">
        <f>C7/'OAT Income Statement'!C$4</f>
        <v>5.3817827816811992E-2</v>
      </c>
      <c r="D72" s="10">
        <f>D7/'OAT Income Statement'!D$4</f>
        <v>5.8523489932885898E-2</v>
      </c>
      <c r="E72" s="10">
        <f>E7/'OAT Income Statement'!E$4</f>
        <v>6.0948621329026856E-2</v>
      </c>
      <c r="F72" s="10">
        <f>F7/'OAT Income Statement'!F$4</f>
        <v>5.6722446624350831E-2</v>
      </c>
      <c r="G72" s="162">
        <f t="shared" si="11"/>
        <v>5.7825528122563141E-2</v>
      </c>
      <c r="H72" s="25" t="s">
        <v>60</v>
      </c>
      <c r="I72" s="10">
        <v>5.9115254909740129E-2</v>
      </c>
      <c r="J72" s="10">
        <v>5.9115254909740129E-2</v>
      </c>
      <c r="K72" s="10">
        <v>5.9115254909740129E-2</v>
      </c>
      <c r="L72" s="10">
        <v>5.9115254909740129E-2</v>
      </c>
      <c r="M72" s="10">
        <v>5.9115254909740129E-2</v>
      </c>
      <c r="N72" s="10">
        <v>5.9115254909740129E-2</v>
      </c>
      <c r="O72" s="10">
        <v>5.9115254909740129E-2</v>
      </c>
      <c r="P72" s="10">
        <v>5.9115254909740129E-2</v>
      </c>
      <c r="Q72" s="10">
        <v>5.9115254909740129E-2</v>
      </c>
      <c r="R72" s="10">
        <v>5.9115254909740129E-2</v>
      </c>
    </row>
    <row r="73" spans="1:25" ht="13.2" x14ac:dyDescent="0.25">
      <c r="A73" s="25" t="s">
        <v>61</v>
      </c>
      <c r="B73" s="10">
        <f>B8/'OAT Income Statement'!B$4</f>
        <v>0</v>
      </c>
      <c r="C73" s="10">
        <f>C8/'OAT Income Statement'!C$4</f>
        <v>0</v>
      </c>
      <c r="D73" s="10">
        <f>D8/'OAT Income Statement'!D$4</f>
        <v>0</v>
      </c>
      <c r="E73" s="10">
        <f>E8/'OAT Income Statement'!E$4</f>
        <v>0</v>
      </c>
      <c r="F73" s="10">
        <f>F8/'OAT Income Statement'!F$4</f>
        <v>0</v>
      </c>
      <c r="G73" s="162"/>
      <c r="H73" s="25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25" ht="13.2" x14ac:dyDescent="0.25">
      <c r="A74" s="25" t="s">
        <v>62</v>
      </c>
      <c r="B74" s="10">
        <f>B9/'OAT Income Statement'!B$4</f>
        <v>4.2432057131521525E-2</v>
      </c>
      <c r="C74" s="10">
        <f>C9/'OAT Income Statement'!C$4</f>
        <v>3.9490391941081858E-2</v>
      </c>
      <c r="D74" s="10">
        <f>D9/'OAT Income Statement'!D$4</f>
        <v>3.9050077439339186E-2</v>
      </c>
      <c r="E74" s="10">
        <f>E9/'OAT Income Statement'!E$4</f>
        <v>3.4411946488027596E-2</v>
      </c>
      <c r="F74" s="10">
        <f>F9/'OAT Income Statement'!F$4</f>
        <v>3.4968263127524525E-2</v>
      </c>
      <c r="G74" s="162">
        <f t="shared" si="11"/>
        <v>3.8070547225498935E-2</v>
      </c>
      <c r="H74" s="25" t="s">
        <v>62</v>
      </c>
      <c r="I74" s="10">
        <v>4.2432057131521525E-2</v>
      </c>
      <c r="J74" s="10">
        <v>4.2432057131521525E-2</v>
      </c>
      <c r="K74" s="10">
        <v>4.2432057131521525E-2</v>
      </c>
      <c r="L74" s="10">
        <v>4.2432057131521525E-2</v>
      </c>
      <c r="M74" s="10">
        <v>4.2432057131521525E-2</v>
      </c>
      <c r="N74" s="10">
        <v>4.2432057131521525E-2</v>
      </c>
      <c r="O74" s="10">
        <v>4.2432057131521525E-2</v>
      </c>
      <c r="P74" s="10">
        <v>4.2432057131521525E-2</v>
      </c>
      <c r="Q74" s="10">
        <v>4.2432057131521525E-2</v>
      </c>
      <c r="R74" s="10">
        <v>4.2432057131521525E-2</v>
      </c>
      <c r="S74" s="156" t="s">
        <v>295</v>
      </c>
    </row>
    <row r="75" spans="1:25" ht="13.2" x14ac:dyDescent="0.25">
      <c r="A75" s="25" t="s">
        <v>63</v>
      </c>
      <c r="B75" s="10">
        <f>B10/'OAT Income Statement'!B$4</f>
        <v>7.7365602063082725E-3</v>
      </c>
      <c r="C75" s="10">
        <f>C10/'OAT Income Statement'!C$4</f>
        <v>1.0581562685177348E-2</v>
      </c>
      <c r="D75" s="10">
        <f>D10/'OAT Income Statement'!D$4</f>
        <v>9.9948373773877126E-3</v>
      </c>
      <c r="E75" s="10">
        <f>E10/'OAT Income Statement'!E$4</f>
        <v>1.1763063979105608E-2</v>
      </c>
      <c r="F75" s="10">
        <f>F10/'OAT Income Statement'!F$4</f>
        <v>1.194460473167917E-2</v>
      </c>
      <c r="G75" s="162">
        <f t="shared" si="11"/>
        <v>1.0404125795931621E-2</v>
      </c>
      <c r="H75" s="25" t="s">
        <v>63</v>
      </c>
      <c r="I75" s="10">
        <v>7.7365602063082725E-3</v>
      </c>
      <c r="J75" s="10">
        <v>7.7365602063082725E-3</v>
      </c>
      <c r="K75" s="10">
        <v>7.7365602063082725E-3</v>
      </c>
      <c r="L75" s="10">
        <v>7.7365602063082725E-3</v>
      </c>
      <c r="M75" s="10">
        <v>7.7365602063082725E-3</v>
      </c>
      <c r="N75" s="10">
        <v>7.7365602063082725E-3</v>
      </c>
      <c r="O75" s="10">
        <v>7.7365602063082725E-3</v>
      </c>
      <c r="P75" s="10">
        <v>7.7365602063082725E-3</v>
      </c>
      <c r="Q75" s="10">
        <v>7.7365602063082725E-3</v>
      </c>
      <c r="R75" s="10">
        <v>7.7365602063082725E-3</v>
      </c>
    </row>
    <row r="76" spans="1:25" ht="13.2" x14ac:dyDescent="0.25">
      <c r="A76" s="25" t="s">
        <v>64</v>
      </c>
      <c r="B76" s="10">
        <f>B11/'OAT Income Statement'!B$4</f>
        <v>6.8438801825034716E-3</v>
      </c>
      <c r="C76" s="10">
        <f>C11/'OAT Income Statement'!C$4</f>
        <v>6.2642851096249902E-3</v>
      </c>
      <c r="D76" s="10">
        <f>D11/'OAT Income Statement'!D$4</f>
        <v>4.9354672173464115E-3</v>
      </c>
      <c r="E76" s="10">
        <f>E11/'OAT Income Statement'!E$4</f>
        <v>4.8846621608150407E-3</v>
      </c>
      <c r="F76" s="10">
        <f>F11/'OAT Income Statement'!F$4</f>
        <v>5.9626851317561066E-3</v>
      </c>
      <c r="G76" s="162">
        <f t="shared" si="11"/>
        <v>5.7781959604092034E-3</v>
      </c>
      <c r="H76" s="25" t="s">
        <v>64</v>
      </c>
      <c r="I76" s="10">
        <v>6.8438801825034716E-3</v>
      </c>
      <c r="J76" s="10">
        <v>6.8438801825034716E-3</v>
      </c>
      <c r="K76" s="10">
        <v>6.8438801825034716E-3</v>
      </c>
      <c r="L76" s="10">
        <v>6.8438801825034716E-3</v>
      </c>
      <c r="M76" s="10">
        <v>6.8438801825034716E-3</v>
      </c>
      <c r="N76" s="10">
        <v>6.8438801825034716E-3</v>
      </c>
      <c r="O76" s="10">
        <v>6.8438801825034716E-3</v>
      </c>
      <c r="P76" s="10">
        <v>6.8438801825034716E-3</v>
      </c>
      <c r="Q76" s="10">
        <v>6.8438801825034716E-3</v>
      </c>
      <c r="R76" s="10">
        <v>6.8438801825034716E-3</v>
      </c>
    </row>
    <row r="77" spans="1:25" ht="13.2" x14ac:dyDescent="0.25">
      <c r="A77" s="25"/>
      <c r="H77" s="25"/>
    </row>
    <row r="78" spans="1:25" ht="13.2" x14ac:dyDescent="0.25">
      <c r="A78" s="25" t="s">
        <v>65</v>
      </c>
      <c r="B78" s="10">
        <f>B13/'OAT Income Statement'!B$4</f>
        <v>5.7012497520333265E-2</v>
      </c>
      <c r="C78" s="10">
        <f>C13/'OAT Income Statement'!C$4</f>
        <v>5.6336239735884197E-2</v>
      </c>
      <c r="D78" s="10">
        <f>D13/'OAT Income Statement'!D$4</f>
        <v>5.3980382034073307E-2</v>
      </c>
      <c r="E78" s="10">
        <f>E13/'OAT Income Statement'!E$4</f>
        <v>5.1059672627948249E-2</v>
      </c>
      <c r="F78" s="10">
        <f>F13/'OAT Income Statement'!F$4</f>
        <v>5.2875552990959793E-2</v>
      </c>
      <c r="G78" s="162">
        <f>SUM(B78:F78)/5</f>
        <v>5.4252868981839765E-2</v>
      </c>
      <c r="H78" s="25" t="s">
        <v>65</v>
      </c>
      <c r="I78" s="10">
        <v>5.7012497520333265E-2</v>
      </c>
      <c r="J78" s="10">
        <v>5.7012497520333265E-2</v>
      </c>
      <c r="K78" s="10">
        <v>5.7012497520333265E-2</v>
      </c>
      <c r="L78" s="10">
        <v>5.7012497520333265E-2</v>
      </c>
      <c r="M78" s="10">
        <v>5.7012497520333265E-2</v>
      </c>
      <c r="N78" s="10">
        <v>5.7012497520333265E-2</v>
      </c>
      <c r="O78" s="10">
        <v>5.7012497520333265E-2</v>
      </c>
      <c r="P78" s="10">
        <v>5.7012497520333265E-2</v>
      </c>
      <c r="Q78" s="10">
        <v>5.7012497520333265E-2</v>
      </c>
      <c r="R78" s="10">
        <v>5.7012497520333265E-2</v>
      </c>
      <c r="S78" s="156" t="s">
        <v>295</v>
      </c>
    </row>
    <row r="79" spans="1:25" ht="13.2" x14ac:dyDescent="0.25">
      <c r="A79" s="25" t="s">
        <v>66</v>
      </c>
      <c r="B79" s="10">
        <f>B14/'OAT Income Statement'!B$4</f>
        <v>5.0327316008728425E-2</v>
      </c>
      <c r="C79" s="10">
        <f>C14/'OAT Income Statement'!C$4</f>
        <v>4.0844831964784563E-2</v>
      </c>
      <c r="D79" s="10">
        <f>D14/'OAT Income Statement'!D$4</f>
        <v>4.4625709860609188E-2</v>
      </c>
      <c r="E79" s="10">
        <f>E14/'OAT Income Statement'!E$4</f>
        <v>9.7095121319058161E-2</v>
      </c>
      <c r="F79" s="10">
        <f>F14/'OAT Income Statement'!F$4</f>
        <v>4.0276976341604154E-2</v>
      </c>
      <c r="G79" s="162">
        <f>SUM(B79:F79)/5</f>
        <v>5.4633991098956905E-2</v>
      </c>
      <c r="H79" s="25" t="s">
        <v>66</v>
      </c>
      <c r="I79" s="10">
        <v>5.0327316008728425E-2</v>
      </c>
      <c r="J79" s="10">
        <v>5.0327316008728425E-2</v>
      </c>
      <c r="K79" s="10">
        <v>5.0327316008728425E-2</v>
      </c>
      <c r="L79" s="10">
        <v>5.0327316008728425E-2</v>
      </c>
      <c r="M79" s="10">
        <v>5.0327316008728425E-2</v>
      </c>
      <c r="N79" s="10">
        <v>5.0327316008728425E-2</v>
      </c>
      <c r="O79" s="10">
        <v>5.0327316008728425E-2</v>
      </c>
      <c r="P79" s="10">
        <v>5.0327316008728425E-2</v>
      </c>
      <c r="Q79" s="10">
        <v>5.0327316008728425E-2</v>
      </c>
      <c r="R79" s="10">
        <v>5.0327316008728425E-2</v>
      </c>
    </row>
    <row r="80" spans="1:25" ht="13.2" x14ac:dyDescent="0.25">
      <c r="A80" s="25"/>
      <c r="H80" s="25"/>
    </row>
    <row r="81" spans="1:19" ht="13.2" x14ac:dyDescent="0.25">
      <c r="A81" s="25" t="s">
        <v>67</v>
      </c>
      <c r="B81" s="10">
        <f>B16/'OAT Income Statement'!B$4</f>
        <v>0.20109105336242811</v>
      </c>
      <c r="C81" s="10">
        <f>C16/'OAT Income Statement'!C$4</f>
        <v>0.21093287056632526</v>
      </c>
      <c r="D81" s="10">
        <f>D16/'OAT Income Statement'!D$4</f>
        <v>0.23025296850800206</v>
      </c>
      <c r="E81" s="10">
        <f>E16/'OAT Income Statement'!E$4</f>
        <v>0.22589070319197721</v>
      </c>
      <c r="F81" s="10">
        <f>F16/'OAT Income Statement'!F$4</f>
        <v>0.17112906328140029</v>
      </c>
      <c r="G81" s="162">
        <f>SUM(B81:F81)/5</f>
        <v>0.20785933178202659</v>
      </c>
      <c r="H81" s="25" t="s">
        <v>67</v>
      </c>
      <c r="I81" s="10">
        <f>SUM(I70:I79)</f>
        <v>0.25810355088276138</v>
      </c>
      <c r="J81" s="10">
        <f t="shared" ref="J81:R81" si="12">SUM(J70:J79)</f>
        <v>0.25810355088276138</v>
      </c>
      <c r="K81" s="10">
        <f t="shared" si="12"/>
        <v>0.25810355088276138</v>
      </c>
      <c r="L81" s="10">
        <f t="shared" si="12"/>
        <v>0.25810355088276138</v>
      </c>
      <c r="M81" s="10">
        <f t="shared" si="12"/>
        <v>0.25810355088276138</v>
      </c>
      <c r="N81" s="10">
        <f t="shared" si="12"/>
        <v>0.25810355088276138</v>
      </c>
      <c r="O81" s="10">
        <f t="shared" si="12"/>
        <v>0.25810355088276138</v>
      </c>
      <c r="P81" s="10">
        <f t="shared" si="12"/>
        <v>0.25810355088276138</v>
      </c>
      <c r="Q81" s="10">
        <f t="shared" si="12"/>
        <v>0.25810355088276138</v>
      </c>
      <c r="R81" s="10">
        <f t="shared" si="12"/>
        <v>0.25810355088276138</v>
      </c>
    </row>
    <row r="82" spans="1:19" ht="13.2" x14ac:dyDescent="0.25">
      <c r="A82" s="25" t="s">
        <v>68</v>
      </c>
      <c r="B82" s="10">
        <f>B17/'OAT Income Statement'!B$4</f>
        <v>0</v>
      </c>
      <c r="C82" s="10">
        <f>C17/'OAT Income Statement'!C$4</f>
        <v>0</v>
      </c>
      <c r="D82" s="10">
        <f>D17/'OAT Income Statement'!D$4</f>
        <v>0</v>
      </c>
      <c r="E82" s="10">
        <f>E17/'OAT Income Statement'!E$4</f>
        <v>0</v>
      </c>
      <c r="F82" s="10">
        <f>F17/'OAT Income Statement'!F$4</f>
        <v>0</v>
      </c>
      <c r="G82" s="162">
        <f>SUM(B82:F82)/5</f>
        <v>0</v>
      </c>
      <c r="H82" s="25" t="s">
        <v>68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9" ht="13.2" x14ac:dyDescent="0.25">
      <c r="A83" s="25" t="s">
        <v>69</v>
      </c>
      <c r="B83" s="10">
        <f>B18/'OAT Income Statement'!B$4</f>
        <v>5.3759174766911328E-3</v>
      </c>
      <c r="C83" s="10">
        <f>C18/'OAT Income Statement'!C$4</f>
        <v>5.9680013544400239E-3</v>
      </c>
      <c r="D83" s="10">
        <f>D18/'OAT Income Statement'!D$4</f>
        <v>4.9767681982447083E-3</v>
      </c>
      <c r="E83" s="10">
        <f>E18/'OAT Income Statement'!E$4</f>
        <v>5.8017824032537838E-3</v>
      </c>
      <c r="F83" s="10">
        <f>F18/'OAT Income Statement'!F$4</f>
        <v>5.6934025774187345E-3</v>
      </c>
      <c r="G83" s="162">
        <f>SUM(B83:F83)/5</f>
        <v>5.5631744020096761E-3</v>
      </c>
      <c r="H83" s="25" t="s">
        <v>69</v>
      </c>
      <c r="I83" s="10">
        <v>5.3759174766911328E-3</v>
      </c>
      <c r="J83" s="10">
        <v>5.3759174766911328E-3</v>
      </c>
      <c r="K83" s="10">
        <v>5.3759174766911328E-3</v>
      </c>
      <c r="L83" s="10">
        <v>5.3759174766911328E-3</v>
      </c>
      <c r="M83" s="10">
        <v>5.3759174766911328E-3</v>
      </c>
      <c r="N83" s="10">
        <v>5.3759174766911328E-3</v>
      </c>
      <c r="O83" s="10">
        <v>5.3759174766911328E-3</v>
      </c>
      <c r="P83" s="10">
        <v>5.3759174766911328E-3</v>
      </c>
      <c r="Q83" s="10">
        <v>5.3759174766911328E-3</v>
      </c>
      <c r="R83" s="10">
        <v>5.3759174766911328E-3</v>
      </c>
    </row>
    <row r="84" spans="1:19" ht="13.2" x14ac:dyDescent="0.25">
      <c r="A84" s="25" t="s">
        <v>70</v>
      </c>
      <c r="B84" s="10">
        <f>B19/'OAT Income Statement'!B$4</f>
        <v>8.5419559611188259E-2</v>
      </c>
      <c r="C84" s="10">
        <f>C19/'OAT Income Statement'!C$4</f>
        <v>8.6260899009565739E-2</v>
      </c>
      <c r="D84" s="10">
        <f>D19/'OAT Income Statement'!D$4</f>
        <v>8.0578213732576148E-2</v>
      </c>
      <c r="E84" s="10">
        <f>E19/'OAT Income Statement'!E$4</f>
        <v>8.3178818509878974E-2</v>
      </c>
      <c r="F84" s="10">
        <f>F19/'OAT Income Statement'!F$4</f>
        <v>7.4918253510290439E-2</v>
      </c>
      <c r="G84" s="162">
        <f>SUM(B84:F84)/5</f>
        <v>8.2071148874699906E-2</v>
      </c>
      <c r="H84" s="25" t="s">
        <v>70</v>
      </c>
      <c r="I84" s="10">
        <v>8.5419559611188259E-2</v>
      </c>
      <c r="J84" s="10">
        <v>8.5419559611188259E-2</v>
      </c>
      <c r="K84" s="10">
        <v>8.5419559611188259E-2</v>
      </c>
      <c r="L84" s="10">
        <v>8.5419559611188259E-2</v>
      </c>
      <c r="M84" s="10">
        <v>8.5419559611188259E-2</v>
      </c>
      <c r="N84" s="10">
        <v>8.5419559611188259E-2</v>
      </c>
      <c r="O84" s="10">
        <v>8.5419559611188259E-2</v>
      </c>
      <c r="P84" s="10">
        <v>8.5419559611188259E-2</v>
      </c>
      <c r="Q84" s="10">
        <v>8.5419559611188259E-2</v>
      </c>
      <c r="R84" s="10">
        <v>8.5419559611188259E-2</v>
      </c>
    </row>
    <row r="85" spans="1:19" ht="13.2" x14ac:dyDescent="0.25">
      <c r="A85" s="25" t="s">
        <v>71</v>
      </c>
      <c r="B85" s="10">
        <f>B20/'OAT Income Statement'!B$4</f>
        <v>0.29158897044237259</v>
      </c>
      <c r="C85" s="10">
        <f>C20/'OAT Income Statement'!C$4</f>
        <v>0.29969101836959283</v>
      </c>
      <c r="D85" s="10">
        <f>D20/'OAT Income Statement'!D$4</f>
        <v>0.29003613835828601</v>
      </c>
      <c r="E85" s="10">
        <f>E20/'OAT Income Statement'!E$4</f>
        <v>0.29244173295851028</v>
      </c>
      <c r="F85" s="10">
        <f>F20/'OAT Income Statement'!F$4</f>
        <v>0.2931717638007309</v>
      </c>
      <c r="G85" s="162">
        <f>SUM(B85:F85)/5</f>
        <v>0.29338592478589853</v>
      </c>
      <c r="H85" s="25" t="s">
        <v>71</v>
      </c>
      <c r="I85" s="10">
        <v>0.29158897044237259</v>
      </c>
      <c r="J85" s="10">
        <v>0.29158897044237259</v>
      </c>
      <c r="K85" s="10">
        <v>0.29158897044237259</v>
      </c>
      <c r="L85" s="10">
        <v>0.29158897044237259</v>
      </c>
      <c r="M85" s="10">
        <v>0.29158897044237259</v>
      </c>
      <c r="N85" s="10">
        <v>0.29158897044237259</v>
      </c>
      <c r="O85" s="10">
        <v>0.29158897044237259</v>
      </c>
      <c r="P85" s="10">
        <v>0.29158897044237259</v>
      </c>
      <c r="Q85" s="10">
        <v>0.29158897044237259</v>
      </c>
      <c r="R85" s="10">
        <v>0.29158897044237259</v>
      </c>
    </row>
    <row r="86" spans="1:19" ht="13.2" x14ac:dyDescent="0.25">
      <c r="A86" s="25"/>
      <c r="H86" s="25"/>
    </row>
    <row r="87" spans="1:19" ht="13.2" x14ac:dyDescent="0.25">
      <c r="A87" s="25" t="s">
        <v>72</v>
      </c>
      <c r="B87" s="10">
        <f>B22/'OAT Income Statement'!B$4</f>
        <v>0.38238444753025191</v>
      </c>
      <c r="C87" s="10">
        <f>C22/'OAT Income Statement'!C$4</f>
        <v>0.3919199187335986</v>
      </c>
      <c r="D87" s="10">
        <f>D22/'OAT Income Statement'!D$4</f>
        <v>0.37559112028910685</v>
      </c>
      <c r="E87" s="10">
        <f>E22/'OAT Income Statement'!E$4</f>
        <v>0.38142233387164304</v>
      </c>
      <c r="F87" s="10">
        <f>F22/'OAT Income Statement'!F$4</f>
        <v>0.37378341988844005</v>
      </c>
      <c r="G87" s="162">
        <f>SUM(B87:F87)/5</f>
        <v>0.38102024806260804</v>
      </c>
      <c r="H87" s="25" t="s">
        <v>72</v>
      </c>
      <c r="I87" s="10">
        <f>SUM(I82:I86)</f>
        <v>0.38238444753025197</v>
      </c>
      <c r="J87" s="10">
        <f t="shared" ref="J87:R87" si="13">SUM(J82:J86)</f>
        <v>0.38238444753025197</v>
      </c>
      <c r="K87" s="10">
        <f t="shared" si="13"/>
        <v>0.38238444753025197</v>
      </c>
      <c r="L87" s="10">
        <f t="shared" si="13"/>
        <v>0.38238444753025197</v>
      </c>
      <c r="M87" s="10">
        <f t="shared" si="13"/>
        <v>0.38238444753025197</v>
      </c>
      <c r="N87" s="10">
        <f t="shared" si="13"/>
        <v>0.38238444753025197</v>
      </c>
      <c r="O87" s="10">
        <f t="shared" si="13"/>
        <v>0.38238444753025197</v>
      </c>
      <c r="P87" s="10">
        <f t="shared" si="13"/>
        <v>0.38238444753025197</v>
      </c>
      <c r="Q87" s="10">
        <f t="shared" si="13"/>
        <v>0.38238444753025197</v>
      </c>
      <c r="R87" s="10">
        <f t="shared" si="13"/>
        <v>0.38238444753025197</v>
      </c>
    </row>
    <row r="88" spans="1:19" ht="13.2" x14ac:dyDescent="0.25">
      <c r="A88" s="25" t="s">
        <v>73</v>
      </c>
      <c r="B88" s="10">
        <f>B23/'OAT Income Statement'!B$4</f>
        <v>0.16020630827216822</v>
      </c>
      <c r="C88" s="10">
        <f>C23/'OAT Income Statement'!C$4</f>
        <v>0.1577076102598832</v>
      </c>
      <c r="D88" s="10">
        <f>D23/'OAT Income Statement'!D$4</f>
        <v>0.15458957150232319</v>
      </c>
      <c r="E88" s="10">
        <f>E23/'OAT Income Statement'!E$4</f>
        <v>0.14921147596546844</v>
      </c>
      <c r="F88" s="10">
        <f>F23/'OAT Income Statement'!F$4</f>
        <v>0.14283516060780921</v>
      </c>
      <c r="G88" s="162">
        <f>SUM(B88:F88)/5</f>
        <v>0.15291002532153047</v>
      </c>
      <c r="H88" s="25" t="s">
        <v>73</v>
      </c>
      <c r="I88" s="10">
        <v>0.16020630827216822</v>
      </c>
      <c r="J88" s="10">
        <v>0.16020630827216822</v>
      </c>
      <c r="K88" s="10">
        <v>0.16020630827216822</v>
      </c>
      <c r="L88" s="10">
        <v>0.16020630827216822</v>
      </c>
      <c r="M88" s="10">
        <v>0.16020630827216822</v>
      </c>
      <c r="N88" s="10">
        <v>0.16020630827216822</v>
      </c>
      <c r="O88" s="10">
        <v>0.16020630827216822</v>
      </c>
      <c r="P88" s="10">
        <v>0.16020630827216822</v>
      </c>
      <c r="Q88" s="10">
        <v>0.16020630827216822</v>
      </c>
      <c r="R88" s="10">
        <v>0.16020630827216822</v>
      </c>
    </row>
    <row r="89" spans="1:19" ht="13.2" x14ac:dyDescent="0.25">
      <c r="A89" s="25"/>
      <c r="H89" s="25"/>
    </row>
    <row r="90" spans="1:19" ht="13.2" x14ac:dyDescent="0.25">
      <c r="A90" s="25" t="s">
        <v>74</v>
      </c>
      <c r="B90" s="10">
        <f>B25/'OAT Income Statement'!B$4</f>
        <v>0.22217813925808372</v>
      </c>
      <c r="C90" s="10">
        <f>C25/'OAT Income Statement'!C$4</f>
        <v>0.23421230847371541</v>
      </c>
      <c r="D90" s="10">
        <f>D25/'OAT Income Statement'!D$4</f>
        <v>0.22100154878678369</v>
      </c>
      <c r="E90" s="10">
        <f>E25/'OAT Income Statement'!E$4</f>
        <v>0.23221085790617463</v>
      </c>
      <c r="F90" s="10">
        <f>F25/'OAT Income Statement'!F$4</f>
        <v>0.2309482592806309</v>
      </c>
      <c r="G90" s="162">
        <f>SUM(B90:F90)/5</f>
        <v>0.22811022274107767</v>
      </c>
      <c r="H90" s="25" t="s">
        <v>74</v>
      </c>
      <c r="I90" s="10">
        <f>$G90</f>
        <v>0.22811022274107767</v>
      </c>
      <c r="J90" s="10">
        <f t="shared" ref="J90:R92" si="14">$G90</f>
        <v>0.22811022274107767</v>
      </c>
      <c r="K90" s="10">
        <f t="shared" si="14"/>
        <v>0.22811022274107767</v>
      </c>
      <c r="L90" s="10">
        <f t="shared" si="14"/>
        <v>0.22811022274107767</v>
      </c>
      <c r="M90" s="10">
        <f t="shared" si="14"/>
        <v>0.22811022274107767</v>
      </c>
      <c r="N90" s="10">
        <f t="shared" si="14"/>
        <v>0.22811022274107767</v>
      </c>
      <c r="O90" s="10">
        <f t="shared" si="14"/>
        <v>0.22811022274107767</v>
      </c>
      <c r="P90" s="10">
        <f t="shared" si="14"/>
        <v>0.22811022274107767</v>
      </c>
      <c r="Q90" s="10">
        <f t="shared" si="14"/>
        <v>0.22811022274107767</v>
      </c>
      <c r="R90" s="10">
        <f t="shared" si="14"/>
        <v>0.22811022274107767</v>
      </c>
      <c r="S90" s="156" t="s">
        <v>291</v>
      </c>
    </row>
    <row r="91" spans="1:19" ht="13.2" x14ac:dyDescent="0.25">
      <c r="A91" s="25" t="s">
        <v>75</v>
      </c>
      <c r="B91" s="10">
        <f>B26/'OAT Income Statement'!B$4</f>
        <v>4.5467169212457845E-2</v>
      </c>
      <c r="C91" s="10">
        <f>C26/'OAT Income Statement'!C$4</f>
        <v>5.0135444002370272E-2</v>
      </c>
      <c r="D91" s="10">
        <f>D26/'OAT Income Statement'!D$4</f>
        <v>5.0738255033557042E-2</v>
      </c>
      <c r="E91" s="10">
        <f>E26/'OAT Income Statement'!E$4</f>
        <v>6.9880574994517219E-2</v>
      </c>
      <c r="F91" s="10">
        <f>F26/'OAT Income Statement'!F$4</f>
        <v>0.43031352183112132</v>
      </c>
      <c r="G91" s="162">
        <f>AVERAGE(B91:E91)</f>
        <v>5.4055360810725595E-2</v>
      </c>
      <c r="H91" s="25" t="s">
        <v>75</v>
      </c>
      <c r="I91" s="10">
        <f>$G91</f>
        <v>5.4055360810725595E-2</v>
      </c>
      <c r="J91" s="10">
        <f t="shared" si="14"/>
        <v>5.4055360810725595E-2</v>
      </c>
      <c r="K91" s="10">
        <f t="shared" si="14"/>
        <v>5.4055360810725595E-2</v>
      </c>
      <c r="L91" s="10">
        <f t="shared" si="14"/>
        <v>5.4055360810725595E-2</v>
      </c>
      <c r="M91" s="10">
        <f t="shared" si="14"/>
        <v>5.4055360810725595E-2</v>
      </c>
      <c r="N91" s="10">
        <f t="shared" si="14"/>
        <v>5.4055360810725595E-2</v>
      </c>
      <c r="O91" s="10">
        <f t="shared" si="14"/>
        <v>5.4055360810725595E-2</v>
      </c>
      <c r="P91" s="10">
        <f t="shared" si="14"/>
        <v>5.4055360810725595E-2</v>
      </c>
      <c r="Q91" s="10">
        <f t="shared" si="14"/>
        <v>5.4055360810725595E-2</v>
      </c>
      <c r="R91" s="10">
        <f t="shared" si="14"/>
        <v>5.4055360810725595E-2</v>
      </c>
      <c r="S91" s="156" t="s">
        <v>296</v>
      </c>
    </row>
    <row r="92" spans="1:19" ht="13.2" x14ac:dyDescent="0.25">
      <c r="A92" s="25" t="s">
        <v>76</v>
      </c>
      <c r="B92" s="10">
        <f>B27/'OAT Income Statement'!B$4</f>
        <v>1.1089069629041857E-2</v>
      </c>
      <c r="C92" s="10">
        <f>C27/'OAT Income Statement'!C$4</f>
        <v>1.1830187082028274E-2</v>
      </c>
      <c r="D92" s="10">
        <f>D27/'OAT Income Statement'!D$4</f>
        <v>1.6396489416623646E-2</v>
      </c>
      <c r="E92" s="10">
        <f>E27/'OAT Income Statement'!E$4</f>
        <v>9.7294495284805712E-3</v>
      </c>
      <c r="F92" s="10">
        <f>F27/'OAT Income Statement'!F$4</f>
        <v>1.2848624735526061E-2</v>
      </c>
      <c r="G92" s="162">
        <f>SUM(B92:F92)/5</f>
        <v>1.2378764078340081E-2</v>
      </c>
      <c r="H92" s="25" t="s">
        <v>76</v>
      </c>
      <c r="I92" s="10">
        <f>$G92</f>
        <v>1.2378764078340081E-2</v>
      </c>
      <c r="J92" s="10">
        <f t="shared" si="14"/>
        <v>1.2378764078340081E-2</v>
      </c>
      <c r="K92" s="10">
        <f t="shared" si="14"/>
        <v>1.2378764078340081E-2</v>
      </c>
      <c r="L92" s="10">
        <f t="shared" si="14"/>
        <v>1.2378764078340081E-2</v>
      </c>
      <c r="M92" s="10">
        <f t="shared" si="14"/>
        <v>1.2378764078340081E-2</v>
      </c>
      <c r="N92" s="10">
        <f t="shared" si="14"/>
        <v>1.2378764078340081E-2</v>
      </c>
      <c r="O92" s="10">
        <f t="shared" si="14"/>
        <v>1.2378764078340081E-2</v>
      </c>
      <c r="P92" s="10">
        <f t="shared" si="14"/>
        <v>1.2378764078340081E-2</v>
      </c>
      <c r="Q92" s="10">
        <f t="shared" si="14"/>
        <v>1.2378764078340081E-2</v>
      </c>
      <c r="R92" s="10">
        <f t="shared" si="14"/>
        <v>1.2378764078340081E-2</v>
      </c>
      <c r="S92" s="156" t="s">
        <v>291</v>
      </c>
    </row>
    <row r="93" spans="1:19" ht="13.2" x14ac:dyDescent="0.25">
      <c r="A93" s="25"/>
      <c r="H93" s="25"/>
    </row>
    <row r="94" spans="1:19" ht="13.2" x14ac:dyDescent="0.25">
      <c r="A94" s="25" t="s">
        <v>77</v>
      </c>
      <c r="B94" s="10">
        <f>B29/'OAT Income Statement'!B$4</f>
        <v>0.47982543146201156</v>
      </c>
      <c r="C94" s="10">
        <f>C29/'OAT Income Statement'!C$4</f>
        <v>0.50711081012443915</v>
      </c>
      <c r="D94" s="10">
        <f>D29/'OAT Income Statement'!D$4</f>
        <v>0.51838926174496647</v>
      </c>
      <c r="E94" s="10">
        <f>E29/'OAT Income Statement'!E$4</f>
        <v>0.53771158562114962</v>
      </c>
      <c r="F94" s="10">
        <f>F29/'OAT Income Statement'!F$4</f>
        <v>0.84523946912867853</v>
      </c>
      <c r="G94" s="162">
        <f>SUM(B94:F94)/5</f>
        <v>0.57765531161624906</v>
      </c>
      <c r="H94" s="25" t="s">
        <v>77</v>
      </c>
      <c r="I94" s="10">
        <f>I90+I91+I92+I81</f>
        <v>0.55264789851290474</v>
      </c>
      <c r="J94" s="10">
        <f t="shared" ref="J94:R94" si="15">J90+J91+J92+J81</f>
        <v>0.55264789851290474</v>
      </c>
      <c r="K94" s="10">
        <f t="shared" si="15"/>
        <v>0.55264789851290474</v>
      </c>
      <c r="L94" s="10">
        <f t="shared" si="15"/>
        <v>0.55264789851290474</v>
      </c>
      <c r="M94" s="10">
        <f t="shared" si="15"/>
        <v>0.55264789851290474</v>
      </c>
      <c r="N94" s="10">
        <f t="shared" si="15"/>
        <v>0.55264789851290474</v>
      </c>
      <c r="O94" s="10">
        <f t="shared" si="15"/>
        <v>0.55264789851290474</v>
      </c>
      <c r="P94" s="10">
        <f t="shared" si="15"/>
        <v>0.55264789851290474</v>
      </c>
      <c r="Q94" s="10">
        <f t="shared" si="15"/>
        <v>0.55264789851290474</v>
      </c>
      <c r="R94" s="10">
        <f t="shared" si="15"/>
        <v>0.55264789851290474</v>
      </c>
    </row>
    <row r="95" spans="1:19" ht="13.2" x14ac:dyDescent="0.25">
      <c r="A95" s="25"/>
      <c r="H95" s="25"/>
    </row>
    <row r="96" spans="1:19" ht="13.2" x14ac:dyDescent="0.25">
      <c r="A96" s="25" t="s">
        <v>78</v>
      </c>
      <c r="B96" s="10"/>
      <c r="H96" s="25" t="s">
        <v>78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9" ht="13.2" x14ac:dyDescent="0.25">
      <c r="A97" s="25" t="s">
        <v>79</v>
      </c>
      <c r="H97" s="25" t="s">
        <v>79</v>
      </c>
    </row>
    <row r="98" spans="1:19" ht="13.2" x14ac:dyDescent="0.25">
      <c r="A98" s="25" t="s">
        <v>80</v>
      </c>
      <c r="B98" s="10">
        <f>B33/'OAT Income Statement'!B$4</f>
        <v>1.6187264431660384E-2</v>
      </c>
      <c r="C98" s="10">
        <f>C33/'OAT Income Statement'!C$4</f>
        <v>1.551257089646999E-2</v>
      </c>
      <c r="D98" s="10">
        <f>D33/'OAT Income Statement'!D$4</f>
        <v>8.528652555498192E-3</v>
      </c>
      <c r="E98" s="10">
        <f>E33/'OAT Income Statement'!E$4</f>
        <v>1.2161811910600714E-2</v>
      </c>
      <c r="F98" s="10">
        <f>F33/'OAT Income Statement'!F$4</f>
        <v>9.9442200423158295E-2</v>
      </c>
      <c r="G98" s="162">
        <f>AVERAGE(B98:E98)</f>
        <v>1.309757494855732E-2</v>
      </c>
      <c r="H98" s="25" t="s">
        <v>80</v>
      </c>
      <c r="I98" s="10">
        <f>$G98</f>
        <v>1.309757494855732E-2</v>
      </c>
      <c r="J98" s="10">
        <f t="shared" ref="J98:R101" si="16">$G98</f>
        <v>1.309757494855732E-2</v>
      </c>
      <c r="K98" s="10">
        <f t="shared" si="16"/>
        <v>1.309757494855732E-2</v>
      </c>
      <c r="L98" s="10">
        <f t="shared" si="16"/>
        <v>1.309757494855732E-2</v>
      </c>
      <c r="M98" s="10">
        <f t="shared" si="16"/>
        <v>1.309757494855732E-2</v>
      </c>
      <c r="N98" s="10">
        <f t="shared" si="16"/>
        <v>1.309757494855732E-2</v>
      </c>
      <c r="O98" s="10">
        <f t="shared" si="16"/>
        <v>1.309757494855732E-2</v>
      </c>
      <c r="P98" s="10">
        <f t="shared" si="16"/>
        <v>1.309757494855732E-2</v>
      </c>
      <c r="Q98" s="10">
        <f t="shared" si="16"/>
        <v>1.309757494855732E-2</v>
      </c>
      <c r="R98" s="10">
        <f t="shared" si="16"/>
        <v>1.309757494855732E-2</v>
      </c>
      <c r="S98" s="156" t="s">
        <v>297</v>
      </c>
    </row>
    <row r="99" spans="1:19" ht="13.2" x14ac:dyDescent="0.25">
      <c r="A99" s="25" t="s">
        <v>81</v>
      </c>
      <c r="B99" s="10">
        <f>B34/'OAT Income Statement'!B$4</f>
        <v>9.5219202539178743E-3</v>
      </c>
      <c r="C99" s="10">
        <f>C34/'OAT Income Statement'!C$4</f>
        <v>1.7184457800728012E-2</v>
      </c>
      <c r="D99" s="10">
        <f>D34/'OAT Income Statement'!D$4</f>
        <v>1.9659266907589054E-2</v>
      </c>
      <c r="E99" s="10">
        <f>E34/'OAT Income Statement'!E$4</f>
        <v>2.1612137887034713E-2</v>
      </c>
      <c r="F99" s="10">
        <f>F34/'OAT Income Statement'!F$4</f>
        <v>9.8288132333140994E-3</v>
      </c>
      <c r="G99" s="162">
        <f t="shared" ref="G99:G104" si="17">SUM(B99:F99)/5</f>
        <v>1.556131921651675E-2</v>
      </c>
      <c r="H99" s="25" t="s">
        <v>81</v>
      </c>
      <c r="I99" s="10">
        <f>$G99</f>
        <v>1.556131921651675E-2</v>
      </c>
      <c r="J99" s="10">
        <f t="shared" si="16"/>
        <v>1.556131921651675E-2</v>
      </c>
      <c r="K99" s="10">
        <f t="shared" si="16"/>
        <v>1.556131921651675E-2</v>
      </c>
      <c r="L99" s="10">
        <f t="shared" si="16"/>
        <v>1.556131921651675E-2</v>
      </c>
      <c r="M99" s="10">
        <f t="shared" si="16"/>
        <v>1.556131921651675E-2</v>
      </c>
      <c r="N99" s="10">
        <f t="shared" si="16"/>
        <v>1.556131921651675E-2</v>
      </c>
      <c r="O99" s="10">
        <f t="shared" si="16"/>
        <v>1.556131921651675E-2</v>
      </c>
      <c r="P99" s="10">
        <f t="shared" si="16"/>
        <v>1.556131921651675E-2</v>
      </c>
      <c r="Q99" s="10">
        <f t="shared" si="16"/>
        <v>1.556131921651675E-2</v>
      </c>
      <c r="R99" s="10">
        <f t="shared" si="16"/>
        <v>1.556131921651675E-2</v>
      </c>
      <c r="S99" s="156" t="s">
        <v>298</v>
      </c>
    </row>
    <row r="100" spans="1:19" ht="13.2" x14ac:dyDescent="0.25">
      <c r="A100" s="25" t="s">
        <v>82</v>
      </c>
      <c r="B100" s="10">
        <f>B35/'OAT Income Statement'!B$4</f>
        <v>4.2114659789724264E-2</v>
      </c>
      <c r="C100" s="10">
        <f>C35/'OAT Income Statement'!C$4</f>
        <v>4.5204435791077628E-2</v>
      </c>
      <c r="D100" s="10">
        <f>D35/'OAT Income Statement'!D$4</f>
        <v>3.4775425916365517E-2</v>
      </c>
      <c r="E100" s="10">
        <f>E35/'OAT Income Statement'!E$4</f>
        <v>3.8140239647506832E-2</v>
      </c>
      <c r="F100" s="10">
        <f>F35/'OAT Income Statement'!F$4</f>
        <v>4.0430852086939792E-2</v>
      </c>
      <c r="G100" s="162">
        <f t="shared" si="17"/>
        <v>4.0133122646322808E-2</v>
      </c>
      <c r="H100" s="25" t="s">
        <v>82</v>
      </c>
      <c r="I100" s="10">
        <f>$G100</f>
        <v>4.0133122646322808E-2</v>
      </c>
      <c r="J100" s="10">
        <f t="shared" si="16"/>
        <v>4.0133122646322808E-2</v>
      </c>
      <c r="K100" s="10">
        <f t="shared" si="16"/>
        <v>4.0133122646322808E-2</v>
      </c>
      <c r="L100" s="10">
        <f t="shared" si="16"/>
        <v>4.0133122646322808E-2</v>
      </c>
      <c r="M100" s="10">
        <f t="shared" si="16"/>
        <v>4.0133122646322808E-2</v>
      </c>
      <c r="N100" s="10">
        <f t="shared" si="16"/>
        <v>4.0133122646322808E-2</v>
      </c>
      <c r="O100" s="10">
        <f t="shared" si="16"/>
        <v>4.0133122646322808E-2</v>
      </c>
      <c r="P100" s="10">
        <f t="shared" si="16"/>
        <v>4.0133122646322808E-2</v>
      </c>
      <c r="Q100" s="10">
        <f t="shared" si="16"/>
        <v>4.0133122646322808E-2</v>
      </c>
      <c r="R100" s="10">
        <f t="shared" si="16"/>
        <v>4.0133122646322808E-2</v>
      </c>
      <c r="S100" s="156" t="s">
        <v>298</v>
      </c>
    </row>
    <row r="101" spans="1:19" ht="13.2" x14ac:dyDescent="0.25">
      <c r="A101" s="25" t="s">
        <v>83</v>
      </c>
      <c r="B101" s="10">
        <f>B36/'OAT Income Statement'!B$4</f>
        <v>2.695893671890498E-2</v>
      </c>
      <c r="C101" s="10">
        <f>C36/'OAT Income Statement'!C$4</f>
        <v>2.943790739016338E-2</v>
      </c>
      <c r="D101" s="10">
        <f>D36/'OAT Income Statement'!D$4</f>
        <v>2.7134744450180694E-2</v>
      </c>
      <c r="E101" s="10">
        <f>E36/'OAT Income Statement'!E$4</f>
        <v>2.6377175668401222E-2</v>
      </c>
      <c r="F101" s="10">
        <f>F36/'OAT Income Statement'!F$4</f>
        <v>2.140796306982112E-2</v>
      </c>
      <c r="G101" s="162">
        <f t="shared" si="17"/>
        <v>2.626334545949428E-2</v>
      </c>
      <c r="H101" s="25" t="s">
        <v>83</v>
      </c>
      <c r="I101" s="10">
        <f>$G101</f>
        <v>2.626334545949428E-2</v>
      </c>
      <c r="J101" s="10">
        <f t="shared" si="16"/>
        <v>2.626334545949428E-2</v>
      </c>
      <c r="K101" s="10">
        <f t="shared" si="16"/>
        <v>2.626334545949428E-2</v>
      </c>
      <c r="L101" s="10">
        <f t="shared" si="16"/>
        <v>2.626334545949428E-2</v>
      </c>
      <c r="M101" s="10">
        <f t="shared" si="16"/>
        <v>2.626334545949428E-2</v>
      </c>
      <c r="N101" s="10">
        <f t="shared" si="16"/>
        <v>2.626334545949428E-2</v>
      </c>
      <c r="O101" s="10">
        <f t="shared" si="16"/>
        <v>2.626334545949428E-2</v>
      </c>
      <c r="P101" s="10">
        <f t="shared" si="16"/>
        <v>2.626334545949428E-2</v>
      </c>
      <c r="Q101" s="10">
        <f t="shared" si="16"/>
        <v>2.626334545949428E-2</v>
      </c>
      <c r="R101" s="10">
        <f t="shared" si="16"/>
        <v>2.626334545949428E-2</v>
      </c>
      <c r="S101" s="156" t="s">
        <v>298</v>
      </c>
    </row>
    <row r="102" spans="1:19" ht="13.2" x14ac:dyDescent="0.25">
      <c r="A102" s="25" t="s">
        <v>84</v>
      </c>
      <c r="B102" s="10">
        <f>B37/'OAT Income Statement'!B$4</f>
        <v>2.513390200357072E-2</v>
      </c>
      <c r="C102" s="10">
        <f>C37/'OAT Income Statement'!C$4</f>
        <v>2.935325488868196E-2</v>
      </c>
      <c r="D102" s="10">
        <f>D37/'OAT Income Statement'!D$4</f>
        <v>2.5937016004130096E-2</v>
      </c>
      <c r="E102" s="10">
        <f>E37/'OAT Income Statement'!E$4</f>
        <v>2.4522997786948979E-2</v>
      </c>
      <c r="F102" s="10">
        <f>F37/'OAT Income Statement'!F$4</f>
        <v>2.5043277553375647E-2</v>
      </c>
      <c r="G102" s="162">
        <f t="shared" si="17"/>
        <v>2.5998089647341481E-2</v>
      </c>
      <c r="H102" s="25" t="s">
        <v>84</v>
      </c>
      <c r="I102" s="10">
        <f t="shared" ref="I102:R104" si="18">$G102</f>
        <v>2.5998089647341481E-2</v>
      </c>
      <c r="J102" s="10">
        <f t="shared" si="18"/>
        <v>2.5998089647341481E-2</v>
      </c>
      <c r="K102" s="10">
        <f t="shared" si="18"/>
        <v>2.5998089647341481E-2</v>
      </c>
      <c r="L102" s="10">
        <f t="shared" si="18"/>
        <v>2.5998089647341481E-2</v>
      </c>
      <c r="M102" s="10">
        <f t="shared" si="18"/>
        <v>2.5998089647341481E-2</v>
      </c>
      <c r="N102" s="10">
        <f t="shared" si="18"/>
        <v>2.5998089647341481E-2</v>
      </c>
      <c r="O102" s="10">
        <f t="shared" si="18"/>
        <v>2.5998089647341481E-2</v>
      </c>
      <c r="P102" s="10">
        <f t="shared" si="18"/>
        <v>2.5998089647341481E-2</v>
      </c>
      <c r="Q102" s="10">
        <f t="shared" si="18"/>
        <v>2.5998089647341481E-2</v>
      </c>
      <c r="R102" s="10">
        <f t="shared" si="18"/>
        <v>2.5998089647341481E-2</v>
      </c>
      <c r="S102" s="156" t="s">
        <v>298</v>
      </c>
    </row>
    <row r="103" spans="1:19" ht="13.2" x14ac:dyDescent="0.25">
      <c r="A103" s="25" t="s">
        <v>85</v>
      </c>
      <c r="B103" s="10">
        <f>B38/'OAT Income Statement'!B$4</f>
        <v>3.0946240825233087E-3</v>
      </c>
      <c r="C103" s="10">
        <f>C38/'OAT Income Statement'!C$4</f>
        <v>8.4864132735122336E-3</v>
      </c>
      <c r="D103" s="10">
        <f>D38/'OAT Income Statement'!D$4</f>
        <v>1.3154362416107384E-2</v>
      </c>
      <c r="E103" s="10">
        <f>E38/'OAT Income Statement'!E$4</f>
        <v>1.4713798672169388E-2</v>
      </c>
      <c r="F103" s="10">
        <f>F38/'OAT Income Statement'!F$4</f>
        <v>8.1554145027889977E-3</v>
      </c>
      <c r="G103" s="162">
        <f t="shared" si="17"/>
        <v>9.520922589420262E-3</v>
      </c>
      <c r="H103" s="25" t="s">
        <v>85</v>
      </c>
      <c r="I103" s="10">
        <f t="shared" si="18"/>
        <v>9.520922589420262E-3</v>
      </c>
      <c r="J103" s="10">
        <f t="shared" si="18"/>
        <v>9.520922589420262E-3</v>
      </c>
      <c r="K103" s="10">
        <f t="shared" si="18"/>
        <v>9.520922589420262E-3</v>
      </c>
      <c r="L103" s="10">
        <f t="shared" si="18"/>
        <v>9.520922589420262E-3</v>
      </c>
      <c r="M103" s="10">
        <f t="shared" si="18"/>
        <v>9.520922589420262E-3</v>
      </c>
      <c r="N103" s="10">
        <f t="shared" si="18"/>
        <v>9.520922589420262E-3</v>
      </c>
      <c r="O103" s="10">
        <f t="shared" si="18"/>
        <v>9.520922589420262E-3</v>
      </c>
      <c r="P103" s="10">
        <f t="shared" si="18"/>
        <v>9.520922589420262E-3</v>
      </c>
      <c r="Q103" s="10">
        <f t="shared" si="18"/>
        <v>9.520922589420262E-3</v>
      </c>
      <c r="R103" s="10">
        <f t="shared" si="18"/>
        <v>9.520922589420262E-3</v>
      </c>
      <c r="S103" s="156" t="s">
        <v>298</v>
      </c>
    </row>
    <row r="104" spans="1:19" ht="13.2" x14ac:dyDescent="0.25">
      <c r="A104" s="25" t="s">
        <v>86</v>
      </c>
      <c r="B104" s="10">
        <f>B39/'OAT Income Statement'!B$4</f>
        <v>4.7669113271176358E-2</v>
      </c>
      <c r="C104" s="10">
        <f>C39/'OAT Income Statement'!C$4</f>
        <v>5.3394565309404896E-2</v>
      </c>
      <c r="D104" s="10">
        <f>D39/'OAT Income Statement'!D$4</f>
        <v>7.9194630872483227E-2</v>
      </c>
      <c r="E104" s="10">
        <f>E39/'OAT Income Statement'!E$4</f>
        <v>5.1019797834798736E-2</v>
      </c>
      <c r="F104" s="10">
        <f>F39/'OAT Income Statement'!F$4</f>
        <v>5.6260819388343909E-2</v>
      </c>
      <c r="G104" s="162">
        <f t="shared" si="17"/>
        <v>5.7507785335241424E-2</v>
      </c>
      <c r="H104" s="25" t="s">
        <v>86</v>
      </c>
      <c r="I104" s="10">
        <f t="shared" si="18"/>
        <v>5.7507785335241424E-2</v>
      </c>
      <c r="J104" s="10">
        <f t="shared" si="18"/>
        <v>5.7507785335241424E-2</v>
      </c>
      <c r="K104" s="10">
        <f t="shared" si="18"/>
        <v>5.7507785335241424E-2</v>
      </c>
      <c r="L104" s="10">
        <f t="shared" si="18"/>
        <v>5.7507785335241424E-2</v>
      </c>
      <c r="M104" s="10">
        <f t="shared" si="18"/>
        <v>5.7507785335241424E-2</v>
      </c>
      <c r="N104" s="10">
        <f t="shared" si="18"/>
        <v>5.7507785335241424E-2</v>
      </c>
      <c r="O104" s="10">
        <f t="shared" si="18"/>
        <v>5.7507785335241424E-2</v>
      </c>
      <c r="P104" s="10">
        <f t="shared" si="18"/>
        <v>5.7507785335241424E-2</v>
      </c>
      <c r="Q104" s="10">
        <f t="shared" si="18"/>
        <v>5.7507785335241424E-2</v>
      </c>
      <c r="R104" s="10">
        <f t="shared" si="18"/>
        <v>5.7507785335241424E-2</v>
      </c>
      <c r="S104" s="156" t="s">
        <v>298</v>
      </c>
    </row>
    <row r="105" spans="1:19" ht="13.2" x14ac:dyDescent="0.25">
      <c r="A105" s="25"/>
      <c r="H105" s="25"/>
    </row>
    <row r="106" spans="1:19" ht="13.2" x14ac:dyDescent="0.25">
      <c r="A106" s="25" t="s">
        <v>87</v>
      </c>
      <c r="B106" s="10">
        <f>B41/'OAT Income Statement'!B$4</f>
        <v>0.17068042055147789</v>
      </c>
      <c r="C106" s="10">
        <f>C41/'OAT Income Statement'!C$4</f>
        <v>0.1985736053500381</v>
      </c>
      <c r="D106" s="10">
        <f>D41/'OAT Income Statement'!D$4</f>
        <v>0.20838409912235417</v>
      </c>
      <c r="E106" s="10">
        <f>E41/'OAT Income Statement'!E$4</f>
        <v>0.18854795940746058</v>
      </c>
      <c r="F106" s="10">
        <f>F41/'OAT Income Statement'!F$4</f>
        <v>0.26056934025774187</v>
      </c>
      <c r="G106" s="162">
        <f>SUM(B106:F106)/5</f>
        <v>0.20535108493781454</v>
      </c>
      <c r="H106" s="25" t="s">
        <v>87</v>
      </c>
      <c r="I106" s="10">
        <v>0.17068042055147789</v>
      </c>
      <c r="J106" s="10">
        <v>0.17068042055147789</v>
      </c>
      <c r="K106" s="10">
        <v>0.17068042055147789</v>
      </c>
      <c r="L106" s="10">
        <v>0.17068042055147789</v>
      </c>
      <c r="M106" s="10">
        <f t="shared" ref="M106:R106" si="19">SUM(M98:M104)</f>
        <v>0.18808215984289431</v>
      </c>
      <c r="N106" s="10">
        <f t="shared" si="19"/>
        <v>0.18808215984289431</v>
      </c>
      <c r="O106" s="10">
        <f t="shared" si="19"/>
        <v>0.18808215984289431</v>
      </c>
      <c r="P106" s="10">
        <f t="shared" si="19"/>
        <v>0.18808215984289431</v>
      </c>
      <c r="Q106" s="10">
        <f t="shared" si="19"/>
        <v>0.18808215984289431</v>
      </c>
      <c r="R106" s="10">
        <f t="shared" si="19"/>
        <v>0.18808215984289431</v>
      </c>
    </row>
    <row r="107" spans="1:19" ht="13.2" x14ac:dyDescent="0.25">
      <c r="A107" s="25" t="s">
        <v>88</v>
      </c>
      <c r="B107" s="10">
        <f>B42/'OAT Income Statement'!B$4</f>
        <v>0.13173973417972626</v>
      </c>
      <c r="C107" s="10">
        <f>C42/'OAT Income Statement'!C$4</f>
        <v>0.15131634639803607</v>
      </c>
      <c r="D107" s="10">
        <f>D42/'OAT Income Statement'!D$4</f>
        <v>0.16419204956117708</v>
      </c>
      <c r="E107" s="10">
        <f>E42/'OAT Income Statement'!E$4</f>
        <v>0.17696433199752779</v>
      </c>
      <c r="F107" s="10">
        <f>F42/'OAT Income Statement'!F$4</f>
        <v>0.19109444123869976</v>
      </c>
      <c r="G107" s="162">
        <f>SUM(B107:F107)/5</f>
        <v>0.1630613806750334</v>
      </c>
      <c r="H107" s="25" t="s">
        <v>88</v>
      </c>
      <c r="I107" s="10">
        <v>0.13173973417972626</v>
      </c>
      <c r="J107" s="10">
        <v>0.13173973417972626</v>
      </c>
      <c r="K107" s="10">
        <v>0.13173973417972626</v>
      </c>
      <c r="L107" s="10">
        <v>0.13173973417972626</v>
      </c>
      <c r="M107" s="10">
        <v>0.13173973417972626</v>
      </c>
      <c r="N107" s="10">
        <v>0.13173973417972626</v>
      </c>
      <c r="O107" s="10">
        <v>0.13173973417972626</v>
      </c>
      <c r="P107" s="10">
        <v>0.13173973417972626</v>
      </c>
      <c r="Q107" s="10">
        <v>0.13173973417972626</v>
      </c>
      <c r="R107" s="10">
        <v>0.13173973417972626</v>
      </c>
    </row>
    <row r="108" spans="1:19" ht="13.2" x14ac:dyDescent="0.25">
      <c r="A108" s="25" t="s">
        <v>89</v>
      </c>
      <c r="B108" s="10">
        <f>B43/'OAT Income Statement'!B$4</f>
        <v>0.10275738940686371</v>
      </c>
      <c r="C108" s="10">
        <f>C43/'OAT Income Statement'!C$4</f>
        <v>0.11070430881232542</v>
      </c>
      <c r="D108" s="10">
        <f>D43/'OAT Income Statement'!D$4</f>
        <v>0.11014971605575632</v>
      </c>
      <c r="E108" s="10">
        <f>E43/'OAT Income Statement'!E$4</f>
        <v>0.11541758877125825</v>
      </c>
      <c r="F108" s="10">
        <f>F43/'OAT Income Statement'!F$4</f>
        <v>0.10750144258511252</v>
      </c>
      <c r="G108" s="162">
        <f>SUM(B108:F108)/5</f>
        <v>0.10930608912626325</v>
      </c>
      <c r="H108" s="25" t="s">
        <v>89</v>
      </c>
      <c r="I108" s="10">
        <f t="shared" ref="I108:R108" si="20">$G108</f>
        <v>0.10930608912626325</v>
      </c>
      <c r="J108" s="10">
        <f t="shared" si="20"/>
        <v>0.10930608912626325</v>
      </c>
      <c r="K108" s="10">
        <f t="shared" si="20"/>
        <v>0.10930608912626325</v>
      </c>
      <c r="L108" s="10">
        <f t="shared" si="20"/>
        <v>0.10930608912626325</v>
      </c>
      <c r="M108" s="10">
        <f t="shared" si="20"/>
        <v>0.10930608912626325</v>
      </c>
      <c r="N108" s="10">
        <f t="shared" si="20"/>
        <v>0.10930608912626325</v>
      </c>
      <c r="O108" s="10">
        <f t="shared" si="20"/>
        <v>0.10930608912626325</v>
      </c>
      <c r="P108" s="10">
        <f t="shared" si="20"/>
        <v>0.10930608912626325</v>
      </c>
      <c r="Q108" s="10">
        <f t="shared" si="20"/>
        <v>0.10930608912626325</v>
      </c>
      <c r="R108" s="10">
        <f t="shared" si="20"/>
        <v>0.10930608912626325</v>
      </c>
      <c r="S108" s="156" t="s">
        <v>298</v>
      </c>
    </row>
    <row r="109" spans="1:19" ht="13.2" x14ac:dyDescent="0.25">
      <c r="A109" s="25" t="s">
        <v>104</v>
      </c>
      <c r="C109" s="10"/>
      <c r="H109" s="25" t="s">
        <v>104</v>
      </c>
    </row>
    <row r="110" spans="1:19" ht="13.2" x14ac:dyDescent="0.25">
      <c r="A110" s="25" t="s">
        <v>90</v>
      </c>
      <c r="B110" s="10"/>
      <c r="C110" s="10"/>
      <c r="H110" s="25" t="s">
        <v>90</v>
      </c>
      <c r="I110" s="10"/>
    </row>
    <row r="111" spans="1:19" ht="13.2" x14ac:dyDescent="0.25">
      <c r="A111" s="25" t="s">
        <v>91</v>
      </c>
      <c r="C111" s="10"/>
      <c r="H111" s="25" t="s">
        <v>91</v>
      </c>
    </row>
    <row r="112" spans="1:19" ht="13.2" x14ac:dyDescent="0.25">
      <c r="A112" s="25" t="s">
        <v>105</v>
      </c>
      <c r="B112" s="10">
        <f>B47/'OAT Income Statement'!B$4</f>
        <v>1.9837333862328901E-2</v>
      </c>
      <c r="C112" s="10">
        <f>C47/'OAT Income Statement'!C$4</f>
        <v>2.1163125370354696E-2</v>
      </c>
      <c r="D112" s="10">
        <f>D47/'OAT Income Statement'!D$4</f>
        <v>2.0650490449148167E-2</v>
      </c>
      <c r="E112" s="10">
        <f>E47/'OAT Income Statement'!E$4</f>
        <v>1.9937396574755271E-2</v>
      </c>
      <c r="F112" s="10">
        <f>F47/'OAT Income Statement'!F$4</f>
        <v>1.9234468166955183E-2</v>
      </c>
      <c r="G112" s="162">
        <f>SUM(B112:F112)/5</f>
        <v>2.0164562884708442E-2</v>
      </c>
      <c r="H112" s="25" t="s">
        <v>105</v>
      </c>
      <c r="I112" s="10">
        <v>1.9837333862328901E-2</v>
      </c>
      <c r="J112" s="10">
        <v>1.9837333862328901E-2</v>
      </c>
      <c r="K112" s="10">
        <v>1.9837333862328901E-2</v>
      </c>
      <c r="L112" s="10">
        <v>1.9837333862328901E-2</v>
      </c>
      <c r="M112" s="10">
        <v>1.9837333862328901E-2</v>
      </c>
      <c r="N112" s="10">
        <v>1.9837333862328901E-2</v>
      </c>
      <c r="O112" s="10">
        <v>1.9837333862328901E-2</v>
      </c>
      <c r="P112" s="10">
        <v>1.9837333862328901E-2</v>
      </c>
      <c r="Q112" s="10">
        <v>1.9837333862328901E-2</v>
      </c>
      <c r="R112" s="10">
        <v>1.9837333862328901E-2</v>
      </c>
    </row>
    <row r="113" spans="1:18" ht="13.2" x14ac:dyDescent="0.25">
      <c r="A113" s="25" t="s">
        <v>92</v>
      </c>
      <c r="B113" s="10">
        <f>B48/'OAT Income Statement'!B$4</f>
        <v>-5.3957548105534612E-3</v>
      </c>
      <c r="C113" s="10">
        <f>C48/'OAT Income Statement'!C$4</f>
        <v>-8.1478032675865574E-3</v>
      </c>
      <c r="D113" s="10">
        <f>D48/'OAT Income Statement'!D$4</f>
        <v>-9.9948373773877126E-3</v>
      </c>
      <c r="E113" s="10">
        <f>E48/'OAT Income Statement'!E$4</f>
        <v>-1.1404190840760015E-2</v>
      </c>
      <c r="F113" s="10">
        <f>F48/'OAT Income Statement'!F$4</f>
        <v>-1.2483169840353915E-2</v>
      </c>
      <c r="G113" s="162">
        <f>SUM(B113:F113)/5</f>
        <v>-9.4851512273283305E-3</v>
      </c>
      <c r="H113" s="25" t="s">
        <v>92</v>
      </c>
      <c r="I113" s="10">
        <v>-5.3957548105534612E-3</v>
      </c>
      <c r="J113" s="10">
        <v>-5.3957548105534612E-3</v>
      </c>
      <c r="K113" s="10">
        <v>-5.3957548105534612E-3</v>
      </c>
      <c r="L113" s="10">
        <v>-5.3957548105534612E-3</v>
      </c>
      <c r="M113" s="10">
        <v>-5.3957548105534612E-3</v>
      </c>
      <c r="N113" s="10">
        <v>-5.3957548105534612E-3</v>
      </c>
      <c r="O113" s="10">
        <v>-5.3957548105534612E-3</v>
      </c>
      <c r="P113" s="10">
        <v>-5.3957548105534612E-3</v>
      </c>
      <c r="Q113" s="10">
        <v>-5.3957548105534612E-3</v>
      </c>
      <c r="R113" s="10">
        <v>-5.3957548105534612E-3</v>
      </c>
    </row>
    <row r="114" spans="1:18" ht="13.2" x14ac:dyDescent="0.25">
      <c r="A114" s="25" t="s">
        <v>93</v>
      </c>
      <c r="B114" s="10"/>
      <c r="H114" s="25" t="s">
        <v>93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1:18" ht="13.2" x14ac:dyDescent="0.25">
      <c r="A115" s="25" t="s">
        <v>94</v>
      </c>
      <c r="B115" s="10">
        <f>B50/'OAT Income Statement'!B$4</f>
        <v>-1.0156714937512398E-2</v>
      </c>
      <c r="C115" s="10">
        <f>C50/'OAT Income Statement'!C$4</f>
        <v>-8.2536188944383315E-3</v>
      </c>
      <c r="D115" s="10">
        <f>D50/'OAT Income Statement'!D$4</f>
        <v>-6.1744966442953018E-3</v>
      </c>
      <c r="E115" s="10">
        <f>E50/'OAT Income Statement'!E$4</f>
        <v>-4.446039436170425E-3</v>
      </c>
      <c r="F115" s="10">
        <f>F50/'OAT Income Statement'!F$4</f>
        <v>-3.096749374879785E-3</v>
      </c>
      <c r="G115" s="162">
        <f>SUM(B115:F115)/5</f>
        <v>-6.4255238574592493E-3</v>
      </c>
      <c r="H115" s="25" t="s">
        <v>94</v>
      </c>
      <c r="I115" s="10">
        <v>-1.0156714937512398E-2</v>
      </c>
      <c r="J115" s="10">
        <v>-1.0156714937512398E-2</v>
      </c>
      <c r="K115" s="10">
        <v>-1.0156714937512398E-2</v>
      </c>
      <c r="L115" s="10">
        <v>-1.0156714937512398E-2</v>
      </c>
      <c r="M115" s="10">
        <v>-1.0156714937512398E-2</v>
      </c>
      <c r="N115" s="10">
        <v>-1.0156714937512398E-2</v>
      </c>
      <c r="O115" s="10">
        <v>-1.0156714937512398E-2</v>
      </c>
      <c r="P115" s="10">
        <v>-1.0156714937512398E-2</v>
      </c>
      <c r="Q115" s="10">
        <v>-1.0156714937512398E-2</v>
      </c>
      <c r="R115" s="10">
        <v>-1.0156714937512398E-2</v>
      </c>
    </row>
    <row r="116" spans="1:18" ht="13.2" x14ac:dyDescent="0.25">
      <c r="A116" s="25" t="s">
        <v>95</v>
      </c>
      <c r="B116" s="10"/>
      <c r="H116" s="25" t="s">
        <v>95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1:18" ht="13.2" x14ac:dyDescent="0.25">
      <c r="A117" s="25" t="s">
        <v>96</v>
      </c>
      <c r="H117" s="25" t="s">
        <v>96</v>
      </c>
    </row>
    <row r="118" spans="1:18" ht="13.2" x14ac:dyDescent="0.25">
      <c r="A118" s="25" t="s">
        <v>97</v>
      </c>
      <c r="B118" s="10">
        <f>B53/'OAT Income Statement'!B$4</f>
        <v>0.16663360444356279</v>
      </c>
      <c r="C118" s="10">
        <f>C53/'OAT Income Statement'!C$4</f>
        <v>0.17777025311097944</v>
      </c>
      <c r="D118" s="10">
        <f>D53/'OAT Income Statement'!D$4</f>
        <v>0.17346411977284459</v>
      </c>
      <c r="E118" s="10">
        <f>E53/'OAT Income Statement'!E$4</f>
        <v>0.16747413122794427</v>
      </c>
      <c r="F118" s="10">
        <f>F53/'OAT Income Statement'!F$4</f>
        <v>0.16156953260242354</v>
      </c>
      <c r="G118" s="162">
        <f t="shared" ref="G118:G123" si="21">SUM(B118:F118)/5</f>
        <v>0.16938232823155094</v>
      </c>
      <c r="H118" s="25" t="s">
        <v>97</v>
      </c>
      <c r="I118" s="10">
        <v>0.16663360444356279</v>
      </c>
      <c r="J118" s="10">
        <v>0.16663360444356279</v>
      </c>
      <c r="K118" s="10">
        <v>0.16663360444356279</v>
      </c>
      <c r="L118" s="10">
        <v>0.16663360444356279</v>
      </c>
      <c r="M118" s="10">
        <v>0.16663360444356279</v>
      </c>
      <c r="N118" s="10">
        <v>0.16663360444356279</v>
      </c>
      <c r="O118" s="10">
        <v>0.16663360444356279</v>
      </c>
      <c r="P118" s="10">
        <v>0.16663360444356279</v>
      </c>
      <c r="Q118" s="10">
        <v>0.16663360444356279</v>
      </c>
      <c r="R118" s="10">
        <v>0.16663360444356279</v>
      </c>
    </row>
    <row r="119" spans="1:18" ht="13.2" x14ac:dyDescent="0.25">
      <c r="A119" s="25" t="s">
        <v>98</v>
      </c>
      <c r="B119" s="10">
        <f>B54/'OAT Income Statement'!B$4</f>
        <v>2.7058123388216625E-2</v>
      </c>
      <c r="C119" s="10">
        <f>C54/'OAT Income Statement'!C$4</f>
        <v>2.1311267247947178E-2</v>
      </c>
      <c r="D119" s="10">
        <f>D54/'OAT Income Statement'!D$4</f>
        <v>1.6293236964377907E-2</v>
      </c>
      <c r="E119" s="10">
        <f>E54/'OAT Income Statement'!E$4</f>
        <v>5.7818450066790279E-3</v>
      </c>
      <c r="F119" s="10"/>
      <c r="G119" s="162">
        <f t="shared" si="21"/>
        <v>1.4088894521444146E-2</v>
      </c>
      <c r="H119" s="25" t="s">
        <v>98</v>
      </c>
      <c r="I119" s="10">
        <v>2.7058123388216625E-2</v>
      </c>
      <c r="J119" s="10">
        <v>2.7058123388216625E-2</v>
      </c>
      <c r="K119" s="10">
        <v>2.7058123388216625E-2</v>
      </c>
      <c r="L119" s="10">
        <v>2.7058123388216625E-2</v>
      </c>
      <c r="M119" s="10">
        <v>2.7058123388216625E-2</v>
      </c>
      <c r="N119" s="10">
        <v>2.7058123388216625E-2</v>
      </c>
      <c r="O119" s="10">
        <v>2.7058123388216625E-2</v>
      </c>
      <c r="P119" s="10">
        <v>2.7058123388216625E-2</v>
      </c>
      <c r="Q119" s="10">
        <v>2.7058123388216625E-2</v>
      </c>
      <c r="R119" s="10">
        <v>2.7058123388216625E-2</v>
      </c>
    </row>
    <row r="120" spans="1:18" ht="13.2" x14ac:dyDescent="0.25">
      <c r="A120" s="25" t="s">
        <v>99</v>
      </c>
      <c r="B120" s="10">
        <f>B55/'OAT Income Statement'!B$4</f>
        <v>0.21061297361634598</v>
      </c>
      <c r="C120" s="10">
        <f>C55/'OAT Income Statement'!C$4</f>
        <v>0.18086006941505123</v>
      </c>
      <c r="D120" s="10">
        <f>D55/'OAT Income Statement'!D$4</f>
        <v>0.1147754259163655</v>
      </c>
      <c r="E120" s="10">
        <f>E55/'OAT Income Statement'!E$4</f>
        <v>8.5930179237195203E-2</v>
      </c>
      <c r="F120" s="10">
        <f>F55/'OAT Income Statement'!F$4</f>
        <v>0.29261396422388919</v>
      </c>
      <c r="G120" s="162">
        <f t="shared" si="21"/>
        <v>0.17695852248176941</v>
      </c>
      <c r="H120" s="25" t="s">
        <v>99</v>
      </c>
      <c r="I120" s="10">
        <v>0.21061297361634598</v>
      </c>
      <c r="J120" s="10">
        <v>0.21061297361634598</v>
      </c>
      <c r="K120" s="10">
        <v>0.21061297361634598</v>
      </c>
      <c r="L120" s="10">
        <v>0.21061297361634598</v>
      </c>
      <c r="M120" s="10">
        <v>0.21061297361634598</v>
      </c>
      <c r="N120" s="10">
        <v>0.21061297361634598</v>
      </c>
      <c r="O120" s="10">
        <v>0.21061297361634598</v>
      </c>
      <c r="P120" s="10">
        <v>0.21061297361634598</v>
      </c>
      <c r="Q120" s="10">
        <v>0.21061297361634598</v>
      </c>
      <c r="R120" s="10">
        <v>0.21061297361634598</v>
      </c>
    </row>
    <row r="121" spans="1:18" ht="13.2" x14ac:dyDescent="0.25">
      <c r="A121" s="25" t="s">
        <v>117</v>
      </c>
      <c r="B121" s="10">
        <f>B56/'OAT Income Statement'!B$4</f>
        <v>-2.2078952588772068E-2</v>
      </c>
      <c r="C121" s="10">
        <f>C56/'OAT Income Statement'!C$4</f>
        <v>-2.0126132227207313E-2</v>
      </c>
      <c r="D121" s="10">
        <f>D56/'OAT Income Statement'!D$4</f>
        <v>-1.6541042849767682E-2</v>
      </c>
      <c r="E121" s="10">
        <f>E56/'OAT Income Statement'!E$4</f>
        <v>-1.6428414777598342E-2</v>
      </c>
      <c r="F121" s="10">
        <f>F56/'OAT Income Statement'!F$4</f>
        <v>-1.3117907289863435E-2</v>
      </c>
      <c r="G121" s="162">
        <f t="shared" si="21"/>
        <v>-1.7658489946641768E-2</v>
      </c>
      <c r="H121" s="25" t="s">
        <v>117</v>
      </c>
      <c r="I121" s="10">
        <v>-2.2078952588772068E-2</v>
      </c>
      <c r="J121" s="10">
        <v>-2.2078952588772068E-2</v>
      </c>
      <c r="K121" s="10">
        <v>-2.2078952588772068E-2</v>
      </c>
      <c r="L121" s="10">
        <v>-2.2078952588772068E-2</v>
      </c>
      <c r="M121" s="10">
        <v>-2.2078952588772068E-2</v>
      </c>
      <c r="N121" s="10">
        <v>-2.2078952588772068E-2</v>
      </c>
      <c r="O121" s="10">
        <v>-2.2078952588772068E-2</v>
      </c>
      <c r="P121" s="10">
        <v>-2.2078952588772068E-2</v>
      </c>
      <c r="Q121" s="10">
        <v>-2.2078952588772068E-2</v>
      </c>
      <c r="R121" s="10">
        <v>-2.2078952588772068E-2</v>
      </c>
    </row>
    <row r="122" spans="1:18" ht="13.2" x14ac:dyDescent="0.25">
      <c r="A122" s="25" t="s">
        <v>100</v>
      </c>
      <c r="B122" s="10">
        <f>B57/'OAT Income Statement'!B$4</f>
        <v>-4.2055147788137275E-3</v>
      </c>
      <c r="C122" s="10">
        <f>C57/'OAT Income Statement'!C$4</f>
        <v>-9.629222043511387E-3</v>
      </c>
      <c r="D122" s="10">
        <f>D57/'OAT Income Statement'!D$4</f>
        <v>-1.3959731543624159E-2</v>
      </c>
      <c r="E122" s="10">
        <f>E57/'OAT Income Statement'!E$4</f>
        <v>-1.8143030883027295E-2</v>
      </c>
      <c r="F122" s="10">
        <f>F57/'OAT Income Statement'!F$4</f>
        <v>-1.988844008463166E-2</v>
      </c>
      <c r="G122" s="162">
        <f t="shared" si="21"/>
        <v>-1.3165187866721644E-2</v>
      </c>
      <c r="H122" s="25" t="s">
        <v>100</v>
      </c>
      <c r="I122" s="10">
        <v>-4.2055147788137275E-3</v>
      </c>
      <c r="J122" s="10">
        <v>-4.2055147788137275E-3</v>
      </c>
      <c r="K122" s="10">
        <v>-4.2055147788137275E-3</v>
      </c>
      <c r="L122" s="10">
        <v>-4.2055147788137275E-3</v>
      </c>
      <c r="M122" s="10">
        <v>-4.2055147788137275E-3</v>
      </c>
      <c r="N122" s="10">
        <v>-4.2055147788137275E-3</v>
      </c>
      <c r="O122" s="10">
        <v>-4.2055147788137275E-3</v>
      </c>
      <c r="P122" s="10">
        <v>-4.2055147788137275E-3</v>
      </c>
      <c r="Q122" s="10">
        <v>-4.2055147788137275E-3</v>
      </c>
      <c r="R122" s="10">
        <v>-4.2055147788137275E-3</v>
      </c>
    </row>
    <row r="123" spans="1:18" ht="13.2" x14ac:dyDescent="0.25">
      <c r="A123" s="25" t="s">
        <v>101</v>
      </c>
      <c r="B123" s="10">
        <f>B58/'OAT Income Statement'!B$4</f>
        <v>-0.30765721087085895</v>
      </c>
      <c r="C123" s="10">
        <f>C58/'OAT Income Statement'!C$4</f>
        <v>-0.30843138914754936</v>
      </c>
      <c r="D123" s="10">
        <f>D58/'OAT Income Statement'!D$4</f>
        <v>-0.24284976768198244</v>
      </c>
      <c r="E123" s="10">
        <f>E58/'OAT Income Statement'!E$4</f>
        <v>-0.17915744562075087</v>
      </c>
      <c r="F123" s="10">
        <f>F58/'OAT Income Statement'!F$4</f>
        <v>-0.18461242546643583</v>
      </c>
      <c r="G123" s="162">
        <f t="shared" si="21"/>
        <v>-0.24454164775751547</v>
      </c>
      <c r="H123" s="25" t="s">
        <v>101</v>
      </c>
      <c r="I123" s="10">
        <v>-0.30765721087085895</v>
      </c>
      <c r="J123" s="10">
        <v>-0.30765721087085895</v>
      </c>
      <c r="K123" s="10">
        <v>-0.30765721087085895</v>
      </c>
      <c r="L123" s="10">
        <v>-0.30765721087085895</v>
      </c>
      <c r="M123" s="10">
        <v>-0.30765721087085895</v>
      </c>
      <c r="N123" s="10">
        <v>-0.30765721087085895</v>
      </c>
      <c r="O123" s="10">
        <v>-0.30765721087085895</v>
      </c>
      <c r="P123" s="10">
        <v>-0.30765721087085895</v>
      </c>
      <c r="Q123" s="10">
        <v>-0.30765721087085895</v>
      </c>
      <c r="R123" s="10">
        <v>-0.30765721087085895</v>
      </c>
    </row>
    <row r="124" spans="1:18" ht="13.2" x14ac:dyDescent="0.25">
      <c r="A124" s="25"/>
      <c r="H124" s="25"/>
    </row>
    <row r="125" spans="1:18" ht="13.2" x14ac:dyDescent="0.25">
      <c r="A125" s="25" t="s">
        <v>102</v>
      </c>
      <c r="B125" s="10">
        <f>B60/'OAT Income Statement'!B$4</f>
        <v>7.0363023209680617E-2</v>
      </c>
      <c r="C125" s="10">
        <f>C60/'OAT Income Statement'!C$4</f>
        <v>4.1754846355709814E-2</v>
      </c>
      <c r="D125" s="10">
        <f>D60/'OAT Income Statement'!D$4</f>
        <v>3.1182240578213734E-2</v>
      </c>
      <c r="E125" s="10">
        <f>E60/'OAT Income Statement'!E$4</f>
        <v>4.5457264190442014E-2</v>
      </c>
      <c r="F125" s="10">
        <f>F60/'OAT Income Statement'!F$4</f>
        <v>0.23656472398538181</v>
      </c>
      <c r="G125" s="162">
        <f>SUM(B125:F125)/5</f>
        <v>8.5064419663885601E-2</v>
      </c>
      <c r="H125" s="25" t="s">
        <v>102</v>
      </c>
      <c r="I125" s="10">
        <v>7.0363023209680617E-2</v>
      </c>
      <c r="J125" s="10">
        <v>7.0363023209680617E-2</v>
      </c>
      <c r="K125" s="10">
        <v>7.0363023209680617E-2</v>
      </c>
      <c r="L125" s="10">
        <v>7.0363023209680617E-2</v>
      </c>
      <c r="M125" s="10">
        <v>7.0363023209680617E-2</v>
      </c>
      <c r="N125" s="10">
        <v>7.0363023209680617E-2</v>
      </c>
      <c r="O125" s="10">
        <v>7.0363023209680617E-2</v>
      </c>
      <c r="P125" s="10">
        <v>7.0363023209680617E-2</v>
      </c>
      <c r="Q125" s="10">
        <v>7.0363023209680617E-2</v>
      </c>
      <c r="R125" s="10">
        <v>7.0363023209680617E-2</v>
      </c>
    </row>
    <row r="126" spans="1:18" ht="13.2" x14ac:dyDescent="0.25">
      <c r="A126" s="25"/>
      <c r="H126" s="25"/>
    </row>
    <row r="127" spans="1:18" ht="13.2" x14ac:dyDescent="0.25">
      <c r="A127" s="25" t="s">
        <v>103</v>
      </c>
      <c r="B127" s="10">
        <f>B62/'OAT Income Statement'!B$4</f>
        <v>0.47982543146201156</v>
      </c>
      <c r="C127" s="10">
        <f>C62/'OAT Income Statement'!C$4</f>
        <v>0.50711081012443915</v>
      </c>
      <c r="D127" s="10">
        <f>D62/'OAT Income Statement'!D$4</f>
        <v>0.51838926174496647</v>
      </c>
      <c r="E127" s="10">
        <f>E62/'OAT Income Statement'!E$4</f>
        <v>0.53771158562114962</v>
      </c>
      <c r="F127" s="10">
        <f>F62/'OAT Income Statement'!F$4</f>
        <v>0.84523946912867853</v>
      </c>
      <c r="G127" s="162">
        <f>SUM(B127:F127)/5</f>
        <v>0.57765531161624906</v>
      </c>
      <c r="H127" s="25" t="s">
        <v>103</v>
      </c>
      <c r="I127" s="10">
        <v>0.47982543146201156</v>
      </c>
      <c r="J127" s="10">
        <v>0.47982543146201156</v>
      </c>
      <c r="K127" s="10">
        <v>0.47982543146201156</v>
      </c>
      <c r="L127" s="10">
        <v>0.47982543146201156</v>
      </c>
      <c r="M127" s="10">
        <v>0.47982543146201156</v>
      </c>
      <c r="N127" s="10">
        <v>0.47982543146201156</v>
      </c>
      <c r="O127" s="10">
        <v>0.47982543146201156</v>
      </c>
      <c r="P127" s="10">
        <v>0.47982543146201156</v>
      </c>
      <c r="Q127" s="10">
        <v>0.47982543146201156</v>
      </c>
      <c r="R127" s="10">
        <v>0.47982543146201156</v>
      </c>
    </row>
  </sheetData>
  <pageMargins left="0.75" right="0.75" top="1" bottom="1" header="0.5" footer="0.5"/>
  <pageSetup scale="64" orientation="landscape" r:id="rId1"/>
  <headerFooter alignWithMargins="0"/>
  <rowBreaks count="2" manualBreakCount="2">
    <brk id="30" max="16383" man="1"/>
    <brk id="64" max="16383" man="1"/>
  </rowBreaks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abSelected="1" zoomScale="75" zoomScaleNormal="100" workbookViewId="0">
      <selection activeCell="C10" sqref="C10"/>
    </sheetView>
  </sheetViews>
  <sheetFormatPr defaultRowHeight="10.199999999999999" x14ac:dyDescent="0.2"/>
  <cols>
    <col min="1" max="1" width="32" bestFit="1" customWidth="1"/>
    <col min="2" max="3" width="10.42578125" bestFit="1" customWidth="1"/>
    <col min="4" max="4" width="27.7109375" bestFit="1" customWidth="1"/>
    <col min="5" max="5" width="12.7109375" bestFit="1" customWidth="1"/>
    <col min="6" max="6" width="10.7109375" customWidth="1"/>
    <col min="7" max="14" width="12.7109375" bestFit="1" customWidth="1"/>
  </cols>
  <sheetData>
    <row r="1" spans="1:14" ht="13.2" x14ac:dyDescent="0.25">
      <c r="A1" s="205" t="s">
        <v>175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</row>
    <row r="2" spans="1:14" ht="13.2" x14ac:dyDescent="0.25">
      <c r="A2" s="205" t="s">
        <v>176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</row>
    <row r="6" spans="1:14" x14ac:dyDescent="0.2">
      <c r="A6" s="30"/>
      <c r="B6" s="34" t="s">
        <v>139</v>
      </c>
      <c r="C6" s="34" t="s">
        <v>139</v>
      </c>
      <c r="D6" s="31" t="s">
        <v>140</v>
      </c>
      <c r="E6" s="34" t="s">
        <v>141</v>
      </c>
      <c r="F6" s="34" t="s">
        <v>141</v>
      </c>
      <c r="G6" s="34" t="s">
        <v>141</v>
      </c>
      <c r="H6" s="34" t="s">
        <v>141</v>
      </c>
      <c r="I6" s="34" t="s">
        <v>141</v>
      </c>
      <c r="J6" s="34" t="s">
        <v>141</v>
      </c>
      <c r="K6" s="34" t="s">
        <v>141</v>
      </c>
      <c r="L6" s="34" t="s">
        <v>141</v>
      </c>
      <c r="M6" s="34" t="s">
        <v>141</v>
      </c>
      <c r="N6" s="34" t="s">
        <v>141</v>
      </c>
    </row>
    <row r="7" spans="1:14" x14ac:dyDescent="0.2">
      <c r="A7" s="32" t="s">
        <v>142</v>
      </c>
      <c r="B7" s="35">
        <v>1999</v>
      </c>
      <c r="C7" s="35">
        <f>+B7+1</f>
        <v>2000</v>
      </c>
      <c r="D7" s="33"/>
      <c r="E7" s="35">
        <f>+C7+1</f>
        <v>2001</v>
      </c>
      <c r="F7" s="35">
        <f t="shared" ref="F7:N7" si="0">E7+1</f>
        <v>2002</v>
      </c>
      <c r="G7" s="35">
        <f t="shared" si="0"/>
        <v>2003</v>
      </c>
      <c r="H7" s="35">
        <f t="shared" si="0"/>
        <v>2004</v>
      </c>
      <c r="I7" s="35">
        <f t="shared" si="0"/>
        <v>2005</v>
      </c>
      <c r="J7" s="35">
        <f t="shared" si="0"/>
        <v>2006</v>
      </c>
      <c r="K7" s="35">
        <f t="shared" si="0"/>
        <v>2007</v>
      </c>
      <c r="L7" s="35">
        <f t="shared" si="0"/>
        <v>2008</v>
      </c>
      <c r="M7" s="35">
        <f t="shared" si="0"/>
        <v>2009</v>
      </c>
      <c r="N7" s="36">
        <f t="shared" si="0"/>
        <v>2010</v>
      </c>
    </row>
    <row r="8" spans="1:14" ht="13.2" x14ac:dyDescent="0.25">
      <c r="A8" s="19" t="s">
        <v>143</v>
      </c>
      <c r="B8" s="62">
        <f>'OAT Income Statement'!C4</f>
        <v>4725.2</v>
      </c>
      <c r="C8" s="62">
        <f>'OAT Income Statement'!B4</f>
        <v>5041</v>
      </c>
      <c r="D8" s="19"/>
      <c r="E8" s="62">
        <f>C8*(1+'OAT Inputs'!C13)</f>
        <v>5343.46</v>
      </c>
      <c r="F8" s="62">
        <f>E8*(1+'OAT Inputs'!D13)</f>
        <v>5664.0676000000003</v>
      </c>
      <c r="G8" s="62">
        <f>F8*(1+'OAT Inputs'!E13)</f>
        <v>6003.9116560000002</v>
      </c>
      <c r="H8" s="62">
        <f>G8*(1+'OAT Inputs'!F13)</f>
        <v>6364.1463553600006</v>
      </c>
      <c r="I8" s="62">
        <f>H8*(1+'OAT Inputs'!G13)</f>
        <v>6745.9951366816013</v>
      </c>
      <c r="J8" s="62">
        <f>I8*(1+'OAT Inputs'!H13)</f>
        <v>7150.7548448824973</v>
      </c>
      <c r="K8" s="62">
        <f>J8*(1+'OAT Inputs'!I13)</f>
        <v>7579.8001355754477</v>
      </c>
      <c r="L8" s="62">
        <f>K8*(1+'OAT Inputs'!J13)</f>
        <v>8034.5881437099752</v>
      </c>
      <c r="M8" s="62">
        <f>L8*(1+'OAT Inputs'!K13)</f>
        <v>8516.6634323325743</v>
      </c>
      <c r="N8" s="62">
        <f>M8*(1+'OAT Inputs'!L13)</f>
        <v>9027.6632382725293</v>
      </c>
    </row>
    <row r="9" spans="1:14" ht="13.2" x14ac:dyDescent="0.25">
      <c r="A9" s="37" t="s">
        <v>144</v>
      </c>
      <c r="B9" s="62">
        <f>SUM(B10:B12)</f>
        <v>4040.8</v>
      </c>
      <c r="C9" s="62">
        <f>SUM(C10:C12)</f>
        <v>4257.3</v>
      </c>
      <c r="D9" s="38"/>
      <c r="E9" s="62">
        <f>SUM(E10:E13)</f>
        <v>4662.2419745637926</v>
      </c>
      <c r="F9" s="62">
        <f t="shared" ref="F9:N9" si="1">SUM(F10:F13)</f>
        <v>4922.3439915304625</v>
      </c>
      <c r="G9" s="62">
        <f t="shared" si="1"/>
        <v>5187.2030727422898</v>
      </c>
      <c r="H9" s="62">
        <f t="shared" si="1"/>
        <v>5466.1525253300269</v>
      </c>
      <c r="I9" s="62">
        <f t="shared" si="1"/>
        <v>5759.9297011664203</v>
      </c>
      <c r="J9" s="62">
        <f t="shared" si="1"/>
        <v>6069.3097090119945</v>
      </c>
      <c r="K9" s="62">
        <f t="shared" si="1"/>
        <v>6433.0062915527142</v>
      </c>
      <c r="L9" s="62">
        <f t="shared" si="1"/>
        <v>6818.524669045878</v>
      </c>
      <c r="M9" s="62">
        <f t="shared" si="1"/>
        <v>7227.1741491886305</v>
      </c>
      <c r="N9" s="62">
        <f t="shared" si="1"/>
        <v>7660.3425981399487</v>
      </c>
    </row>
    <row r="10" spans="1:14" ht="13.2" x14ac:dyDescent="0.25">
      <c r="A10" s="19" t="s">
        <v>209</v>
      </c>
      <c r="B10" s="54">
        <f>'OAT Income Statement'!C5</f>
        <v>2136.8000000000002</v>
      </c>
      <c r="C10" s="54">
        <f>'OAT Income Statement'!B5</f>
        <v>2288.3000000000002</v>
      </c>
      <c r="D10" s="39"/>
      <c r="E10" s="54">
        <f>E8*'OAT Inputs'!C14</f>
        <v>2425.3964940000001</v>
      </c>
      <c r="F10" s="54">
        <f>F8*'OAT Inputs'!D14</f>
        <v>2548.8304200000002</v>
      </c>
      <c r="G10" s="54">
        <f>G8*'OAT Inputs'!E14</f>
        <v>2671.7406869199999</v>
      </c>
      <c r="H10" s="54">
        <f>H8*'OAT Inputs'!F14</f>
        <v>2800.2243963584001</v>
      </c>
      <c r="I10" s="54">
        <f>I8*'OAT Inputs'!G14</f>
        <v>2934.5078844564964</v>
      </c>
      <c r="J10" s="54">
        <f>J8*'OAT Inputs'!H14</f>
        <v>3074.8245832994739</v>
      </c>
      <c r="K10" s="54">
        <f>K8*'OAT Inputs'!I14</f>
        <v>3259.3140582974424</v>
      </c>
      <c r="L10" s="54">
        <f>L8*'OAT Inputs'!J14</f>
        <v>3454.8729017952892</v>
      </c>
      <c r="M10" s="54">
        <f>M8*'OAT Inputs'!K14</f>
        <v>3662.1652759030071</v>
      </c>
      <c r="N10" s="54">
        <f>N8*'OAT Inputs'!L14</f>
        <v>3881.8951924571875</v>
      </c>
    </row>
    <row r="11" spans="1:14" ht="13.2" x14ac:dyDescent="0.25">
      <c r="A11" s="19" t="s">
        <v>145</v>
      </c>
      <c r="B11" s="54">
        <f>1904-B12</f>
        <v>1780.2</v>
      </c>
      <c r="C11" s="54">
        <f>1969-C12</f>
        <v>1836</v>
      </c>
      <c r="D11" s="16"/>
      <c r="E11" s="54">
        <f>E8*'OAT Inputs'!C15</f>
        <v>2087.1554759999999</v>
      </c>
      <c r="F11" s="54">
        <f>F8*'OAT Inputs'!D15</f>
        <v>2212.3848045600002</v>
      </c>
      <c r="G11" s="54">
        <f>G8*'OAT Inputs'!E15</f>
        <v>2345.1278928336001</v>
      </c>
      <c r="H11" s="54">
        <f>H8*'OAT Inputs'!F15</f>
        <v>2485.8355664036162</v>
      </c>
      <c r="I11" s="54">
        <f>I8*'OAT Inputs'!G15</f>
        <v>2634.9857003878333</v>
      </c>
      <c r="J11" s="54">
        <f>J8*'OAT Inputs'!H15</f>
        <v>2793.0848424111036</v>
      </c>
      <c r="K11" s="54">
        <f>K8*'OAT Inputs'!I15</f>
        <v>2960.66993295577</v>
      </c>
      <c r="L11" s="54">
        <f>L8*'OAT Inputs'!J15</f>
        <v>3138.3101289331162</v>
      </c>
      <c r="M11" s="54">
        <f>M8*'OAT Inputs'!K15</f>
        <v>3326.6087366691036</v>
      </c>
      <c r="N11" s="54">
        <f>N8*'OAT Inputs'!L15</f>
        <v>3526.2052608692497</v>
      </c>
    </row>
    <row r="12" spans="1:14" ht="13.2" x14ac:dyDescent="0.25">
      <c r="A12" s="19" t="s">
        <v>146</v>
      </c>
      <c r="B12" s="54">
        <f>'OAT Cash Flow'!D9</f>
        <v>123.8</v>
      </c>
      <c r="C12" s="54">
        <f>'OAT Cash Flow'!C9</f>
        <v>133</v>
      </c>
      <c r="D12" s="16" t="s">
        <v>147</v>
      </c>
      <c r="E12" s="147">
        <f>($C$12/($C$60+$C$61)*(E60+E61))</f>
        <v>141.99000456379272</v>
      </c>
      <c r="F12" s="147">
        <f t="shared" ref="F12:N12" si="2">($C$12/$C$60)*F60</f>
        <v>153.42876697046188</v>
      </c>
      <c r="G12" s="147">
        <f t="shared" si="2"/>
        <v>162.6344929886896</v>
      </c>
      <c r="H12" s="147">
        <f t="shared" si="2"/>
        <v>172.39256256801099</v>
      </c>
      <c r="I12" s="147">
        <f t="shared" si="2"/>
        <v>182.73611632209165</v>
      </c>
      <c r="J12" s="147">
        <f t="shared" si="2"/>
        <v>193.70028330141719</v>
      </c>
      <c r="K12" s="147">
        <f t="shared" si="2"/>
        <v>205.32230029950222</v>
      </c>
      <c r="L12" s="147">
        <f t="shared" si="2"/>
        <v>217.64163831747237</v>
      </c>
      <c r="M12" s="147">
        <f t="shared" si="2"/>
        <v>230.70013661652072</v>
      </c>
      <c r="N12" s="147">
        <f t="shared" si="2"/>
        <v>244.54214481351201</v>
      </c>
    </row>
    <row r="13" spans="1:14" ht="13.2" x14ac:dyDescent="0.25">
      <c r="A13" s="19" t="s">
        <v>309</v>
      </c>
      <c r="B13" s="206" t="s">
        <v>310</v>
      </c>
      <c r="C13" s="206"/>
      <c r="D13" s="16"/>
      <c r="E13" s="171">
        <f>-(E61-C61)</f>
        <v>7.7000000000000171</v>
      </c>
      <c r="F13" s="171">
        <f>-(F61-E61)</f>
        <v>7.7000000000000171</v>
      </c>
      <c r="G13" s="171">
        <f t="shared" ref="G13:N13" si="3">-(G61-F61)</f>
        <v>7.7000000000000171</v>
      </c>
      <c r="H13" s="171">
        <f t="shared" si="3"/>
        <v>7.7000000000000171</v>
      </c>
      <c r="I13" s="171">
        <f t="shared" si="3"/>
        <v>7.7000000000000171</v>
      </c>
      <c r="J13" s="171">
        <f t="shared" si="3"/>
        <v>7.7000000000000171</v>
      </c>
      <c r="K13" s="171">
        <f t="shared" si="3"/>
        <v>7.7000000000000171</v>
      </c>
      <c r="L13" s="171">
        <f t="shared" si="3"/>
        <v>7.7000000000000171</v>
      </c>
      <c r="M13" s="171">
        <f t="shared" si="3"/>
        <v>7.7000000000000171</v>
      </c>
      <c r="N13" s="171">
        <f t="shared" si="3"/>
        <v>7.7000000000000171</v>
      </c>
    </row>
    <row r="14" spans="1:14" ht="13.2" x14ac:dyDescent="0.25">
      <c r="A14" s="197" t="s">
        <v>148</v>
      </c>
      <c r="B14" s="186">
        <f>B8-B9</f>
        <v>684.39999999999964</v>
      </c>
      <c r="C14" s="186">
        <f>C8-C9</f>
        <v>783.69999999999982</v>
      </c>
      <c r="D14" s="187"/>
      <c r="E14" s="186">
        <f t="shared" ref="E14:N14" si="4">E8-E9</f>
        <v>681.21802543620743</v>
      </c>
      <c r="F14" s="186">
        <f t="shared" si="4"/>
        <v>741.72360846953779</v>
      </c>
      <c r="G14" s="186">
        <f t="shared" si="4"/>
        <v>816.70858325771042</v>
      </c>
      <c r="H14" s="186">
        <f t="shared" si="4"/>
        <v>897.99383002997365</v>
      </c>
      <c r="I14" s="186">
        <f t="shared" si="4"/>
        <v>986.06543551518098</v>
      </c>
      <c r="J14" s="186">
        <f t="shared" si="4"/>
        <v>1081.4451358705028</v>
      </c>
      <c r="K14" s="186">
        <f t="shared" si="4"/>
        <v>1146.7938440227335</v>
      </c>
      <c r="L14" s="186">
        <f t="shared" si="4"/>
        <v>1216.0634746640972</v>
      </c>
      <c r="M14" s="186">
        <f t="shared" si="4"/>
        <v>1289.4892831439438</v>
      </c>
      <c r="N14" s="186">
        <f t="shared" si="4"/>
        <v>1367.3206401325806</v>
      </c>
    </row>
    <row r="15" spans="1:14" ht="13.2" x14ac:dyDescent="0.25">
      <c r="A15" s="19" t="s">
        <v>323</v>
      </c>
      <c r="B15" s="195">
        <f>'OAT Income Statement'!C12</f>
        <v>-2.2999999999999998</v>
      </c>
      <c r="C15" s="195">
        <f>'OAT Income Statement'!B12</f>
        <v>182.5</v>
      </c>
      <c r="D15" s="39"/>
      <c r="E15" s="195">
        <v>0</v>
      </c>
      <c r="F15" s="195">
        <v>0</v>
      </c>
      <c r="G15" s="195">
        <v>0</v>
      </c>
      <c r="H15" s="195">
        <v>0</v>
      </c>
      <c r="I15" s="195">
        <v>0</v>
      </c>
      <c r="J15" s="195">
        <v>0</v>
      </c>
      <c r="K15" s="195">
        <v>0</v>
      </c>
      <c r="L15" s="195">
        <v>0</v>
      </c>
      <c r="M15" s="195">
        <v>0</v>
      </c>
      <c r="N15" s="195">
        <v>0</v>
      </c>
    </row>
    <row r="16" spans="1:14" ht="13.2" x14ac:dyDescent="0.25">
      <c r="A16" s="45" t="s">
        <v>149</v>
      </c>
      <c r="B16" s="195">
        <f>'OAT Income Statement'!C13</f>
        <v>61.9</v>
      </c>
      <c r="C16" s="195">
        <f>'OAT Income Statement'!B13</f>
        <v>54</v>
      </c>
      <c r="D16" s="45"/>
      <c r="E16" s="196">
        <f>E70*'OAT Inputs'!$I21</f>
        <v>67.574719637440964</v>
      </c>
      <c r="F16" s="196">
        <f>F70*'OAT Inputs'!$I21</f>
        <v>71.078193621045457</v>
      </c>
      <c r="G16" s="196">
        <f>G70*'OAT Inputs'!$I21</f>
        <v>74.804004021175714</v>
      </c>
      <c r="H16" s="196">
        <f>H70*'OAT Inputs'!$I21</f>
        <v>78.765491022823312</v>
      </c>
      <c r="I16" s="196">
        <f>I70*'OAT Inputs'!$I21</f>
        <v>82.976795222079261</v>
      </c>
      <c r="J16" s="196">
        <f>J70*'OAT Inputs'!$I21</f>
        <v>87.452905650800076</v>
      </c>
      <c r="K16" s="196">
        <f>K70*'OAT Inputs'!$I21</f>
        <v>92.209710682753666</v>
      </c>
      <c r="L16" s="196">
        <f>L70*'OAT Inputs'!$I21</f>
        <v>97.264051994133979</v>
      </c>
      <c r="M16" s="196">
        <f>M70*'OAT Inputs'!$I21</f>
        <v>102.63378176170662</v>
      </c>
      <c r="N16" s="196">
        <f>N70*'OAT Inputs'!$I21</f>
        <v>108.33782329284311</v>
      </c>
    </row>
    <row r="17" spans="1:14" s="18" customFormat="1" ht="13.2" x14ac:dyDescent="0.25">
      <c r="A17" s="45" t="s">
        <v>303</v>
      </c>
      <c r="B17" s="195">
        <f>'OAT Income Statement'!C14</f>
        <v>-11.7</v>
      </c>
      <c r="C17" s="195">
        <f>'OAT Income Statement'!B14</f>
        <v>-9</v>
      </c>
      <c r="D17" s="45"/>
      <c r="E17" s="196">
        <f>-E54*'OAT Inputs'!$I20</f>
        <v>-9.2538000000000018</v>
      </c>
      <c r="F17" s="196">
        <f>-F54*'OAT Inputs'!$I20</f>
        <v>-9.8090280000000014</v>
      </c>
      <c r="G17" s="196">
        <f>-G54*'OAT Inputs'!$I20</f>
        <v>-10.397569680000002</v>
      </c>
      <c r="H17" s="196">
        <f>-H54*'OAT Inputs'!$I20</f>
        <v>-11.021423860800002</v>
      </c>
      <c r="I17" s="196">
        <f>-I54*'OAT Inputs'!$I20</f>
        <v>-11.682709292448003</v>
      </c>
      <c r="J17" s="196">
        <f>-J54*'OAT Inputs'!$I20</f>
        <v>-12.383671849994883</v>
      </c>
      <c r="K17" s="196">
        <f>-K54*'OAT Inputs'!$I20</f>
        <v>-13.126692160994578</v>
      </c>
      <c r="L17" s="196">
        <f>-L54*'OAT Inputs'!$I20</f>
        <v>-13.914293690654254</v>
      </c>
      <c r="M17" s="196">
        <f>-M54*'OAT Inputs'!$I20</f>
        <v>-14.74915131209351</v>
      </c>
      <c r="N17" s="196">
        <f>-N54*'OAT Inputs'!$I20</f>
        <v>-15.634100390819121</v>
      </c>
    </row>
    <row r="18" spans="1:14" ht="13.2" x14ac:dyDescent="0.25">
      <c r="A18" s="40" t="s">
        <v>322</v>
      </c>
      <c r="B18" s="61">
        <f>'OAT Income Statement'!C15</f>
        <v>18.100000000000001</v>
      </c>
      <c r="C18" s="61">
        <f>'OAT Income Statement'!B15</f>
        <v>5.3</v>
      </c>
      <c r="D18" s="40"/>
      <c r="E18" s="170">
        <v>0</v>
      </c>
      <c r="F18" s="170">
        <v>0</v>
      </c>
      <c r="G18" s="170">
        <v>0</v>
      </c>
      <c r="H18" s="170">
        <v>0</v>
      </c>
      <c r="I18" s="170">
        <v>0</v>
      </c>
      <c r="J18" s="170">
        <v>0</v>
      </c>
      <c r="K18" s="170">
        <v>0</v>
      </c>
      <c r="L18" s="170">
        <v>0</v>
      </c>
      <c r="M18" s="170">
        <v>0</v>
      </c>
      <c r="N18" s="170">
        <v>0</v>
      </c>
    </row>
    <row r="19" spans="1:14" ht="13.2" x14ac:dyDescent="0.25">
      <c r="A19" s="2" t="s">
        <v>150</v>
      </c>
      <c r="B19" s="54">
        <f>B14-B15-B16-B17-B18</f>
        <v>618.39999999999964</v>
      </c>
      <c r="C19" s="54">
        <f>C14-C15-C16-C17-C18</f>
        <v>550.89999999999986</v>
      </c>
      <c r="D19" s="2"/>
      <c r="E19" s="54">
        <f>E14-E16-E17</f>
        <v>622.89710579876646</v>
      </c>
      <c r="F19" s="54">
        <f t="shared" ref="F19:N19" si="5">F14-F16-F17</f>
        <v>680.45444284849236</v>
      </c>
      <c r="G19" s="54">
        <f t="shared" si="5"/>
        <v>752.30214891653463</v>
      </c>
      <c r="H19" s="54">
        <f t="shared" si="5"/>
        <v>830.24976286795038</v>
      </c>
      <c r="I19" s="54">
        <f t="shared" si="5"/>
        <v>914.77134958554961</v>
      </c>
      <c r="J19" s="54">
        <f t="shared" si="5"/>
        <v>1006.3759020696976</v>
      </c>
      <c r="K19" s="54">
        <f t="shared" si="5"/>
        <v>1067.7108255009744</v>
      </c>
      <c r="L19" s="54">
        <f t="shared" si="5"/>
        <v>1132.7137163606174</v>
      </c>
      <c r="M19" s="54">
        <f t="shared" si="5"/>
        <v>1201.6046526943308</v>
      </c>
      <c r="N19" s="54">
        <f t="shared" si="5"/>
        <v>1274.6169172305567</v>
      </c>
    </row>
    <row r="20" spans="1:14" ht="13.2" x14ac:dyDescent="0.25">
      <c r="A20" s="7" t="s">
        <v>151</v>
      </c>
      <c r="B20" s="61">
        <f>'OAT Income Statement'!C18</f>
        <v>163.30000000000001</v>
      </c>
      <c r="C20" s="61">
        <f>'OAT Income Statement'!B18</f>
        <v>190.5</v>
      </c>
      <c r="D20" s="41">
        <f>'OAT Income Statement'!B18/'OAT Income Statement'!B17</f>
        <v>0.34567229178007619</v>
      </c>
      <c r="E20" s="54">
        <f>E19*'OAT Inputs'!$L10</f>
        <v>215.31827010463618</v>
      </c>
      <c r="F20" s="54">
        <f>F19*'OAT Inputs'!$L10</f>
        <v>235.21424671137322</v>
      </c>
      <c r="G20" s="54">
        <f>G19*'OAT Inputs'!$L10</f>
        <v>260.05000792705471</v>
      </c>
      <c r="H20" s="54">
        <f>H19*'OAT Inputs'!$L10</f>
        <v>286.99433828042919</v>
      </c>
      <c r="I20" s="54">
        <f>I19*'OAT Inputs'!$L10</f>
        <v>316.21110886599018</v>
      </c>
      <c r="J20" s="54">
        <f>J19*'OAT Inputs'!$L10</f>
        <v>347.87626446067389</v>
      </c>
      <c r="K20" s="54">
        <f>K19*'OAT Inputs'!$L10</f>
        <v>369.07804800931882</v>
      </c>
      <c r="L20" s="54">
        <f>L19*'OAT Inputs'!$L10</f>
        <v>391.54774626510181</v>
      </c>
      <c r="M20" s="54">
        <f>M19*'OAT Inputs'!$L10</f>
        <v>415.3614341104518</v>
      </c>
      <c r="N20" s="54">
        <f>N19*'OAT Inputs'!$L10</f>
        <v>440.59975092074222</v>
      </c>
    </row>
    <row r="21" spans="1:14" ht="13.2" x14ac:dyDescent="0.25">
      <c r="A21" s="185" t="s">
        <v>152</v>
      </c>
      <c r="B21" s="186">
        <f>B19-B20</f>
        <v>455.09999999999962</v>
      </c>
      <c r="C21" s="186">
        <f>C19-C20</f>
        <v>360.39999999999986</v>
      </c>
      <c r="D21" s="187"/>
      <c r="E21" s="186">
        <f t="shared" ref="E21:N21" si="6">E19-E20</f>
        <v>407.57883569413025</v>
      </c>
      <c r="F21" s="186">
        <f t="shared" si="6"/>
        <v>445.24019613711914</v>
      </c>
      <c r="G21" s="186">
        <f t="shared" si="6"/>
        <v>492.25214098947993</v>
      </c>
      <c r="H21" s="186">
        <f t="shared" si="6"/>
        <v>543.25542458752125</v>
      </c>
      <c r="I21" s="186">
        <f t="shared" si="6"/>
        <v>598.56024071955949</v>
      </c>
      <c r="J21" s="186">
        <f t="shared" si="6"/>
        <v>658.49963760902369</v>
      </c>
      <c r="K21" s="186">
        <f t="shared" si="6"/>
        <v>698.63277749165559</v>
      </c>
      <c r="L21" s="186">
        <f t="shared" si="6"/>
        <v>741.1659700955156</v>
      </c>
      <c r="M21" s="186">
        <f t="shared" si="6"/>
        <v>786.24321858387896</v>
      </c>
      <c r="N21" s="186">
        <f t="shared" si="6"/>
        <v>834.01716630981446</v>
      </c>
    </row>
    <row r="22" spans="1:14" ht="13.2" x14ac:dyDescent="0.25">
      <c r="A22" s="6" t="s">
        <v>153</v>
      </c>
      <c r="B22" s="54">
        <f>B16*(1-(B20/B19))</f>
        <v>45.554155886157815</v>
      </c>
      <c r="C22" s="54">
        <f>C16*(1-(C20/C19))</f>
        <v>35.32691958613178</v>
      </c>
      <c r="D22" s="202"/>
      <c r="E22" s="54">
        <f>(E16+E17)*(1-('OAT Inputs'!L10))</f>
        <v>38.160993687645096</v>
      </c>
      <c r="F22" s="54">
        <f>(F16+F17)*(1-('OAT Inputs'!M10))</f>
        <v>61.26916562104546</v>
      </c>
      <c r="G22" s="54">
        <f>(G16+G17)*(1-('OAT Inputs'!N10))</f>
        <v>64.406434341175711</v>
      </c>
      <c r="H22" s="54">
        <f>(H16+H17)*(1-('OAT Inputs'!O10))</f>
        <v>67.744067162023313</v>
      </c>
      <c r="I22" s="54">
        <f>(I16+I17)*(1-('OAT Inputs'!P10))</f>
        <v>71.294085929631251</v>
      </c>
      <c r="J22" s="54">
        <f>(J16+J17)*(1-('OAT Inputs'!Q10))</f>
        <v>75.069233800805193</v>
      </c>
      <c r="K22" s="54">
        <f>(K16+K17)*(1-('OAT Inputs'!R10))</f>
        <v>79.083018521759087</v>
      </c>
      <c r="L22" s="54">
        <f>(L16+L17)*(1-('OAT Inputs'!S10))</f>
        <v>83.349758303479717</v>
      </c>
      <c r="M22" s="54">
        <f>(M16+M17)*(1-('OAT Inputs'!T10))</f>
        <v>87.884630449613098</v>
      </c>
      <c r="N22" s="54">
        <f>(N16+N17)*(1-('OAT Inputs'!U10))</f>
        <v>92.703722902023998</v>
      </c>
    </row>
    <row r="23" spans="1:14" ht="13.2" x14ac:dyDescent="0.25">
      <c r="A23" s="25" t="s">
        <v>154</v>
      </c>
      <c r="B23" s="54">
        <f>B21+B22</f>
        <v>500.65415588615747</v>
      </c>
      <c r="C23" s="54">
        <f>C21+C22</f>
        <v>395.72691958613166</v>
      </c>
      <c r="D23" s="201"/>
      <c r="E23" s="54">
        <f>E21+E22</f>
        <v>445.73982938177534</v>
      </c>
      <c r="F23" s="54">
        <f>F21+F22</f>
        <v>506.50936175816457</v>
      </c>
      <c r="G23" s="54">
        <f t="shared" ref="G23:N23" si="7">G21+G22</f>
        <v>556.65857533065559</v>
      </c>
      <c r="H23" s="54">
        <f t="shared" si="7"/>
        <v>610.99949174954452</v>
      </c>
      <c r="I23" s="54">
        <f t="shared" si="7"/>
        <v>669.85432664919074</v>
      </c>
      <c r="J23" s="54">
        <f t="shared" si="7"/>
        <v>733.56887140982894</v>
      </c>
      <c r="K23" s="54">
        <f t="shared" si="7"/>
        <v>777.71579601341466</v>
      </c>
      <c r="L23" s="54">
        <f t="shared" si="7"/>
        <v>824.51572839899529</v>
      </c>
      <c r="M23" s="54">
        <f t="shared" si="7"/>
        <v>874.12784903349211</v>
      </c>
      <c r="N23" s="54">
        <f t="shared" si="7"/>
        <v>926.72088921183843</v>
      </c>
    </row>
    <row r="24" spans="1:14" ht="13.2" x14ac:dyDescent="0.25">
      <c r="A24" s="2" t="s">
        <v>311</v>
      </c>
      <c r="B24" s="54">
        <f>B12</f>
        <v>123.8</v>
      </c>
      <c r="C24" s="54">
        <f>C12</f>
        <v>133</v>
      </c>
      <c r="D24" s="16"/>
      <c r="E24" s="70">
        <f>+E12+E13</f>
        <v>149.69000456379274</v>
      </c>
      <c r="F24" s="70">
        <f t="shared" ref="F24:N24" si="8">+F12+F13</f>
        <v>161.1287669704619</v>
      </c>
      <c r="G24" s="70">
        <f t="shared" si="8"/>
        <v>170.33449298868962</v>
      </c>
      <c r="H24" s="70">
        <f t="shared" si="8"/>
        <v>180.092562568011</v>
      </c>
      <c r="I24" s="70">
        <f t="shared" si="8"/>
        <v>190.43611632209166</v>
      </c>
      <c r="J24" s="70">
        <f t="shared" si="8"/>
        <v>201.4002833014172</v>
      </c>
      <c r="K24" s="70">
        <f t="shared" si="8"/>
        <v>213.02230029950223</v>
      </c>
      <c r="L24" s="70">
        <f t="shared" si="8"/>
        <v>225.34163831747239</v>
      </c>
      <c r="M24" s="70">
        <f t="shared" si="8"/>
        <v>238.40013661652074</v>
      </c>
      <c r="N24" s="70">
        <f t="shared" si="8"/>
        <v>252.24214481351203</v>
      </c>
    </row>
    <row r="25" spans="1:14" ht="13.2" x14ac:dyDescent="0.25">
      <c r="A25" s="2" t="s">
        <v>325</v>
      </c>
      <c r="B25" s="54">
        <f>B15</f>
        <v>-2.2999999999999998</v>
      </c>
      <c r="C25" s="54">
        <f>C15</f>
        <v>182.5</v>
      </c>
      <c r="D25" s="16"/>
      <c r="E25" s="70"/>
      <c r="F25" s="70"/>
      <c r="G25" s="70"/>
      <c r="H25" s="70"/>
      <c r="I25" s="70"/>
      <c r="J25" s="70"/>
      <c r="K25" s="70"/>
      <c r="L25" s="70"/>
      <c r="M25" s="70"/>
      <c r="N25" s="70"/>
    </row>
    <row r="26" spans="1:14" ht="13.2" x14ac:dyDescent="0.25">
      <c r="A26" s="2" t="s">
        <v>324</v>
      </c>
      <c r="B26" s="54">
        <f>-B18</f>
        <v>-18.100000000000001</v>
      </c>
      <c r="C26" s="54">
        <f>-C18</f>
        <v>-5.3</v>
      </c>
      <c r="D26" s="16"/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</row>
    <row r="27" spans="1:14" ht="13.2" x14ac:dyDescent="0.25">
      <c r="A27" s="2" t="s">
        <v>155</v>
      </c>
      <c r="B27" s="54">
        <f>-('OAT Balance Sheet'!C27-'OAT Balance Sheet'!D27)</f>
        <v>23.500000000000007</v>
      </c>
      <c r="C27" s="54">
        <f>-('OAT Balance Sheet'!B27-'OAT Balance Sheet'!C27)</f>
        <v>0</v>
      </c>
      <c r="D27" s="43" t="s">
        <v>156</v>
      </c>
      <c r="E27" s="70">
        <f>C61-E61+C62-E62</f>
        <v>-2.5454307020470779</v>
      </c>
      <c r="F27" s="70">
        <f>E61-F61+E62-F62</f>
        <v>3.7312741578771949</v>
      </c>
      <c r="G27" s="70">
        <f t="shared" ref="G27:N27" si="9">F61-G61+F62-G62</f>
        <v>3.4931506073498184</v>
      </c>
      <c r="H27" s="70">
        <f t="shared" si="9"/>
        <v>3.2407396437908034</v>
      </c>
      <c r="I27" s="70">
        <f t="shared" si="9"/>
        <v>2.973184022418252</v>
      </c>
      <c r="J27" s="70">
        <f t="shared" si="9"/>
        <v>2.6895750637633569</v>
      </c>
      <c r="K27" s="70">
        <f t="shared" si="9"/>
        <v>2.3889495675891368</v>
      </c>
      <c r="L27" s="70">
        <f t="shared" si="9"/>
        <v>2.0702865416444922</v>
      </c>
      <c r="M27" s="70">
        <f t="shared" si="9"/>
        <v>1.7325037341431653</v>
      </c>
      <c r="N27" s="70">
        <f t="shared" si="9"/>
        <v>1.3744539581917508</v>
      </c>
    </row>
    <row r="28" spans="1:14" ht="13.2" x14ac:dyDescent="0.25">
      <c r="A28" s="2" t="s">
        <v>157</v>
      </c>
      <c r="B28" s="54">
        <f>-('OAT Balance Sheet'!C43-'OAT Balance Sheet'!D43)</f>
        <v>10.299999999999955</v>
      </c>
      <c r="C28" s="54">
        <f>-('OAT Balance Sheet'!B43-'OAT Balance Sheet'!C43)</f>
        <v>5.1000000000000227</v>
      </c>
      <c r="D28" s="43" t="s">
        <v>156</v>
      </c>
      <c r="E28" s="70">
        <f>C69-E69</f>
        <v>-66.072715002622658</v>
      </c>
      <c r="F28" s="70">
        <f>E69-F69</f>
        <v>-35.044362900157353</v>
      </c>
      <c r="G28" s="70">
        <f t="shared" ref="G28:N28" si="10">F69-G69</f>
        <v>-37.147024674166801</v>
      </c>
      <c r="H28" s="70">
        <f t="shared" si="10"/>
        <v>-39.375846154616852</v>
      </c>
      <c r="I28" s="70">
        <f t="shared" si="10"/>
        <v>-41.738396923893788</v>
      </c>
      <c r="J28" s="70">
        <f t="shared" si="10"/>
        <v>-44.242700739327461</v>
      </c>
      <c r="K28" s="70">
        <f t="shared" si="10"/>
        <v>-46.897262783687211</v>
      </c>
      <c r="L28" s="70">
        <f t="shared" si="10"/>
        <v>-49.711098550708357</v>
      </c>
      <c r="M28" s="70">
        <f t="shared" si="10"/>
        <v>-52.693764463750881</v>
      </c>
      <c r="N28" s="70">
        <f t="shared" si="10"/>
        <v>-55.855390331576018</v>
      </c>
    </row>
    <row r="29" spans="1:14" ht="13.2" x14ac:dyDescent="0.25">
      <c r="A29" s="7" t="s">
        <v>158</v>
      </c>
      <c r="B29" s="61">
        <v>0</v>
      </c>
      <c r="C29" s="61">
        <v>0</v>
      </c>
      <c r="D29" s="44" t="s">
        <v>156</v>
      </c>
      <c r="E29" s="80">
        <v>0</v>
      </c>
      <c r="F29" s="80">
        <v>0</v>
      </c>
      <c r="G29" s="80">
        <v>0</v>
      </c>
      <c r="H29" s="80">
        <v>0</v>
      </c>
      <c r="I29" s="80">
        <v>0</v>
      </c>
      <c r="J29" s="80">
        <v>0</v>
      </c>
      <c r="K29" s="80">
        <v>0</v>
      </c>
      <c r="L29" s="80">
        <v>0</v>
      </c>
      <c r="M29" s="80">
        <v>0</v>
      </c>
      <c r="N29" s="80">
        <v>0</v>
      </c>
    </row>
    <row r="30" spans="1:14" ht="13.2" x14ac:dyDescent="0.25">
      <c r="A30" s="25" t="s">
        <v>159</v>
      </c>
      <c r="B30" s="54">
        <f>SUM(B23:B29)</f>
        <v>637.8541558861574</v>
      </c>
      <c r="C30" s="54">
        <f>SUM(C23:C29)</f>
        <v>711.02691958613173</v>
      </c>
      <c r="D30" s="42"/>
      <c r="E30" s="64">
        <f t="shared" ref="E30:N30" si="11">SUM(E23:E29)</f>
        <v>526.81168824089843</v>
      </c>
      <c r="F30" s="64">
        <f t="shared" si="11"/>
        <v>636.32503998634638</v>
      </c>
      <c r="G30" s="64">
        <f t="shared" si="11"/>
        <v>693.33919425252816</v>
      </c>
      <c r="H30" s="64">
        <f t="shared" si="11"/>
        <v>754.95694780672943</v>
      </c>
      <c r="I30" s="64">
        <f t="shared" si="11"/>
        <v>821.52523006980687</v>
      </c>
      <c r="J30" s="64">
        <f t="shared" si="11"/>
        <v>893.41602903568207</v>
      </c>
      <c r="K30" s="64">
        <f t="shared" si="11"/>
        <v>946.22978309681889</v>
      </c>
      <c r="L30" s="64">
        <f t="shared" si="11"/>
        <v>1002.2165547074037</v>
      </c>
      <c r="M30" s="64">
        <f t="shared" si="11"/>
        <v>1061.5667249204052</v>
      </c>
      <c r="N30" s="64">
        <f t="shared" si="11"/>
        <v>1124.4820976519661</v>
      </c>
    </row>
    <row r="31" spans="1:14" ht="13.2" x14ac:dyDescent="0.25">
      <c r="A31" s="45" t="s">
        <v>160</v>
      </c>
      <c r="B31" s="54">
        <f>-('OAT Balance Sheet'!C7-'OAT Balance Sheet'!D7)</f>
        <v>29.099999999999966</v>
      </c>
      <c r="C31" s="54">
        <f>-('OAT Balance Sheet'!B7-'OAT Balance Sheet'!C7)</f>
        <v>-43.699999999999989</v>
      </c>
      <c r="D31" s="16" t="s">
        <v>156</v>
      </c>
      <c r="E31" s="70">
        <f>C55-E55</f>
        <v>-10.988396501791271</v>
      </c>
      <c r="F31" s="70"/>
      <c r="G31" s="70">
        <f t="shared" ref="G31:N31" si="12">F55-G55</f>
        <v>-19.6516620175139</v>
      </c>
      <c r="H31" s="70">
        <f t="shared" si="12"/>
        <v>-20.830761738564831</v>
      </c>
      <c r="I31" s="70">
        <f t="shared" si="12"/>
        <v>-22.080607442878659</v>
      </c>
      <c r="J31" s="70">
        <f t="shared" si="12"/>
        <v>-23.405443889451362</v>
      </c>
      <c r="K31" s="70">
        <f t="shared" si="12"/>
        <v>-24.809770522818496</v>
      </c>
      <c r="L31" s="70">
        <f t="shared" si="12"/>
        <v>-26.29835675418758</v>
      </c>
      <c r="M31" s="70">
        <f t="shared" si="12"/>
        <v>-27.876258159438862</v>
      </c>
      <c r="N31" s="70">
        <f t="shared" si="12"/>
        <v>-29.548833649005189</v>
      </c>
    </row>
    <row r="32" spans="1:14" ht="13.2" x14ac:dyDescent="0.25">
      <c r="A32" s="45" t="s">
        <v>161</v>
      </c>
      <c r="B32" s="54">
        <f>-(('OAT Balance Sheet'!C14-'OAT Balance Sheet'!D14)+('OAT Balance Sheet'!C13-'OAT Balance Sheet'!D13))</f>
        <v>18.299999999999983</v>
      </c>
      <c r="C32" s="54">
        <f>-(('OAT Balance Sheet'!B14-'OAT Balance Sheet'!C14)+('OAT Balance Sheet'!B13-'OAT Balance Sheet'!C13))</f>
        <v>-81.899999999999977</v>
      </c>
      <c r="D32" s="16" t="s">
        <v>156</v>
      </c>
      <c r="E32" s="70">
        <f>C56+C58-E56-E58</f>
        <v>-32.466000000000065</v>
      </c>
      <c r="F32" s="70">
        <f>E56+E58-F56-F58</f>
        <v>-34.413959999999975</v>
      </c>
      <c r="G32" s="70">
        <f t="shared" ref="G32:N32" si="13">F56+F58-G56-G58</f>
        <v>-36.47879759999995</v>
      </c>
      <c r="H32" s="70">
        <f t="shared" si="13"/>
        <v>-38.667525456000135</v>
      </c>
      <c r="I32" s="70">
        <f t="shared" si="13"/>
        <v>-40.9875769833601</v>
      </c>
      <c r="J32" s="70">
        <f t="shared" si="13"/>
        <v>-43.446831602361556</v>
      </c>
      <c r="K32" s="70">
        <f t="shared" si="13"/>
        <v>-46.053641498503453</v>
      </c>
      <c r="L32" s="70">
        <f t="shared" si="13"/>
        <v>-48.816859988413569</v>
      </c>
      <c r="M32" s="70">
        <f t="shared" si="13"/>
        <v>-51.745871587718455</v>
      </c>
      <c r="N32" s="70">
        <f t="shared" si="13"/>
        <v>-54.850623882981381</v>
      </c>
    </row>
    <row r="33" spans="1:14" ht="13.2" x14ac:dyDescent="0.25">
      <c r="A33" s="45" t="s">
        <v>162</v>
      </c>
      <c r="B33" s="54">
        <f>-('OAT Balance Sheet'!C35-'OAT Balance Sheet'!D35)</f>
        <v>-45.199999999999989</v>
      </c>
      <c r="C33" s="54">
        <f>-('OAT Balance Sheet'!B35-'OAT Balance Sheet'!C35)</f>
        <v>1.2999999999999829</v>
      </c>
      <c r="D33" s="16" t="s">
        <v>156</v>
      </c>
      <c r="E33" s="70">
        <f>+E65-C65</f>
        <v>2.1497355357200547</v>
      </c>
      <c r="F33" s="70">
        <f>+F65-E65</f>
        <v>12.866984132143216</v>
      </c>
      <c r="G33" s="70">
        <f t="shared" ref="G33:N33" si="14">+G65-F65</f>
        <v>13.639003180071796</v>
      </c>
      <c r="H33" s="70">
        <f t="shared" si="14"/>
        <v>14.457343370876117</v>
      </c>
      <c r="I33" s="70">
        <f t="shared" si="14"/>
        <v>15.324783973128717</v>
      </c>
      <c r="J33" s="70">
        <f t="shared" si="14"/>
        <v>16.244271011516389</v>
      </c>
      <c r="K33" s="70">
        <f t="shared" si="14"/>
        <v>17.218927272207395</v>
      </c>
      <c r="L33" s="70">
        <f t="shared" si="14"/>
        <v>18.252062908539813</v>
      </c>
      <c r="M33" s="70">
        <f t="shared" si="14"/>
        <v>19.347186683052257</v>
      </c>
      <c r="N33" s="70">
        <f t="shared" si="14"/>
        <v>20.508017884035382</v>
      </c>
    </row>
    <row r="34" spans="1:14" ht="13.2" x14ac:dyDescent="0.25">
      <c r="A34" s="40" t="s">
        <v>163</v>
      </c>
      <c r="B34" s="61">
        <f>-(('OAT Balance Sheet'!C36-'OAT Balance Sheet'!D36)+('OAT Balance Sheet'!C37-'OAT Balance Sheet'!D37)+('OAT Balance Sheet'!C39-'OAT Balance Sheet'!D39))</f>
        <v>110.4</v>
      </c>
      <c r="C34" s="61">
        <f>-(('OAT Balance Sheet'!B36-'OAT Balance Sheet'!C36)+('OAT Balance Sheet'!B37-'OAT Balance Sheet'!C37)+('OAT Balance Sheet'!B39-'OAT Balance Sheet'!C39))</f>
        <v>27.199999999999974</v>
      </c>
      <c r="D34" s="9" t="s">
        <v>156</v>
      </c>
      <c r="E34" s="80">
        <f>E66-C66</f>
        <v>118.9221076830853</v>
      </c>
      <c r="F34" s="80">
        <f t="shared" ref="F34:N34" si="15">F66-E66</f>
        <v>38.245326460985211</v>
      </c>
      <c r="G34" s="80">
        <f t="shared" si="15"/>
        <v>40.540046048644172</v>
      </c>
      <c r="H34" s="80">
        <f t="shared" si="15"/>
        <v>42.972448811562913</v>
      </c>
      <c r="I34" s="80">
        <f t="shared" si="15"/>
        <v>45.550795740256717</v>
      </c>
      <c r="J34" s="80">
        <f t="shared" si="15"/>
        <v>48.283843484672161</v>
      </c>
      <c r="K34" s="80">
        <f t="shared" si="15"/>
        <v>51.180874093752436</v>
      </c>
      <c r="L34" s="80">
        <f t="shared" si="15"/>
        <v>54.251726539377614</v>
      </c>
      <c r="M34" s="80">
        <f t="shared" si="15"/>
        <v>57.50683013174023</v>
      </c>
      <c r="N34" s="80">
        <f t="shared" si="15"/>
        <v>60.957239939644751</v>
      </c>
    </row>
    <row r="35" spans="1:14" ht="13.2" x14ac:dyDescent="0.25">
      <c r="A35" s="25" t="s">
        <v>164</v>
      </c>
      <c r="B35" s="54">
        <f>SUM(B30:B34)</f>
        <v>750.45415588615731</v>
      </c>
      <c r="C35" s="54">
        <f>SUM(C30:C34)</f>
        <v>613.92691958613159</v>
      </c>
      <c r="D35" s="42"/>
      <c r="E35" s="64">
        <f t="shared" ref="E35:N35" si="16">SUM(E30:E34)</f>
        <v>604.42913495791242</v>
      </c>
      <c r="F35" s="64">
        <f t="shared" si="16"/>
        <v>653.02339057947484</v>
      </c>
      <c r="G35" s="64">
        <f t="shared" si="16"/>
        <v>691.38778386373019</v>
      </c>
      <c r="H35" s="64">
        <f t="shared" si="16"/>
        <v>752.8884527946035</v>
      </c>
      <c r="I35" s="64">
        <f t="shared" si="16"/>
        <v>819.33262535695349</v>
      </c>
      <c r="J35" s="64">
        <f t="shared" si="16"/>
        <v>891.09186804005765</v>
      </c>
      <c r="K35" s="64">
        <f t="shared" si="16"/>
        <v>943.76617244145677</v>
      </c>
      <c r="L35" s="64">
        <f t="shared" si="16"/>
        <v>999.60512741271987</v>
      </c>
      <c r="M35" s="64">
        <f t="shared" si="16"/>
        <v>1058.7986119880406</v>
      </c>
      <c r="N35" s="64">
        <f t="shared" si="16"/>
        <v>1121.5478979436596</v>
      </c>
    </row>
    <row r="36" spans="1:14" ht="13.2" x14ac:dyDescent="0.25">
      <c r="A36" s="2" t="s">
        <v>165</v>
      </c>
      <c r="B36" s="55">
        <f>'OAT Balance Sheet'!D25-'OAT Balance Sheet'!C25-'OAT Cash Flow'!D9</f>
        <v>-160.30000000000001</v>
      </c>
      <c r="C36" s="155">
        <f>B60-C60-'OAT Cash Flow'!C9</f>
        <v>-146.29999999999995</v>
      </c>
      <c r="D36" s="16"/>
      <c r="E36" s="70">
        <f>+C60-E60-E24</f>
        <v>-248.58785537183155</v>
      </c>
      <c r="F36" s="70">
        <f t="shared" ref="F36:N36" si="17">+E60-F60-F24</f>
        <v>-234.26263801894433</v>
      </c>
      <c r="G36" s="70">
        <f t="shared" si="17"/>
        <v>-247.85639630008089</v>
      </c>
      <c r="H36" s="70">
        <f t="shared" si="17"/>
        <v>-262.26578007808587</v>
      </c>
      <c r="I36" s="70">
        <f t="shared" si="17"/>
        <v>-277.53972688277094</v>
      </c>
      <c r="J36" s="70">
        <f t="shared" si="17"/>
        <v>-293.73011049573734</v>
      </c>
      <c r="K36" s="70">
        <f t="shared" si="17"/>
        <v>-310.89191712548165</v>
      </c>
      <c r="L36" s="70">
        <f t="shared" si="17"/>
        <v>-329.08343215301034</v>
      </c>
      <c r="M36" s="70">
        <f t="shared" si="17"/>
        <v>-348.36643808219128</v>
      </c>
      <c r="N36" s="70">
        <f t="shared" si="17"/>
        <v>-368.80642436712276</v>
      </c>
    </row>
    <row r="37" spans="1:14" ht="13.2" x14ac:dyDescent="0.25">
      <c r="A37" s="25" t="s">
        <v>166</v>
      </c>
      <c r="B37" s="54">
        <f>B35+B36</f>
        <v>590.15415588615724</v>
      </c>
      <c r="C37" s="54">
        <f>C35+C36</f>
        <v>467.62691958613163</v>
      </c>
      <c r="D37" s="25"/>
      <c r="E37" s="64">
        <f t="shared" ref="E37:N37" si="18">E35+E36</f>
        <v>355.84127958608087</v>
      </c>
      <c r="F37" s="64">
        <f t="shared" si="18"/>
        <v>418.76075256053048</v>
      </c>
      <c r="G37" s="64">
        <f t="shared" si="18"/>
        <v>443.53138756364933</v>
      </c>
      <c r="H37" s="64">
        <f t="shared" si="18"/>
        <v>490.62267271651763</v>
      </c>
      <c r="I37" s="64">
        <f t="shared" si="18"/>
        <v>541.79289847418249</v>
      </c>
      <c r="J37" s="64">
        <f t="shared" si="18"/>
        <v>597.36175754432031</v>
      </c>
      <c r="K37" s="64">
        <f t="shared" si="18"/>
        <v>632.87425531597512</v>
      </c>
      <c r="L37" s="64">
        <f t="shared" si="18"/>
        <v>670.52169525970953</v>
      </c>
      <c r="M37" s="64">
        <f t="shared" si="18"/>
        <v>710.43217390584937</v>
      </c>
      <c r="N37" s="64">
        <f t="shared" si="18"/>
        <v>752.74147357653681</v>
      </c>
    </row>
    <row r="38" spans="1:14" ht="13.2" x14ac:dyDescent="0.25">
      <c r="A38" s="25" t="s">
        <v>167</v>
      </c>
      <c r="B38" s="2"/>
      <c r="C38" s="63">
        <f>'OAT Inputs'!E11</f>
        <v>18</v>
      </c>
      <c r="D38" s="30"/>
      <c r="E38" s="64"/>
      <c r="F38" s="64"/>
      <c r="G38" s="64"/>
      <c r="H38" s="64"/>
      <c r="I38" s="64"/>
      <c r="J38" s="64"/>
      <c r="K38" s="64"/>
      <c r="L38" s="64"/>
      <c r="M38" s="64"/>
      <c r="N38" s="65">
        <f>((+N14+N12+N13)*$C$38)</f>
        <v>29152.130129029669</v>
      </c>
    </row>
    <row r="39" spans="1:14" ht="13.2" x14ac:dyDescent="0.25">
      <c r="A39" s="25" t="s">
        <v>168</v>
      </c>
      <c r="B39" s="2"/>
      <c r="C39" s="66"/>
      <c r="D39" s="184"/>
      <c r="E39" s="64">
        <f>SUM(E37:E38)</f>
        <v>355.84127958608087</v>
      </c>
      <c r="F39" s="64">
        <f t="shared" ref="F39:N39" si="19">SUM(F37:F38)</f>
        <v>418.76075256053048</v>
      </c>
      <c r="G39" s="64">
        <f t="shared" si="19"/>
        <v>443.53138756364933</v>
      </c>
      <c r="H39" s="64">
        <f t="shared" si="19"/>
        <v>490.62267271651763</v>
      </c>
      <c r="I39" s="64">
        <f t="shared" si="19"/>
        <v>541.79289847418249</v>
      </c>
      <c r="J39" s="64">
        <f t="shared" si="19"/>
        <v>597.36175754432031</v>
      </c>
      <c r="K39" s="64">
        <f t="shared" si="19"/>
        <v>632.87425531597512</v>
      </c>
      <c r="L39" s="64">
        <f t="shared" si="19"/>
        <v>670.52169525970953</v>
      </c>
      <c r="M39" s="64">
        <f t="shared" si="19"/>
        <v>710.43217390584937</v>
      </c>
      <c r="N39" s="64">
        <f t="shared" si="19"/>
        <v>29904.871602606207</v>
      </c>
    </row>
    <row r="40" spans="1:14" ht="13.2" x14ac:dyDescent="0.25">
      <c r="A40" s="25"/>
      <c r="B40" s="2"/>
      <c r="C40" s="66"/>
      <c r="D40" s="184"/>
      <c r="E40" s="64"/>
      <c r="F40" s="64"/>
      <c r="G40" s="64"/>
      <c r="H40" s="64"/>
      <c r="I40" s="64"/>
      <c r="J40" s="64"/>
      <c r="K40" s="64"/>
      <c r="L40" s="64"/>
      <c r="M40" s="64"/>
      <c r="N40" s="67"/>
    </row>
    <row r="41" spans="1:14" ht="13.2" x14ac:dyDescent="0.25">
      <c r="A41" s="25" t="s">
        <v>169</v>
      </c>
      <c r="B41" s="2"/>
      <c r="C41" s="68">
        <f>'OAT Inputs'!E10</f>
        <v>0.09</v>
      </c>
      <c r="E41" s="69">
        <f>NPV(C41,E39:N39)</f>
        <v>15719.254796779178</v>
      </c>
      <c r="F41" s="64"/>
      <c r="G41" s="203">
        <f>15750/(C23+C20+C24)</f>
        <v>21.898512932556947</v>
      </c>
      <c r="H41" s="64">
        <f>C23+C20+C24</f>
        <v>719.22691958613166</v>
      </c>
      <c r="I41" s="64"/>
      <c r="J41" s="64"/>
      <c r="K41" s="64"/>
      <c r="L41" s="64"/>
      <c r="M41" s="64"/>
      <c r="N41" s="67"/>
    </row>
    <row r="42" spans="1:14" ht="13.2" x14ac:dyDescent="0.25">
      <c r="A42" s="46" t="s">
        <v>170</v>
      </c>
      <c r="B42" s="2"/>
      <c r="C42" s="70"/>
      <c r="E42" s="71">
        <f>IF(E41=0,0,-(C70))</f>
        <v>-793.7</v>
      </c>
      <c r="F42" s="72"/>
      <c r="G42" s="72"/>
      <c r="H42" s="73"/>
      <c r="I42" s="72"/>
      <c r="J42" s="72"/>
      <c r="K42" s="72"/>
      <c r="L42" s="72"/>
      <c r="M42" s="72"/>
      <c r="N42" s="72"/>
    </row>
    <row r="43" spans="1:14" ht="13.2" x14ac:dyDescent="0.25">
      <c r="A43" s="47" t="s">
        <v>171</v>
      </c>
      <c r="B43" s="2"/>
      <c r="C43" s="70"/>
      <c r="D43" s="12"/>
      <c r="E43" s="74">
        <v>0</v>
      </c>
      <c r="F43" s="70"/>
      <c r="G43" s="70"/>
      <c r="I43" s="70"/>
      <c r="J43" s="70"/>
      <c r="K43" s="70"/>
      <c r="L43" s="70"/>
      <c r="M43" s="70"/>
      <c r="N43" s="70"/>
    </row>
    <row r="44" spans="1:14" ht="13.2" x14ac:dyDescent="0.25">
      <c r="A44" s="47" t="s">
        <v>172</v>
      </c>
      <c r="B44" s="2"/>
      <c r="C44" s="75"/>
      <c r="D44" s="183"/>
      <c r="E44" s="71">
        <f>SUM(E41:E43)</f>
        <v>14925.554796779177</v>
      </c>
      <c r="F44" s="75"/>
      <c r="G44" s="75"/>
      <c r="H44" s="75"/>
      <c r="I44" s="75"/>
      <c r="J44" s="75"/>
      <c r="K44" s="75"/>
      <c r="L44" s="75"/>
      <c r="M44" s="75"/>
      <c r="N44" s="75"/>
    </row>
    <row r="45" spans="1:14" ht="13.2" x14ac:dyDescent="0.25">
      <c r="A45" s="2" t="s">
        <v>173</v>
      </c>
      <c r="B45" s="2"/>
      <c r="C45" s="70"/>
      <c r="D45" s="12"/>
      <c r="E45" s="71">
        <f>'OAT Inputs'!E37/1000000</f>
        <v>131.93299999999999</v>
      </c>
      <c r="F45" s="70"/>
      <c r="G45" s="70"/>
      <c r="H45" s="70"/>
      <c r="I45" s="70"/>
      <c r="J45" s="70"/>
      <c r="K45" s="70"/>
      <c r="L45" s="70"/>
      <c r="M45" s="70"/>
      <c r="N45" s="70"/>
    </row>
    <row r="46" spans="1:14" ht="13.2" x14ac:dyDescent="0.25">
      <c r="A46" s="48" t="s">
        <v>174</v>
      </c>
      <c r="B46" s="2"/>
      <c r="C46" s="64"/>
      <c r="D46" s="77"/>
      <c r="E46" s="78">
        <f>E44/E45</f>
        <v>113.12980677146111</v>
      </c>
      <c r="F46" s="79"/>
      <c r="G46" s="79"/>
      <c r="H46" s="79"/>
      <c r="I46" s="79"/>
      <c r="J46" s="79"/>
      <c r="K46" s="79"/>
      <c r="L46" s="79"/>
      <c r="M46" s="79"/>
      <c r="N46" s="79"/>
    </row>
    <row r="47" spans="1:14" ht="13.2" x14ac:dyDescent="0.25">
      <c r="A47" s="2"/>
      <c r="B47" s="2"/>
      <c r="C47" s="2"/>
      <c r="D47" s="54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3.2" hidden="1" x14ac:dyDescent="0.25">
      <c r="A48" s="56"/>
      <c r="B48" s="2"/>
      <c r="C48" s="2"/>
      <c r="D48" s="49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3.2" hidden="1" x14ac:dyDescent="0.25">
      <c r="A49" s="56"/>
      <c r="B49" s="2"/>
      <c r="C49" s="2"/>
      <c r="D49" s="49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3.2" hidden="1" x14ac:dyDescent="0.25">
      <c r="A50" s="56"/>
      <c r="B50" s="2"/>
      <c r="C50" s="2"/>
      <c r="D50" s="49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3.2" hidden="1" x14ac:dyDescent="0.25">
      <c r="A51" s="56"/>
      <c r="B51" s="2"/>
      <c r="C51" s="2"/>
      <c r="D51" s="49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3.2" x14ac:dyDescent="0.25">
      <c r="A52" s="25"/>
      <c r="B52" s="148" t="str">
        <f>+B6</f>
        <v>Actual</v>
      </c>
      <c r="C52" s="148" t="str">
        <f>+C6</f>
        <v>Actual</v>
      </c>
      <c r="D52" s="12"/>
      <c r="E52" s="148" t="str">
        <f t="shared" ref="E52:N53" si="20">+E6</f>
        <v>Forecast</v>
      </c>
      <c r="F52" s="148" t="str">
        <f t="shared" si="20"/>
        <v>Forecast</v>
      </c>
      <c r="G52" s="148" t="str">
        <f t="shared" si="20"/>
        <v>Forecast</v>
      </c>
      <c r="H52" s="148" t="str">
        <f t="shared" si="20"/>
        <v>Forecast</v>
      </c>
      <c r="I52" s="148" t="str">
        <f t="shared" si="20"/>
        <v>Forecast</v>
      </c>
      <c r="J52" s="148" t="str">
        <f t="shared" si="20"/>
        <v>Forecast</v>
      </c>
      <c r="K52" s="148" t="str">
        <f t="shared" si="20"/>
        <v>Forecast</v>
      </c>
      <c r="L52" s="148" t="str">
        <f t="shared" si="20"/>
        <v>Forecast</v>
      </c>
      <c r="M52" s="148" t="str">
        <f t="shared" si="20"/>
        <v>Forecast</v>
      </c>
      <c r="N52" s="148" t="str">
        <f t="shared" si="20"/>
        <v>Forecast</v>
      </c>
    </row>
    <row r="53" spans="1:14" ht="13.2" x14ac:dyDescent="0.25">
      <c r="A53" s="50" t="s">
        <v>142</v>
      </c>
      <c r="B53" s="149">
        <f>+B7</f>
        <v>1999</v>
      </c>
      <c r="C53" s="149">
        <f>+C7</f>
        <v>2000</v>
      </c>
      <c r="D53" s="33" t="s">
        <v>210</v>
      </c>
      <c r="E53" s="149">
        <f t="shared" si="20"/>
        <v>2001</v>
      </c>
      <c r="F53" s="149">
        <f t="shared" si="20"/>
        <v>2002</v>
      </c>
      <c r="G53" s="149">
        <f t="shared" si="20"/>
        <v>2003</v>
      </c>
      <c r="H53" s="149">
        <f t="shared" si="20"/>
        <v>2004</v>
      </c>
      <c r="I53" s="149">
        <f t="shared" si="20"/>
        <v>2005</v>
      </c>
      <c r="J53" s="149">
        <f t="shared" si="20"/>
        <v>2006</v>
      </c>
      <c r="K53" s="149">
        <f t="shared" si="20"/>
        <v>2007</v>
      </c>
      <c r="L53" s="149">
        <f t="shared" si="20"/>
        <v>2008</v>
      </c>
      <c r="M53" s="149">
        <f t="shared" si="20"/>
        <v>2009</v>
      </c>
      <c r="N53" s="150">
        <f t="shared" si="20"/>
        <v>2010</v>
      </c>
    </row>
    <row r="54" spans="1:14" ht="13.2" x14ac:dyDescent="0.25">
      <c r="A54" s="2" t="s">
        <v>177</v>
      </c>
      <c r="B54" s="151">
        <f>'OAT Balance Sheet'!C5+'OAT Balance Sheet'!B6</f>
        <v>283.2</v>
      </c>
      <c r="C54" s="151">
        <f>'OAT Balance Sheet'!B5+'OAT Balance Sheet'!C6</f>
        <v>174.60000000000002</v>
      </c>
      <c r="D54" s="43"/>
      <c r="E54" s="54">
        <f>E8*('OAT Balance Sheet'!I70+'OAT Balance Sheet'!I71)</f>
        <v>185.07600000000002</v>
      </c>
      <c r="F54" s="54">
        <f>F8*('OAT Balance Sheet'!J70+'OAT Balance Sheet'!J71)</f>
        <v>196.18056000000001</v>
      </c>
      <c r="G54" s="54">
        <f>G8*('OAT Balance Sheet'!K70+'OAT Balance Sheet'!K71)</f>
        <v>207.95139360000002</v>
      </c>
      <c r="H54" s="54">
        <f>H8*('OAT Balance Sheet'!L70+'OAT Balance Sheet'!L71)</f>
        <v>220.42847721600003</v>
      </c>
      <c r="I54" s="54">
        <f>I8*('OAT Balance Sheet'!M70+'OAT Balance Sheet'!M71)</f>
        <v>233.65418584896005</v>
      </c>
      <c r="J54" s="54">
        <f>J8*('OAT Balance Sheet'!N70+'OAT Balance Sheet'!N71)</f>
        <v>247.67343699989766</v>
      </c>
      <c r="K54" s="54">
        <f>K8*('OAT Balance Sheet'!O70+'OAT Balance Sheet'!O71)</f>
        <v>262.53384321989154</v>
      </c>
      <c r="L54" s="54">
        <f>L8*('OAT Balance Sheet'!P70+'OAT Balance Sheet'!P71)</f>
        <v>278.28587381308506</v>
      </c>
      <c r="M54" s="54">
        <f>M8*('OAT Balance Sheet'!Q70+'OAT Balance Sheet'!Q71)</f>
        <v>294.98302624187016</v>
      </c>
      <c r="N54" s="54">
        <f>N8*('OAT Balance Sheet'!R70+'OAT Balance Sheet'!R71)</f>
        <v>312.6820078163824</v>
      </c>
    </row>
    <row r="55" spans="1:14" ht="13.2" x14ac:dyDescent="0.25">
      <c r="A55" s="2" t="s">
        <v>178</v>
      </c>
      <c r="B55" s="153">
        <f>'OAT Balance Sheet'!C7</f>
        <v>254.3</v>
      </c>
      <c r="C55" s="153">
        <f>'OAT Balance Sheet'!B7</f>
        <v>298</v>
      </c>
      <c r="D55" s="43"/>
      <c r="E55" s="153">
        <f>E8*'OAT Balance Sheet'!$G72</f>
        <v>308.98839650179127</v>
      </c>
      <c r="F55" s="153">
        <f>F8*'OAT Balance Sheet'!$G72</f>
        <v>327.52770029189873</v>
      </c>
      <c r="G55" s="153">
        <f>G8*'OAT Balance Sheet'!$G72</f>
        <v>347.17936230941262</v>
      </c>
      <c r="H55" s="153">
        <f>H8*'OAT Balance Sheet'!$G72</f>
        <v>368.01012404797746</v>
      </c>
      <c r="I55" s="153">
        <f>I8*'OAT Balance Sheet'!$G72</f>
        <v>390.09073149085611</v>
      </c>
      <c r="J55" s="153">
        <f>J8*'OAT Balance Sheet'!$G72</f>
        <v>413.49617538030748</v>
      </c>
      <c r="K55" s="153">
        <f>K8*'OAT Balance Sheet'!$G72</f>
        <v>438.30594590312597</v>
      </c>
      <c r="L55" s="153">
        <f>L8*'OAT Balance Sheet'!$G72</f>
        <v>464.60430265731355</v>
      </c>
      <c r="M55" s="153">
        <f>M8*'OAT Balance Sheet'!$G72</f>
        <v>492.48056081675242</v>
      </c>
      <c r="N55" s="153">
        <f>N8*'OAT Balance Sheet'!$G72</f>
        <v>522.0293944657576</v>
      </c>
    </row>
    <row r="56" spans="1:14" ht="13.2" x14ac:dyDescent="0.25">
      <c r="A56" s="2" t="s">
        <v>179</v>
      </c>
      <c r="B56" s="153">
        <f>'OAT Balance Sheet'!C13</f>
        <v>266.2</v>
      </c>
      <c r="C56" s="153">
        <f>'OAT Balance Sheet'!B13</f>
        <v>287.39999999999998</v>
      </c>
      <c r="D56" s="43"/>
      <c r="E56" s="153">
        <f>E8*'OAT Balance Sheet'!I78</f>
        <v>304.64400000000001</v>
      </c>
      <c r="F56" s="153">
        <f>F8*'OAT Balance Sheet'!J78</f>
        <v>322.92264</v>
      </c>
      <c r="G56" s="153">
        <f>G8*'OAT Balance Sheet'!K78</f>
        <v>342.29799839999998</v>
      </c>
      <c r="H56" s="153">
        <f>H8*'OAT Balance Sheet'!L78</f>
        <v>362.835878304</v>
      </c>
      <c r="I56" s="153">
        <f>I8*'OAT Balance Sheet'!M78</f>
        <v>384.60603100224006</v>
      </c>
      <c r="J56" s="153">
        <f>J8*'OAT Balance Sheet'!N78</f>
        <v>407.68239286237446</v>
      </c>
      <c r="K56" s="153">
        <f>K8*'OAT Balance Sheet'!O78</f>
        <v>432.14333643411697</v>
      </c>
      <c r="L56" s="153">
        <f>L8*'OAT Balance Sheet'!P78</f>
        <v>458.07193662016402</v>
      </c>
      <c r="M56" s="153">
        <f>M8*'OAT Balance Sheet'!Q78</f>
        <v>485.55625281737389</v>
      </c>
      <c r="N56" s="153">
        <f>N8*'OAT Balance Sheet'!R78</f>
        <v>514.68962798641633</v>
      </c>
    </row>
    <row r="57" spans="1:14" ht="13.2" x14ac:dyDescent="0.25">
      <c r="A57" s="2" t="s">
        <v>180</v>
      </c>
      <c r="B57" s="153">
        <v>0</v>
      </c>
      <c r="C57" s="153">
        <v>0</v>
      </c>
      <c r="D57" s="43"/>
      <c r="E57" s="153"/>
      <c r="F57" s="153"/>
      <c r="G57" s="153"/>
      <c r="H57" s="153"/>
      <c r="I57" s="153"/>
      <c r="J57" s="153"/>
      <c r="K57" s="153"/>
      <c r="L57" s="153"/>
      <c r="M57" s="153"/>
      <c r="N57" s="153"/>
    </row>
    <row r="58" spans="1:14" ht="13.2" x14ac:dyDescent="0.25">
      <c r="A58" s="7" t="s">
        <v>181</v>
      </c>
      <c r="B58" s="154">
        <f>'OAT Balance Sheet'!C14</f>
        <v>193</v>
      </c>
      <c r="C58" s="154">
        <f>'OAT Balance Sheet'!B14</f>
        <v>253.7</v>
      </c>
      <c r="D58" s="44"/>
      <c r="E58" s="154">
        <f>E8*'OAT Balance Sheet'!I79</f>
        <v>268.92199999999997</v>
      </c>
      <c r="F58" s="154">
        <f>F8*'OAT Balance Sheet'!J79</f>
        <v>285.05732</v>
      </c>
      <c r="G58" s="154">
        <f>G8*'OAT Balance Sheet'!K79</f>
        <v>302.16075919999997</v>
      </c>
      <c r="H58" s="154">
        <f>H8*'OAT Balance Sheet'!L79</f>
        <v>320.29040475200003</v>
      </c>
      <c r="I58" s="154">
        <f>I8*'OAT Balance Sheet'!M79</f>
        <v>339.50782903712008</v>
      </c>
      <c r="J58" s="154">
        <f>J8*'OAT Balance Sheet'!N79</f>
        <v>359.87829877934723</v>
      </c>
      <c r="K58" s="154">
        <f>K8*'OAT Balance Sheet'!O79</f>
        <v>381.47099670610811</v>
      </c>
      <c r="L58" s="154">
        <f>L8*'OAT Balance Sheet'!P79</f>
        <v>404.35925650847463</v>
      </c>
      <c r="M58" s="154">
        <f>M8*'OAT Balance Sheet'!Q79</f>
        <v>428.62081189898316</v>
      </c>
      <c r="N58" s="154">
        <f>N8*'OAT Balance Sheet'!R79</f>
        <v>454.33806061292216</v>
      </c>
    </row>
    <row r="59" spans="1:14" ht="13.2" x14ac:dyDescent="0.25">
      <c r="A59" s="2" t="s">
        <v>182</v>
      </c>
      <c r="B59" s="153">
        <f>SUM(B54:B58)</f>
        <v>996.7</v>
      </c>
      <c r="C59" s="153">
        <f>SUM(C54:C58)</f>
        <v>1013.7</v>
      </c>
      <c r="D59" s="43"/>
      <c r="E59" s="153">
        <f t="shared" ref="E59:N59" si="21">SUM(E54:E58)</f>
        <v>1067.6303965017912</v>
      </c>
      <c r="F59" s="153">
        <f t="shared" si="21"/>
        <v>1131.6882202918987</v>
      </c>
      <c r="G59" s="153">
        <f t="shared" si="21"/>
        <v>1199.5895135094127</v>
      </c>
      <c r="H59" s="153">
        <f t="shared" si="21"/>
        <v>1271.5648843199776</v>
      </c>
      <c r="I59" s="153">
        <f t="shared" si="21"/>
        <v>1347.8587773791762</v>
      </c>
      <c r="J59" s="153">
        <f t="shared" si="21"/>
        <v>1428.7303040219267</v>
      </c>
      <c r="K59" s="153">
        <f t="shared" si="21"/>
        <v>1514.4541222632424</v>
      </c>
      <c r="L59" s="153">
        <f t="shared" si="21"/>
        <v>1605.3213695990371</v>
      </c>
      <c r="M59" s="153">
        <f t="shared" si="21"/>
        <v>1701.6406517749797</v>
      </c>
      <c r="N59" s="153">
        <f t="shared" si="21"/>
        <v>1803.7390908814784</v>
      </c>
    </row>
    <row r="60" spans="1:14" ht="13.2" x14ac:dyDescent="0.25">
      <c r="A60" s="2" t="s">
        <v>183</v>
      </c>
      <c r="B60" s="153">
        <f>'OAT Balance Sheet'!C25</f>
        <v>1106.7</v>
      </c>
      <c r="C60" s="153">
        <f>'OAT Balance Sheet'!B25</f>
        <v>1120</v>
      </c>
      <c r="D60" s="51"/>
      <c r="E60" s="153">
        <f>E8*'OAT Balance Sheet'!I90</f>
        <v>1218.8978508080388</v>
      </c>
      <c r="F60" s="153">
        <f>F8*'OAT Balance Sheet'!J90</f>
        <v>1292.0317218565212</v>
      </c>
      <c r="G60" s="153">
        <f>G8*'OAT Balance Sheet'!K90</f>
        <v>1369.5536251679125</v>
      </c>
      <c r="H60" s="153">
        <f>H8*'OAT Balance Sheet'!L90</f>
        <v>1451.7268426779874</v>
      </c>
      <c r="I60" s="153">
        <f>I8*'OAT Balance Sheet'!M90</f>
        <v>1538.8304532386667</v>
      </c>
      <c r="J60" s="153">
        <f>J8*'OAT Balance Sheet'!N90</f>
        <v>1631.1602804329868</v>
      </c>
      <c r="K60" s="153">
        <f>K8*'OAT Balance Sheet'!O90</f>
        <v>1729.0298972589662</v>
      </c>
      <c r="L60" s="153">
        <f>L8*'OAT Balance Sheet'!P90</f>
        <v>1832.7716910945041</v>
      </c>
      <c r="M60" s="153">
        <f>M8*'OAT Balance Sheet'!Q90</f>
        <v>1942.7379925601747</v>
      </c>
      <c r="N60" s="153">
        <f>N8*'OAT Balance Sheet'!R90</f>
        <v>2059.3022721137854</v>
      </c>
    </row>
    <row r="61" spans="1:14" ht="13.2" x14ac:dyDescent="0.25">
      <c r="A61" s="2" t="s">
        <v>184</v>
      </c>
      <c r="B61" s="153">
        <f>'OAT Balance Sheet'!C26</f>
        <v>236.9</v>
      </c>
      <c r="C61" s="153">
        <f>'OAT Balance Sheet'!B26</f>
        <v>229.2</v>
      </c>
      <c r="D61" s="51">
        <f>B61-C61</f>
        <v>7.7000000000000171</v>
      </c>
      <c r="E61" s="153">
        <f>C61-$D61</f>
        <v>221.49999999999997</v>
      </c>
      <c r="F61" s="153">
        <f>E61-$D61</f>
        <v>213.79999999999995</v>
      </c>
      <c r="G61" s="153">
        <f t="shared" ref="G61:N61" si="22">F61-$D61</f>
        <v>206.09999999999994</v>
      </c>
      <c r="H61" s="153">
        <f t="shared" si="22"/>
        <v>198.39999999999992</v>
      </c>
      <c r="I61" s="153">
        <f t="shared" si="22"/>
        <v>190.6999999999999</v>
      </c>
      <c r="J61" s="153">
        <f t="shared" si="22"/>
        <v>182.99999999999989</v>
      </c>
      <c r="K61" s="153">
        <f t="shared" si="22"/>
        <v>175.29999999999987</v>
      </c>
      <c r="L61" s="153">
        <f t="shared" si="22"/>
        <v>167.59999999999985</v>
      </c>
      <c r="M61" s="153">
        <f t="shared" si="22"/>
        <v>159.89999999999984</v>
      </c>
      <c r="N61" s="153">
        <f t="shared" si="22"/>
        <v>152.19999999999982</v>
      </c>
    </row>
    <row r="62" spans="1:14" ht="13.2" x14ac:dyDescent="0.25">
      <c r="A62" s="7" t="s">
        <v>185</v>
      </c>
      <c r="B62" s="154">
        <f>'OAT Balance Sheet'!C27</f>
        <v>55.9</v>
      </c>
      <c r="C62" s="154">
        <f>'OAT Balance Sheet'!B27</f>
        <v>55.9</v>
      </c>
      <c r="D62" s="44"/>
      <c r="E62" s="154">
        <f>E8*'OAT Balance Sheet'!I92</f>
        <v>66.145430702047094</v>
      </c>
      <c r="F62" s="154">
        <f>F8*'OAT Balance Sheet'!J92</f>
        <v>70.114156544169916</v>
      </c>
      <c r="G62" s="154">
        <f>G8*'OAT Balance Sheet'!K92</f>
        <v>74.321005936820114</v>
      </c>
      <c r="H62" s="154">
        <f>H8*'OAT Balance Sheet'!L92</f>
        <v>78.780266293029328</v>
      </c>
      <c r="I62" s="154">
        <f>I8*'OAT Balance Sheet'!M92</f>
        <v>83.507082270611093</v>
      </c>
      <c r="J62" s="154">
        <f>J8*'OAT Balance Sheet'!N92</f>
        <v>88.517507206847753</v>
      </c>
      <c r="K62" s="154">
        <f>K8*'OAT Balance Sheet'!O92</f>
        <v>93.828557639258634</v>
      </c>
      <c r="L62" s="154">
        <f>L8*'OAT Balance Sheet'!P92</f>
        <v>99.458271097614158</v>
      </c>
      <c r="M62" s="154">
        <f>M8*'OAT Balance Sheet'!Q92</f>
        <v>105.42576736347101</v>
      </c>
      <c r="N62" s="154">
        <f>N8*'OAT Balance Sheet'!R92</f>
        <v>111.75131340527928</v>
      </c>
    </row>
    <row r="63" spans="1:14" ht="13.2" x14ac:dyDescent="0.25">
      <c r="A63" s="175" t="s">
        <v>186</v>
      </c>
      <c r="B63" s="176">
        <f>SUM(B59:B62)</f>
        <v>2396.2000000000003</v>
      </c>
      <c r="C63" s="176">
        <f>SUM(C59:C62)</f>
        <v>2418.7999999999997</v>
      </c>
      <c r="D63" s="177"/>
      <c r="E63" s="176">
        <f>SUM(E59:E62)</f>
        <v>2574.1736780118772</v>
      </c>
      <c r="F63" s="176">
        <f t="shared" ref="F63:N63" si="23">SUM(F59:F62)</f>
        <v>2707.6340986925902</v>
      </c>
      <c r="G63" s="176">
        <f t="shared" si="23"/>
        <v>2849.5641446141453</v>
      </c>
      <c r="H63" s="176">
        <f t="shared" si="23"/>
        <v>3000.4719932909948</v>
      </c>
      <c r="I63" s="176">
        <f t="shared" si="23"/>
        <v>3160.8963128884538</v>
      </c>
      <c r="J63" s="176">
        <f t="shared" si="23"/>
        <v>3331.4080916617613</v>
      </c>
      <c r="K63" s="176">
        <f t="shared" si="23"/>
        <v>3512.612577161467</v>
      </c>
      <c r="L63" s="176">
        <f t="shared" si="23"/>
        <v>3705.1513317911554</v>
      </c>
      <c r="M63" s="176">
        <f t="shared" si="23"/>
        <v>3909.7044116986253</v>
      </c>
      <c r="N63" s="176">
        <f t="shared" si="23"/>
        <v>4126.9926764005431</v>
      </c>
    </row>
    <row r="64" spans="1:14" ht="13.2" x14ac:dyDescent="0.25">
      <c r="A64" s="2"/>
      <c r="B64" s="153"/>
      <c r="C64" s="153"/>
      <c r="D64" s="2"/>
      <c r="E64" s="153"/>
      <c r="F64" s="153"/>
      <c r="G64" s="153"/>
      <c r="H64" s="153"/>
      <c r="I64" s="153"/>
      <c r="J64" s="153"/>
      <c r="K64" s="153"/>
      <c r="L64" s="153"/>
      <c r="M64" s="153"/>
      <c r="N64" s="153"/>
    </row>
    <row r="65" spans="1:14" ht="13.2" x14ac:dyDescent="0.25">
      <c r="A65" s="2" t="s">
        <v>187</v>
      </c>
      <c r="B65" s="153">
        <f>'OAT Balance Sheet'!C35</f>
        <v>213.6</v>
      </c>
      <c r="C65" s="153">
        <f>'OAT Balance Sheet'!B35</f>
        <v>212.3</v>
      </c>
      <c r="D65" s="43"/>
      <c r="E65" s="153">
        <f>E8*'OAT Balance Sheet'!I100</f>
        <v>214.44973553572007</v>
      </c>
      <c r="F65" s="153">
        <f>F8*'OAT Balance Sheet'!J100</f>
        <v>227.31671966786328</v>
      </c>
      <c r="G65" s="153">
        <f>G8*'OAT Balance Sheet'!K100</f>
        <v>240.95572284793508</v>
      </c>
      <c r="H65" s="153">
        <f>H8*'OAT Balance Sheet'!L100</f>
        <v>255.4130662188112</v>
      </c>
      <c r="I65" s="153">
        <f>I8*'OAT Balance Sheet'!M100</f>
        <v>270.73785019193991</v>
      </c>
      <c r="J65" s="153">
        <f>J8*'OAT Balance Sheet'!N100</f>
        <v>286.9821212034563</v>
      </c>
      <c r="K65" s="153">
        <f>K8*'OAT Balance Sheet'!O100</f>
        <v>304.2010484756637</v>
      </c>
      <c r="L65" s="153">
        <f>L8*'OAT Balance Sheet'!P100</f>
        <v>322.45311138420351</v>
      </c>
      <c r="M65" s="153">
        <f>M8*'OAT Balance Sheet'!Q100</f>
        <v>341.80029806725577</v>
      </c>
      <c r="N65" s="153">
        <f>N8*'OAT Balance Sheet'!R100</f>
        <v>362.30831595129115</v>
      </c>
    </row>
    <row r="66" spans="1:14" ht="13.2" x14ac:dyDescent="0.25">
      <c r="A66" s="7" t="s">
        <v>312</v>
      </c>
      <c r="B66" s="154">
        <f>'OAT Balance Sheet'!C39+'OAT Balance Sheet'!C37+'OAT Balance Sheet'!C36+'OAT Balance Sheet'!C38</f>
        <v>570.20000000000005</v>
      </c>
      <c r="C66" s="154">
        <f>'OAT Balance Sheet'!B39+'OAT Balance Sheet'!B37+'OAT Balance Sheet'!B36+'OAT Balance Sheet'!B38</f>
        <v>518.5</v>
      </c>
      <c r="D66" s="44"/>
      <c r="E66" s="154">
        <f>E8*('OAT Balance Sheet'!$G101+'OAT Balance Sheet'!$G102+'OAT Balance Sheet'!$G103+'OAT Balance Sheet'!$G104)</f>
        <v>637.4221076830853</v>
      </c>
      <c r="F66" s="154">
        <f>F8*('OAT Balance Sheet'!$G101+'OAT Balance Sheet'!$G102+'OAT Balance Sheet'!$G103+'OAT Balance Sheet'!$G104)</f>
        <v>675.66743414407051</v>
      </c>
      <c r="G66" s="154">
        <f>G8*('OAT Balance Sheet'!$G101+'OAT Balance Sheet'!$G102+'OAT Balance Sheet'!$G103+'OAT Balance Sheet'!$G104)</f>
        <v>716.20748019271468</v>
      </c>
      <c r="H66" s="154">
        <f>H8*('OAT Balance Sheet'!$G101+'OAT Balance Sheet'!$G102+'OAT Balance Sheet'!$G103+'OAT Balance Sheet'!$G104)</f>
        <v>759.1799290042776</v>
      </c>
      <c r="I66" s="154">
        <f>I8*('OAT Balance Sheet'!$G101+'OAT Balance Sheet'!$G102+'OAT Balance Sheet'!$G103+'OAT Balance Sheet'!$G104)</f>
        <v>804.73072474453431</v>
      </c>
      <c r="J66" s="154">
        <f>J8*('OAT Balance Sheet'!$G101+'OAT Balance Sheet'!$G102+'OAT Balance Sheet'!$G103+'OAT Balance Sheet'!$G104)</f>
        <v>853.01456822920647</v>
      </c>
      <c r="K66" s="154">
        <f>K8*('OAT Balance Sheet'!$G101+'OAT Balance Sheet'!$G102+'OAT Balance Sheet'!$G103+'OAT Balance Sheet'!$G104)</f>
        <v>904.19544232295891</v>
      </c>
      <c r="L66" s="154">
        <f>L8*('OAT Balance Sheet'!$G101+'OAT Balance Sheet'!$G102+'OAT Balance Sheet'!$G103+'OAT Balance Sheet'!$G104)</f>
        <v>958.44716886233653</v>
      </c>
      <c r="M66" s="154">
        <f>M8*('OAT Balance Sheet'!$G101+'OAT Balance Sheet'!$G102+'OAT Balance Sheet'!$G103+'OAT Balance Sheet'!$G104)</f>
        <v>1015.9539989940768</v>
      </c>
      <c r="N66" s="154">
        <f>N8*('OAT Balance Sheet'!$G101+'OAT Balance Sheet'!$G102+'OAT Balance Sheet'!$G103+'OAT Balance Sheet'!$G104)</f>
        <v>1076.9112389337215</v>
      </c>
    </row>
    <row r="67" spans="1:14" ht="13.2" x14ac:dyDescent="0.25">
      <c r="A67" s="2" t="s">
        <v>188</v>
      </c>
      <c r="B67" s="153">
        <f>SUM(B65:B66)</f>
        <v>783.80000000000007</v>
      </c>
      <c r="C67" s="153">
        <f>SUM(C65:C66)</f>
        <v>730.8</v>
      </c>
      <c r="D67" s="16"/>
      <c r="E67" s="153">
        <f>SUM(E65:E66)</f>
        <v>851.87184321880534</v>
      </c>
      <c r="F67" s="153">
        <f t="shared" ref="F67:N67" si="24">SUM(F65:F66)</f>
        <v>902.98415381193377</v>
      </c>
      <c r="G67" s="153">
        <f t="shared" si="24"/>
        <v>957.16320304064971</v>
      </c>
      <c r="H67" s="153">
        <f t="shared" si="24"/>
        <v>1014.5929952230888</v>
      </c>
      <c r="I67" s="153">
        <f t="shared" si="24"/>
        <v>1075.4685749364742</v>
      </c>
      <c r="J67" s="153">
        <f t="shared" si="24"/>
        <v>1139.9966894326628</v>
      </c>
      <c r="K67" s="153">
        <f t="shared" si="24"/>
        <v>1208.3964907986226</v>
      </c>
      <c r="L67" s="153">
        <f t="shared" si="24"/>
        <v>1280.90028024654</v>
      </c>
      <c r="M67" s="153">
        <f t="shared" si="24"/>
        <v>1357.7542970613326</v>
      </c>
      <c r="N67" s="153">
        <f t="shared" si="24"/>
        <v>1439.2195548850127</v>
      </c>
    </row>
    <row r="68" spans="1:14" ht="13.2" x14ac:dyDescent="0.25">
      <c r="A68" s="19"/>
      <c r="B68" s="153"/>
      <c r="C68" s="153"/>
      <c r="D68" s="16"/>
      <c r="E68" s="153"/>
      <c r="F68" s="153"/>
      <c r="G68" s="153"/>
      <c r="H68" s="153"/>
      <c r="I68" s="153"/>
      <c r="J68" s="153"/>
      <c r="K68" s="153"/>
      <c r="L68" s="153"/>
      <c r="M68" s="153"/>
      <c r="N68" s="153"/>
    </row>
    <row r="69" spans="1:14" ht="13.2" x14ac:dyDescent="0.25">
      <c r="A69" s="19" t="s">
        <v>189</v>
      </c>
      <c r="B69" s="153">
        <f>'OAT Balance Sheet'!C43</f>
        <v>523.1</v>
      </c>
      <c r="C69" s="153">
        <f>'OAT Balance Sheet'!B43</f>
        <v>518</v>
      </c>
      <c r="D69" s="16"/>
      <c r="E69" s="153">
        <f>E8*'OAT Balance Sheet'!I108</f>
        <v>584.07271500262266</v>
      </c>
      <c r="F69" s="153">
        <f>F8*'OAT Balance Sheet'!J108</f>
        <v>619.11707790278001</v>
      </c>
      <c r="G69" s="153">
        <f>G8*'OAT Balance Sheet'!K108</f>
        <v>656.26410257694681</v>
      </c>
      <c r="H69" s="153">
        <f>H8*'OAT Balance Sheet'!L108</f>
        <v>695.63994873156366</v>
      </c>
      <c r="I69" s="153">
        <f>I8*'OAT Balance Sheet'!M108</f>
        <v>737.37834565545745</v>
      </c>
      <c r="J69" s="153">
        <f>J8*'OAT Balance Sheet'!N108</f>
        <v>781.62104639478491</v>
      </c>
      <c r="K69" s="153">
        <f>K8*'OAT Balance Sheet'!O108</f>
        <v>828.51830917847212</v>
      </c>
      <c r="L69" s="153">
        <f>L8*'OAT Balance Sheet'!P108</f>
        <v>878.22940772918048</v>
      </c>
      <c r="M69" s="153">
        <f>M8*'OAT Balance Sheet'!Q108</f>
        <v>930.92317219293136</v>
      </c>
      <c r="N69" s="153">
        <f>N8*'OAT Balance Sheet'!R108</f>
        <v>986.77856252450738</v>
      </c>
    </row>
    <row r="70" spans="1:14" ht="13.2" x14ac:dyDescent="0.25">
      <c r="A70" s="7" t="s">
        <v>190</v>
      </c>
      <c r="B70" s="154">
        <f>'OAT Balance Sheet'!C33+'OAT Balance Sheet'!C34+'OAT Balance Sheet'!C42</f>
        <v>869.5</v>
      </c>
      <c r="C70" s="154">
        <f>'OAT Balance Sheet'!B33+'OAT Balance Sheet'!B34+'OAT Balance Sheet'!B42</f>
        <v>793.7</v>
      </c>
      <c r="D70" s="9"/>
      <c r="E70" s="154">
        <f t="shared" ref="E70:N70" si="25">($C$70/$C$63)*E63</f>
        <v>844.68399546801197</v>
      </c>
      <c r="F70" s="154">
        <f t="shared" si="25"/>
        <v>888.47742026306821</v>
      </c>
      <c r="G70" s="154">
        <f t="shared" si="25"/>
        <v>935.05005026469644</v>
      </c>
      <c r="H70" s="154">
        <f t="shared" si="25"/>
        <v>984.56863778529146</v>
      </c>
      <c r="I70" s="154">
        <f t="shared" si="25"/>
        <v>1037.2099402759907</v>
      </c>
      <c r="J70" s="154">
        <f t="shared" si="25"/>
        <v>1093.1613206350009</v>
      </c>
      <c r="K70" s="154">
        <f t="shared" si="25"/>
        <v>1152.6213835344208</v>
      </c>
      <c r="L70" s="154">
        <f t="shared" si="25"/>
        <v>1215.8006499266746</v>
      </c>
      <c r="M70" s="154">
        <f t="shared" si="25"/>
        <v>1282.9222720213327</v>
      </c>
      <c r="N70" s="154">
        <f t="shared" si="25"/>
        <v>1354.2227911605389</v>
      </c>
    </row>
    <row r="71" spans="1:14" ht="13.2" x14ac:dyDescent="0.25">
      <c r="A71" s="172" t="s">
        <v>191</v>
      </c>
      <c r="B71" s="173">
        <f>SUM(B67:B70)</f>
        <v>2176.4</v>
      </c>
      <c r="C71" s="173">
        <f>SUM(C67:C70)</f>
        <v>2042.5</v>
      </c>
      <c r="D71" s="174"/>
      <c r="E71" s="173">
        <f t="shared" ref="E71:N71" si="26">SUM(E67:E70)</f>
        <v>2280.6285536894402</v>
      </c>
      <c r="F71" s="173">
        <f t="shared" si="26"/>
        <v>2410.5786519777821</v>
      </c>
      <c r="G71" s="173">
        <f t="shared" si="26"/>
        <v>2548.4773558822931</v>
      </c>
      <c r="H71" s="173">
        <f t="shared" si="26"/>
        <v>2694.8015817399437</v>
      </c>
      <c r="I71" s="173">
        <f t="shared" si="26"/>
        <v>2850.0568608679223</v>
      </c>
      <c r="J71" s="173">
        <f t="shared" si="26"/>
        <v>3014.7790564624484</v>
      </c>
      <c r="K71" s="173">
        <f t="shared" si="26"/>
        <v>3189.5361835115154</v>
      </c>
      <c r="L71" s="173">
        <f t="shared" si="26"/>
        <v>3374.930337902395</v>
      </c>
      <c r="M71" s="173">
        <f t="shared" si="26"/>
        <v>3571.5997412755969</v>
      </c>
      <c r="N71" s="173">
        <f t="shared" si="26"/>
        <v>3780.2209085700588</v>
      </c>
    </row>
    <row r="72" spans="1:14" ht="13.2" x14ac:dyDescent="0.25">
      <c r="A72" s="2" t="s">
        <v>305</v>
      </c>
      <c r="B72" s="151">
        <v>100</v>
      </c>
      <c r="C72" s="151">
        <v>100</v>
      </c>
      <c r="D72" s="16"/>
      <c r="E72" s="151">
        <v>100</v>
      </c>
      <c r="F72" s="151">
        <v>100</v>
      </c>
      <c r="G72" s="151">
        <v>100</v>
      </c>
      <c r="H72" s="151">
        <v>100</v>
      </c>
      <c r="I72" s="151">
        <v>100</v>
      </c>
      <c r="J72" s="151">
        <v>100</v>
      </c>
      <c r="K72" s="151">
        <v>100</v>
      </c>
      <c r="L72" s="151">
        <v>100</v>
      </c>
      <c r="M72" s="151">
        <v>100</v>
      </c>
      <c r="N72" s="151">
        <v>100</v>
      </c>
    </row>
    <row r="73" spans="1:14" ht="13.2" x14ac:dyDescent="0.25">
      <c r="A73" s="2" t="s">
        <v>308</v>
      </c>
      <c r="B73" s="151">
        <f>'OAT Balance Sheet'!C50</f>
        <v>-39</v>
      </c>
      <c r="C73" s="151">
        <f>'OAT Balance Sheet'!B50</f>
        <v>-51.2</v>
      </c>
      <c r="D73" s="16"/>
      <c r="E73" s="151">
        <f>C73</f>
        <v>-51.2</v>
      </c>
      <c r="F73" s="151">
        <f>E73</f>
        <v>-51.2</v>
      </c>
      <c r="G73" s="151">
        <f t="shared" ref="G73:N73" si="27">F73</f>
        <v>-51.2</v>
      </c>
      <c r="H73" s="151">
        <f t="shared" si="27"/>
        <v>-51.2</v>
      </c>
      <c r="I73" s="151">
        <f t="shared" si="27"/>
        <v>-51.2</v>
      </c>
      <c r="J73" s="151">
        <f t="shared" si="27"/>
        <v>-51.2</v>
      </c>
      <c r="K73" s="151">
        <f t="shared" si="27"/>
        <v>-51.2</v>
      </c>
      <c r="L73" s="151">
        <f t="shared" si="27"/>
        <v>-51.2</v>
      </c>
      <c r="M73" s="151">
        <f t="shared" si="27"/>
        <v>-51.2</v>
      </c>
      <c r="N73" s="151">
        <f t="shared" si="27"/>
        <v>-51.2</v>
      </c>
    </row>
    <row r="74" spans="1:14" ht="13.2" x14ac:dyDescent="0.25">
      <c r="A74" s="2" t="s">
        <v>306</v>
      </c>
      <c r="B74" s="151">
        <f>'OAT Balance Sheet'!C48</f>
        <v>-38.5</v>
      </c>
      <c r="C74" s="151">
        <f>'OAT Balance Sheet'!B48</f>
        <v>-27.2</v>
      </c>
      <c r="D74" s="16"/>
      <c r="E74" s="151">
        <v>-27</v>
      </c>
      <c r="F74" s="151">
        <v>-27</v>
      </c>
      <c r="G74" s="151">
        <v>-27</v>
      </c>
      <c r="H74" s="151">
        <v>-27</v>
      </c>
      <c r="I74" s="151">
        <v>-27</v>
      </c>
      <c r="J74" s="151">
        <v>-27</v>
      </c>
      <c r="K74" s="151">
        <v>-27</v>
      </c>
      <c r="L74" s="151">
        <v>-27</v>
      </c>
      <c r="M74" s="151">
        <v>-27</v>
      </c>
      <c r="N74" s="151">
        <v>-27</v>
      </c>
    </row>
    <row r="75" spans="1:14" ht="13.2" x14ac:dyDescent="0.25">
      <c r="A75" s="7" t="s">
        <v>192</v>
      </c>
      <c r="B75" s="152">
        <f>SUM('OAT Balance Sheet'!C53:C58)</f>
        <v>197.30000000000018</v>
      </c>
      <c r="C75" s="152">
        <f>SUM('OAT Balance Sheet'!B53:B58)</f>
        <v>354.69999999999982</v>
      </c>
      <c r="D75" s="9"/>
      <c r="E75" s="154">
        <f>E76-E72-E73-E74-E71</f>
        <v>271.74512432243682</v>
      </c>
      <c r="F75" s="154">
        <f t="shared" ref="F75:N75" si="28">F76-F72-F73-F74-F71</f>
        <v>275.25544671480793</v>
      </c>
      <c r="G75" s="154">
        <f t="shared" si="28"/>
        <v>279.28678873185208</v>
      </c>
      <c r="H75" s="154">
        <f t="shared" si="28"/>
        <v>283.87041155105089</v>
      </c>
      <c r="I75" s="154">
        <f t="shared" si="28"/>
        <v>289.03945202053137</v>
      </c>
      <c r="J75" s="154">
        <f t="shared" si="28"/>
        <v>294.82903519931278</v>
      </c>
      <c r="K75" s="154">
        <f t="shared" si="28"/>
        <v>301.27639364995139</v>
      </c>
      <c r="L75" s="154">
        <f t="shared" si="28"/>
        <v>308.42099388876022</v>
      </c>
      <c r="M75" s="154">
        <f t="shared" si="28"/>
        <v>316.30467042302826</v>
      </c>
      <c r="N75" s="154">
        <f t="shared" si="28"/>
        <v>324.97176783048417</v>
      </c>
    </row>
    <row r="76" spans="1:14" ht="13.2" x14ac:dyDescent="0.25">
      <c r="A76" s="172" t="s">
        <v>193</v>
      </c>
      <c r="B76" s="173">
        <f>SUM(B71:B75)</f>
        <v>2396.2000000000003</v>
      </c>
      <c r="C76" s="173">
        <f>SUM(C71:C75)</f>
        <v>2418.8000000000002</v>
      </c>
      <c r="D76" s="174"/>
      <c r="E76" s="178">
        <f>E63</f>
        <v>2574.1736780118772</v>
      </c>
      <c r="F76" s="178">
        <f t="shared" ref="F76:N76" si="29">F63</f>
        <v>2707.6340986925902</v>
      </c>
      <c r="G76" s="178">
        <f t="shared" si="29"/>
        <v>2849.5641446141453</v>
      </c>
      <c r="H76" s="178">
        <f t="shared" si="29"/>
        <v>3000.4719932909948</v>
      </c>
      <c r="I76" s="178">
        <f t="shared" si="29"/>
        <v>3160.8963128884538</v>
      </c>
      <c r="J76" s="178">
        <f t="shared" si="29"/>
        <v>3331.4080916617613</v>
      </c>
      <c r="K76" s="178">
        <f t="shared" si="29"/>
        <v>3512.612577161467</v>
      </c>
      <c r="L76" s="178">
        <f t="shared" si="29"/>
        <v>3705.1513317911554</v>
      </c>
      <c r="M76" s="178">
        <f t="shared" si="29"/>
        <v>3909.7044116986253</v>
      </c>
      <c r="N76" s="178">
        <f t="shared" si="29"/>
        <v>4126.9926764005431</v>
      </c>
    </row>
    <row r="77" spans="1:14" ht="13.2" x14ac:dyDescent="0.25">
      <c r="A77" s="19" t="s">
        <v>307</v>
      </c>
      <c r="B77" s="165">
        <f>B63-B76</f>
        <v>0</v>
      </c>
      <c r="C77" s="165">
        <f>C63-C76</f>
        <v>0</v>
      </c>
      <c r="D77" s="39"/>
      <c r="E77" s="166">
        <f t="shared" ref="E77:N77" si="30">E63-E76</f>
        <v>0</v>
      </c>
      <c r="F77" s="166">
        <f t="shared" si="30"/>
        <v>0</v>
      </c>
      <c r="G77" s="166">
        <f t="shared" si="30"/>
        <v>0</v>
      </c>
      <c r="H77" s="166">
        <f t="shared" si="30"/>
        <v>0</v>
      </c>
      <c r="I77" s="166">
        <f t="shared" si="30"/>
        <v>0</v>
      </c>
      <c r="J77" s="166">
        <f t="shared" si="30"/>
        <v>0</v>
      </c>
      <c r="K77" s="166">
        <f t="shared" si="30"/>
        <v>0</v>
      </c>
      <c r="L77" s="166">
        <f t="shared" si="30"/>
        <v>0</v>
      </c>
      <c r="M77" s="166">
        <f t="shared" si="30"/>
        <v>0</v>
      </c>
      <c r="N77" s="166">
        <f t="shared" si="30"/>
        <v>0</v>
      </c>
    </row>
    <row r="78" spans="1:14" ht="13.2" x14ac:dyDescent="0.25">
      <c r="A78" s="2"/>
      <c r="B78" s="168"/>
      <c r="C78" s="168"/>
      <c r="D78" s="181" t="s">
        <v>211</v>
      </c>
      <c r="E78" s="182">
        <f>E75-(C75+E91+E85)</f>
        <v>0</v>
      </c>
      <c r="F78" s="182">
        <f>F75-(E75+F91+F85)</f>
        <v>0</v>
      </c>
      <c r="G78" s="182">
        <f t="shared" ref="G78:N78" si="31">G75-(F75+G91+G85)</f>
        <v>0</v>
      </c>
      <c r="H78" s="182">
        <f t="shared" si="31"/>
        <v>0</v>
      </c>
      <c r="I78" s="182">
        <f t="shared" si="31"/>
        <v>0</v>
      </c>
      <c r="J78" s="182">
        <f t="shared" si="31"/>
        <v>0</v>
      </c>
      <c r="K78" s="182">
        <f t="shared" si="31"/>
        <v>0</v>
      </c>
      <c r="L78" s="182">
        <f t="shared" si="31"/>
        <v>0</v>
      </c>
      <c r="M78" s="182">
        <f t="shared" si="31"/>
        <v>0</v>
      </c>
      <c r="N78" s="182">
        <f t="shared" si="31"/>
        <v>0</v>
      </c>
    </row>
    <row r="79" spans="1:14" ht="13.2" x14ac:dyDescent="0.25">
      <c r="A79" s="2"/>
      <c r="B79" s="151"/>
      <c r="C79" s="151"/>
      <c r="D79" s="2"/>
      <c r="E79" s="153"/>
      <c r="F79" s="153"/>
      <c r="G79" s="153"/>
      <c r="H79" s="153"/>
      <c r="I79" s="153"/>
      <c r="J79" s="153"/>
      <c r="K79" s="153"/>
      <c r="L79" s="153"/>
      <c r="M79" s="153"/>
      <c r="N79" s="153"/>
    </row>
    <row r="80" spans="1:14" ht="13.2" x14ac:dyDescent="0.25">
      <c r="A80" s="2" t="s">
        <v>194</v>
      </c>
      <c r="B80" s="151"/>
      <c r="C80" s="151">
        <f>C37</f>
        <v>467.62691958613163</v>
      </c>
      <c r="D80" s="2"/>
      <c r="E80" s="151">
        <f>E37</f>
        <v>355.84127958608087</v>
      </c>
      <c r="F80" s="151">
        <f>F37</f>
        <v>418.76075256053048</v>
      </c>
      <c r="G80" s="151">
        <f t="shared" ref="G80:N80" si="32">G37</f>
        <v>443.53138756364933</v>
      </c>
      <c r="H80" s="151">
        <f t="shared" si="32"/>
        <v>490.62267271651763</v>
      </c>
      <c r="I80" s="151">
        <f t="shared" si="32"/>
        <v>541.79289847418249</v>
      </c>
      <c r="J80" s="151">
        <f t="shared" si="32"/>
        <v>597.36175754432031</v>
      </c>
      <c r="K80" s="151">
        <f t="shared" si="32"/>
        <v>632.87425531597512</v>
      </c>
      <c r="L80" s="151">
        <f t="shared" si="32"/>
        <v>670.52169525970953</v>
      </c>
      <c r="M80" s="151">
        <f t="shared" si="32"/>
        <v>710.43217390584937</v>
      </c>
      <c r="N80" s="151">
        <f t="shared" si="32"/>
        <v>752.74147357653681</v>
      </c>
    </row>
    <row r="81" spans="1:14" ht="13.2" x14ac:dyDescent="0.25">
      <c r="A81" s="2" t="s">
        <v>195</v>
      </c>
      <c r="B81" s="151"/>
      <c r="C81" s="151">
        <f>-C16</f>
        <v>-54</v>
      </c>
      <c r="D81" s="43" t="s">
        <v>212</v>
      </c>
      <c r="E81" s="151">
        <f>-E16</f>
        <v>-67.574719637440964</v>
      </c>
      <c r="F81" s="151">
        <f t="shared" ref="F81:N81" si="33">-F16</f>
        <v>-71.078193621045457</v>
      </c>
      <c r="G81" s="151">
        <f t="shared" si="33"/>
        <v>-74.804004021175714</v>
      </c>
      <c r="H81" s="151">
        <f t="shared" si="33"/>
        <v>-78.765491022823312</v>
      </c>
      <c r="I81" s="151">
        <f t="shared" si="33"/>
        <v>-82.976795222079261</v>
      </c>
      <c r="J81" s="151">
        <f t="shared" si="33"/>
        <v>-87.452905650800076</v>
      </c>
      <c r="K81" s="151">
        <f t="shared" si="33"/>
        <v>-92.209710682753666</v>
      </c>
      <c r="L81" s="151">
        <f t="shared" si="33"/>
        <v>-97.264051994133979</v>
      </c>
      <c r="M81" s="151">
        <f t="shared" si="33"/>
        <v>-102.63378176170662</v>
      </c>
      <c r="N81" s="151">
        <f t="shared" si="33"/>
        <v>-108.33782329284311</v>
      </c>
    </row>
    <row r="82" spans="1:14" ht="13.2" x14ac:dyDescent="0.25">
      <c r="A82" s="2" t="s">
        <v>196</v>
      </c>
      <c r="B82" s="151"/>
      <c r="C82" s="151">
        <f>C70-B70</f>
        <v>-75.799999999999955</v>
      </c>
      <c r="D82" s="43" t="s">
        <v>156</v>
      </c>
      <c r="E82" s="151">
        <f>E70-C70</f>
        <v>50.983995468011926</v>
      </c>
      <c r="F82" s="151">
        <f>F70-E70</f>
        <v>43.793424795056239</v>
      </c>
      <c r="G82" s="151">
        <f t="shared" ref="G82:N82" si="34">G70-F70</f>
        <v>46.572630001628227</v>
      </c>
      <c r="H82" s="151">
        <f t="shared" si="34"/>
        <v>49.51858752059502</v>
      </c>
      <c r="I82" s="151">
        <f t="shared" si="34"/>
        <v>52.641302490699218</v>
      </c>
      <c r="J82" s="151">
        <f t="shared" si="34"/>
        <v>55.951380359010273</v>
      </c>
      <c r="K82" s="151">
        <f t="shared" si="34"/>
        <v>59.460062899419881</v>
      </c>
      <c r="L82" s="151">
        <f t="shared" si="34"/>
        <v>63.179266392253794</v>
      </c>
      <c r="M82" s="151">
        <f t="shared" si="34"/>
        <v>67.121622094658051</v>
      </c>
      <c r="N82" s="151">
        <f t="shared" si="34"/>
        <v>71.300519139206244</v>
      </c>
    </row>
    <row r="83" spans="1:14" ht="13.2" x14ac:dyDescent="0.25">
      <c r="A83" s="2" t="s">
        <v>321</v>
      </c>
      <c r="B83" s="151"/>
      <c r="C83" s="151">
        <f>C72+C73-(B72+B73)</f>
        <v>-12.200000000000003</v>
      </c>
      <c r="D83" s="43"/>
      <c r="E83" s="151">
        <f>E72+E73-(C72+C73)</f>
        <v>0</v>
      </c>
      <c r="F83" s="151">
        <f>F72+F73-(E72+E73)</f>
        <v>0</v>
      </c>
      <c r="G83" s="151">
        <f t="shared" ref="G83:N83" si="35">G72+G73-(F72+F73)</f>
        <v>0</v>
      </c>
      <c r="H83" s="151">
        <f t="shared" si="35"/>
        <v>0</v>
      </c>
      <c r="I83" s="151">
        <f t="shared" si="35"/>
        <v>0</v>
      </c>
      <c r="J83" s="151">
        <f t="shared" si="35"/>
        <v>0</v>
      </c>
      <c r="K83" s="151">
        <f t="shared" si="35"/>
        <v>0</v>
      </c>
      <c r="L83" s="151">
        <f t="shared" si="35"/>
        <v>0</v>
      </c>
      <c r="M83" s="151">
        <f t="shared" si="35"/>
        <v>0</v>
      </c>
      <c r="N83" s="151">
        <f t="shared" si="35"/>
        <v>0</v>
      </c>
    </row>
    <row r="84" spans="1:14" ht="13.2" x14ac:dyDescent="0.25">
      <c r="A84" s="157" t="s">
        <v>197</v>
      </c>
      <c r="B84" s="198"/>
      <c r="C84" s="198">
        <f>SUM(C80:C83)</f>
        <v>325.62691958613169</v>
      </c>
      <c r="D84" s="199"/>
      <c r="E84" s="198">
        <f>SUM(E80:E83)</f>
        <v>339.25055541665182</v>
      </c>
      <c r="F84" s="198">
        <f>SUM(F80:F83)</f>
        <v>391.47598373454127</v>
      </c>
      <c r="G84" s="198">
        <f t="shared" ref="G84:N84" si="36">SUM(G80:G83)</f>
        <v>415.30001354410183</v>
      </c>
      <c r="H84" s="198">
        <f t="shared" si="36"/>
        <v>461.37576921428933</v>
      </c>
      <c r="I84" s="198">
        <f t="shared" si="36"/>
        <v>511.45740574280245</v>
      </c>
      <c r="J84" s="198">
        <f t="shared" si="36"/>
        <v>565.86023225253052</v>
      </c>
      <c r="K84" s="198">
        <f t="shared" si="36"/>
        <v>600.12460753264133</v>
      </c>
      <c r="L84" s="198">
        <f t="shared" si="36"/>
        <v>636.43690965782935</v>
      </c>
      <c r="M84" s="198">
        <f t="shared" si="36"/>
        <v>674.92001423880083</v>
      </c>
      <c r="N84" s="198">
        <f t="shared" si="36"/>
        <v>715.70416942289989</v>
      </c>
    </row>
    <row r="85" spans="1:14" ht="13.2" x14ac:dyDescent="0.25">
      <c r="A85" s="2" t="s">
        <v>198</v>
      </c>
      <c r="B85" s="151"/>
      <c r="C85" s="151">
        <f>C75-B75-C91</f>
        <v>-203.00000000000023</v>
      </c>
      <c r="D85" s="43" t="s">
        <v>156</v>
      </c>
      <c r="E85" s="151">
        <f>E75-C75-E91</f>
        <v>-490.53371137169324</v>
      </c>
      <c r="F85" s="151">
        <f>F75-E75-F91</f>
        <v>-441.72987374474803</v>
      </c>
      <c r="G85" s="151">
        <f t="shared" ref="G85:N85" si="37">G75-F75-G91</f>
        <v>-488.22079897243572</v>
      </c>
      <c r="H85" s="151">
        <f t="shared" si="37"/>
        <v>-538.67180176832244</v>
      </c>
      <c r="I85" s="151">
        <f t="shared" si="37"/>
        <v>-593.39120025007901</v>
      </c>
      <c r="J85" s="151">
        <f t="shared" si="37"/>
        <v>-652.71005443024228</v>
      </c>
      <c r="K85" s="151">
        <f t="shared" si="37"/>
        <v>-692.18541904101698</v>
      </c>
      <c r="L85" s="151">
        <f t="shared" si="37"/>
        <v>-734.02136985670677</v>
      </c>
      <c r="M85" s="151">
        <f t="shared" si="37"/>
        <v>-778.35954204961104</v>
      </c>
      <c r="N85" s="151">
        <f t="shared" si="37"/>
        <v>-825.35006890235854</v>
      </c>
    </row>
    <row r="86" spans="1:14" ht="13.2" x14ac:dyDescent="0.25">
      <c r="A86" s="2" t="s">
        <v>199</v>
      </c>
      <c r="B86" s="151"/>
      <c r="C86" s="151">
        <f>C84+C85+C89</f>
        <v>122.62691958613146</v>
      </c>
      <c r="D86" s="43"/>
      <c r="E86" s="151">
        <f>E84+E85</f>
        <v>-151.28315595504142</v>
      </c>
      <c r="F86" s="151">
        <f t="shared" ref="F86:N86" si="38">F84+F85</f>
        <v>-50.25389001020676</v>
      </c>
      <c r="G86" s="151">
        <f t="shared" si="38"/>
        <v>-72.920785428333886</v>
      </c>
      <c r="H86" s="151">
        <f t="shared" si="38"/>
        <v>-77.296032554033104</v>
      </c>
      <c r="I86" s="151">
        <f t="shared" si="38"/>
        <v>-81.933794507276559</v>
      </c>
      <c r="J86" s="151">
        <f t="shared" si="38"/>
        <v>-86.849822177711758</v>
      </c>
      <c r="K86" s="151">
        <f t="shared" si="38"/>
        <v>-92.06081150837565</v>
      </c>
      <c r="L86" s="151">
        <f t="shared" si="38"/>
        <v>-97.584460198877423</v>
      </c>
      <c r="M86" s="151">
        <f t="shared" si="38"/>
        <v>-103.4395278108102</v>
      </c>
      <c r="N86" s="151">
        <f t="shared" si="38"/>
        <v>-109.64589947945865</v>
      </c>
    </row>
    <row r="87" spans="1:14" ht="13.2" x14ac:dyDescent="0.25">
      <c r="A87" s="2" t="s">
        <v>200</v>
      </c>
      <c r="B87" s="151"/>
      <c r="C87" s="151">
        <f>C54-B54</f>
        <v>-108.59999999999997</v>
      </c>
      <c r="D87" s="43" t="s">
        <v>156</v>
      </c>
      <c r="E87" s="151">
        <f>E54-C54</f>
        <v>10.475999999999999</v>
      </c>
      <c r="F87" s="151">
        <f>F54-E54</f>
        <v>11.104559999999992</v>
      </c>
      <c r="G87" s="151">
        <f t="shared" ref="G87:N87" si="39">G54-F54</f>
        <v>11.770833600000003</v>
      </c>
      <c r="H87" s="151">
        <f t="shared" si="39"/>
        <v>12.477083616000016</v>
      </c>
      <c r="I87" s="151">
        <f t="shared" si="39"/>
        <v>13.225708632960021</v>
      </c>
      <c r="J87" s="151">
        <f t="shared" si="39"/>
        <v>14.019251150937606</v>
      </c>
      <c r="K87" s="151">
        <f t="shared" si="39"/>
        <v>14.860406219993877</v>
      </c>
      <c r="L87" s="151">
        <f t="shared" si="39"/>
        <v>15.752030593193524</v>
      </c>
      <c r="M87" s="151">
        <f t="shared" si="39"/>
        <v>16.697152428785103</v>
      </c>
      <c r="N87" s="151">
        <f t="shared" si="39"/>
        <v>17.698981574512231</v>
      </c>
    </row>
    <row r="88" spans="1:14" ht="13.2" x14ac:dyDescent="0.25">
      <c r="A88" s="2"/>
      <c r="B88" s="151"/>
      <c r="C88" s="179">
        <f>C86-C87</f>
        <v>231.22691958613143</v>
      </c>
      <c r="D88" s="180" t="s">
        <v>211</v>
      </c>
      <c r="E88" s="179">
        <f>E86-E87</f>
        <v>-161.75915595504142</v>
      </c>
      <c r="F88" s="179">
        <f>F86-F87</f>
        <v>-61.358450010206752</v>
      </c>
      <c r="G88" s="179">
        <f t="shared" ref="G88:N88" si="40">G86-G87</f>
        <v>-84.691619028333889</v>
      </c>
      <c r="H88" s="179">
        <f t="shared" si="40"/>
        <v>-89.77311617003312</v>
      </c>
      <c r="I88" s="179">
        <f t="shared" si="40"/>
        <v>-95.159503140236581</v>
      </c>
      <c r="J88" s="179">
        <f t="shared" si="40"/>
        <v>-100.86907332864936</v>
      </c>
      <c r="K88" s="179">
        <f t="shared" si="40"/>
        <v>-106.92121772836953</v>
      </c>
      <c r="L88" s="179">
        <f t="shared" si="40"/>
        <v>-113.33649079207095</v>
      </c>
      <c r="M88" s="179">
        <f t="shared" si="40"/>
        <v>-120.13668023959531</v>
      </c>
      <c r="N88" s="179">
        <f t="shared" si="40"/>
        <v>-127.34488105397088</v>
      </c>
    </row>
    <row r="89" spans="1:14" ht="13.2" x14ac:dyDescent="0.25">
      <c r="A89" s="2"/>
      <c r="B89" s="151"/>
      <c r="C89" s="151"/>
      <c r="D89" s="52"/>
      <c r="E89" s="153"/>
      <c r="F89" s="153"/>
      <c r="G89" s="153"/>
      <c r="H89" s="153"/>
      <c r="I89" s="153"/>
      <c r="J89" s="153"/>
      <c r="K89" s="153"/>
      <c r="L89" s="153"/>
      <c r="M89" s="153"/>
      <c r="N89" s="153"/>
    </row>
    <row r="90" spans="1:14" ht="13.2" x14ac:dyDescent="0.25">
      <c r="A90" s="2"/>
      <c r="B90" s="151"/>
      <c r="C90" s="151"/>
      <c r="D90" s="52"/>
      <c r="E90" s="153"/>
      <c r="F90" s="153"/>
      <c r="G90" s="153"/>
      <c r="H90" s="153"/>
      <c r="I90" s="153"/>
      <c r="J90" s="153"/>
      <c r="K90" s="153"/>
      <c r="L90" s="153"/>
      <c r="M90" s="153"/>
      <c r="N90" s="153"/>
    </row>
    <row r="91" spans="1:14" ht="13.2" x14ac:dyDescent="0.25">
      <c r="A91" s="2" t="s">
        <v>201</v>
      </c>
      <c r="B91" s="151">
        <f>B92-B22</f>
        <v>455.09999999999968</v>
      </c>
      <c r="C91" s="151">
        <f>C92-C22</f>
        <v>360.39999999999986</v>
      </c>
      <c r="D91" s="43" t="s">
        <v>213</v>
      </c>
      <c r="E91" s="151">
        <f>E92-E22</f>
        <v>407.57883569413025</v>
      </c>
      <c r="F91" s="151">
        <f t="shared" ref="F91:N91" si="41">F92-F22</f>
        <v>445.24019613711914</v>
      </c>
      <c r="G91" s="151">
        <f t="shared" si="41"/>
        <v>492.25214098947987</v>
      </c>
      <c r="H91" s="151">
        <f t="shared" si="41"/>
        <v>543.25542458752125</v>
      </c>
      <c r="I91" s="151">
        <f t="shared" si="41"/>
        <v>598.56024071955949</v>
      </c>
      <c r="J91" s="151">
        <f t="shared" si="41"/>
        <v>658.49963760902369</v>
      </c>
      <c r="K91" s="151">
        <f t="shared" si="41"/>
        <v>698.63277749165559</v>
      </c>
      <c r="L91" s="151">
        <f t="shared" si="41"/>
        <v>741.1659700955156</v>
      </c>
      <c r="M91" s="151">
        <f t="shared" si="41"/>
        <v>786.24321858387907</v>
      </c>
      <c r="N91" s="151">
        <f t="shared" si="41"/>
        <v>834.01716630981446</v>
      </c>
    </row>
    <row r="92" spans="1:14" ht="13.2" x14ac:dyDescent="0.25">
      <c r="A92" s="2" t="s">
        <v>202</v>
      </c>
      <c r="B92" s="151">
        <f>B23</f>
        <v>500.65415588615747</v>
      </c>
      <c r="C92" s="151">
        <f>C23</f>
        <v>395.72691958613166</v>
      </c>
      <c r="D92" s="43"/>
      <c r="E92" s="151">
        <f>E23</f>
        <v>445.73982938177534</v>
      </c>
      <c r="F92" s="151">
        <f t="shared" ref="F92:N92" si="42">F23</f>
        <v>506.50936175816457</v>
      </c>
      <c r="G92" s="151">
        <f t="shared" si="42"/>
        <v>556.65857533065559</v>
      </c>
      <c r="H92" s="151">
        <f t="shared" si="42"/>
        <v>610.99949174954452</v>
      </c>
      <c r="I92" s="151">
        <f t="shared" si="42"/>
        <v>669.85432664919074</v>
      </c>
      <c r="J92" s="151">
        <f t="shared" si="42"/>
        <v>733.56887140982894</v>
      </c>
      <c r="K92" s="151">
        <f t="shared" si="42"/>
        <v>777.71579601341466</v>
      </c>
      <c r="L92" s="151">
        <f t="shared" si="42"/>
        <v>824.51572839899529</v>
      </c>
      <c r="M92" s="151">
        <f t="shared" si="42"/>
        <v>874.12784903349211</v>
      </c>
      <c r="N92" s="151">
        <f t="shared" si="42"/>
        <v>926.72088921183843</v>
      </c>
    </row>
    <row r="93" spans="1:14" ht="13.2" x14ac:dyDescent="0.25">
      <c r="A93" s="25" t="s">
        <v>203</v>
      </c>
      <c r="B93" s="151"/>
      <c r="C93" s="168"/>
      <c r="D93" s="53" t="s">
        <v>214</v>
      </c>
      <c r="E93" s="167">
        <f>E91/C75</f>
        <v>1.1490804502230911</v>
      </c>
      <c r="F93" s="167">
        <f>F91/E75</f>
        <v>1.6384477817118928</v>
      </c>
      <c r="G93" s="167">
        <f t="shared" ref="G93:N93" si="43">G91/F75</f>
        <v>1.7883465953700168</v>
      </c>
      <c r="H93" s="167">
        <f t="shared" si="43"/>
        <v>1.9451526047983239</v>
      </c>
      <c r="I93" s="167">
        <f t="shared" si="43"/>
        <v>2.1085686156900336</v>
      </c>
      <c r="J93" s="167">
        <f t="shared" si="43"/>
        <v>2.2782344520991149</v>
      </c>
      <c r="K93" s="167">
        <f t="shared" si="43"/>
        <v>2.3696199969564056</v>
      </c>
      <c r="L93" s="167">
        <f t="shared" si="43"/>
        <v>2.4600864379592431</v>
      </c>
      <c r="M93" s="167">
        <f t="shared" si="43"/>
        <v>2.5492532420392156</v>
      </c>
      <c r="N93" s="167">
        <f t="shared" si="43"/>
        <v>2.6367526132143215</v>
      </c>
    </row>
    <row r="94" spans="1:14" ht="13.2" x14ac:dyDescent="0.25">
      <c r="A94" s="2" t="s">
        <v>204</v>
      </c>
      <c r="B94" s="151"/>
      <c r="C94" s="151"/>
      <c r="D94" s="53" t="s">
        <v>215</v>
      </c>
      <c r="E94" s="14">
        <f t="shared" ref="E94:N94" si="44">E92/E8</f>
        <v>8.341782840739434E-2</v>
      </c>
      <c r="F94" s="14">
        <f t="shared" si="44"/>
        <v>8.9425020590884988E-2</v>
      </c>
      <c r="G94" s="14">
        <f t="shared" si="44"/>
        <v>9.2715983716109424E-2</v>
      </c>
      <c r="H94" s="14">
        <f t="shared" si="44"/>
        <v>9.6006511735065539E-2</v>
      </c>
      <c r="I94" s="14">
        <f t="shared" si="44"/>
        <v>9.9296591989346802E-2</v>
      </c>
      <c r="J94" s="14">
        <f t="shared" si="44"/>
        <v>0.10258621464764858</v>
      </c>
      <c r="K94" s="14">
        <f t="shared" si="44"/>
        <v>0.10260373388517738</v>
      </c>
      <c r="L94" s="14">
        <f t="shared" si="44"/>
        <v>0.10262078325003909</v>
      </c>
      <c r="M94" s="14">
        <f t="shared" si="44"/>
        <v>0.10263735980395351</v>
      </c>
      <c r="N94" s="14">
        <f t="shared" si="44"/>
        <v>0.10265346244674156</v>
      </c>
    </row>
    <row r="95" spans="1:14" ht="13.2" x14ac:dyDescent="0.25">
      <c r="A95" s="2" t="s">
        <v>205</v>
      </c>
      <c r="B95" s="151"/>
      <c r="C95" s="151"/>
      <c r="D95" s="43" t="s">
        <v>216</v>
      </c>
      <c r="E95" s="169">
        <f>E8/(AVERAGE(C63:E63))</f>
        <v>2.1403918164165776</v>
      </c>
      <c r="F95" s="169">
        <f t="shared" ref="F95:N95" si="45">F8/(AVERAGE(E63:F63))</f>
        <v>2.1447458292524386</v>
      </c>
      <c r="G95" s="169">
        <f t="shared" si="45"/>
        <v>2.1607692916952534</v>
      </c>
      <c r="H95" s="169">
        <f t="shared" si="45"/>
        <v>2.1757630911452659</v>
      </c>
      <c r="I95" s="169">
        <f t="shared" si="45"/>
        <v>2.1897717524582356</v>
      </c>
      <c r="J95" s="169">
        <f t="shared" si="45"/>
        <v>2.2028402857607223</v>
      </c>
      <c r="K95" s="169">
        <f t="shared" si="45"/>
        <v>2.2150138061692122</v>
      </c>
      <c r="L95" s="169">
        <f t="shared" si="45"/>
        <v>2.2263371994598486</v>
      </c>
      <c r="M95" s="169">
        <f t="shared" si="45"/>
        <v>2.2368548319812311</v>
      </c>
      <c r="N95" s="169">
        <f t="shared" si="45"/>
        <v>2.2466103025435151</v>
      </c>
    </row>
    <row r="96" spans="1:14" ht="13.2" x14ac:dyDescent="0.25">
      <c r="A96" s="2" t="s">
        <v>206</v>
      </c>
      <c r="B96" s="151"/>
      <c r="C96" s="151"/>
      <c r="D96" s="43" t="s">
        <v>217</v>
      </c>
      <c r="E96" s="169">
        <f>AVERAGE(C63:E63)/AVERAGE(C75:E75)</f>
        <v>7.9703288989794263</v>
      </c>
      <c r="F96" s="169">
        <f t="shared" ref="F96:N96" si="46">AVERAGE(E63:F63)/AVERAGE(E75:F75)</f>
        <v>9.6559456358315821</v>
      </c>
      <c r="G96" s="169">
        <f t="shared" si="46"/>
        <v>10.021235332653518</v>
      </c>
      <c r="H96" s="169">
        <f t="shared" si="46"/>
        <v>10.387927447196564</v>
      </c>
      <c r="I96" s="169">
        <f t="shared" si="46"/>
        <v>10.754516020668261</v>
      </c>
      <c r="J96" s="169">
        <f t="shared" si="46"/>
        <v>11.119463623502028</v>
      </c>
      <c r="K96" s="169">
        <f t="shared" si="46"/>
        <v>11.481225195407271</v>
      </c>
      <c r="L96" s="169">
        <f t="shared" si="46"/>
        <v>11.838272652093893</v>
      </c>
      <c r="M96" s="169">
        <f t="shared" si="46"/>
        <v>12.189119446338855</v>
      </c>
      <c r="N96" s="169">
        <f t="shared" si="46"/>
        <v>12.532344257005219</v>
      </c>
    </row>
    <row r="97" spans="1:14" ht="13.2" x14ac:dyDescent="0.25">
      <c r="A97" s="25" t="s">
        <v>207</v>
      </c>
      <c r="B97" s="151"/>
      <c r="C97" s="151"/>
      <c r="D97" s="43"/>
      <c r="E97" s="168">
        <f>E94*E95*E96</f>
        <v>1.4230770168859972</v>
      </c>
      <c r="F97" s="168">
        <f>F94*F95*F96</f>
        <v>1.8519518573726566</v>
      </c>
      <c r="G97" s="168">
        <f t="shared" ref="G97:N97" si="47">G94*G95*G96</f>
        <v>2.0076327455285385</v>
      </c>
      <c r="H97" s="168">
        <f t="shared" si="47"/>
        <v>2.1699074128595277</v>
      </c>
      <c r="I97" s="168">
        <f t="shared" si="47"/>
        <v>2.3384283261357948</v>
      </c>
      <c r="J97" s="168">
        <f t="shared" si="47"/>
        <v>2.5127880249293812</v>
      </c>
      <c r="K97" s="168">
        <f t="shared" si="47"/>
        <v>2.6093229766913395</v>
      </c>
      <c r="L97" s="168">
        <f t="shared" si="47"/>
        <v>2.7046720069688481</v>
      </c>
      <c r="M97" s="168">
        <f t="shared" si="47"/>
        <v>2.7984374549313591</v>
      </c>
      <c r="N97" s="168">
        <f t="shared" si="47"/>
        <v>2.8902383868514527</v>
      </c>
    </row>
    <row r="98" spans="1:14" ht="13.2" x14ac:dyDescent="0.25">
      <c r="A98" s="25" t="s">
        <v>208</v>
      </c>
      <c r="B98" s="151"/>
      <c r="C98" s="151"/>
      <c r="D98" s="53" t="s">
        <v>218</v>
      </c>
      <c r="E98" s="168">
        <f>E92/AVERAGE(C63:E63)</f>
        <v>0.17854683726642914</v>
      </c>
      <c r="F98" s="168">
        <f t="shared" ref="F98:N98" si="48">F92/AVERAGE(E63:F63)</f>
        <v>0.19179393994311403</v>
      </c>
      <c r="G98" s="168">
        <f t="shared" si="48"/>
        <v>0.20033785046308641</v>
      </c>
      <c r="H98" s="168">
        <f t="shared" si="48"/>
        <v>0.20888742474276045</v>
      </c>
      <c r="I98" s="168">
        <f t="shared" si="48"/>
        <v>0.21743687225364233</v>
      </c>
      <c r="J98" s="168">
        <f t="shared" si="48"/>
        <v>0.22598104638953703</v>
      </c>
      <c r="K98" s="168">
        <f t="shared" si="48"/>
        <v>0.2272686871201797</v>
      </c>
      <c r="L98" s="168">
        <f t="shared" si="48"/>
        <v>0.22846846718726818</v>
      </c>
      <c r="M98" s="168">
        <f t="shared" si="48"/>
        <v>0.22958487421926962</v>
      </c>
      <c r="N98" s="168">
        <f t="shared" si="48"/>
        <v>0.23062232632461341</v>
      </c>
    </row>
  </sheetData>
  <mergeCells count="3">
    <mergeCell ref="A1:N1"/>
    <mergeCell ref="A2:N2"/>
    <mergeCell ref="B13:C13"/>
  </mergeCells>
  <pageMargins left="0.75" right="0.75" top="1" bottom="1" header="0.5" footer="0.5"/>
  <pageSetup scale="85" orientation="landscape" r:id="rId1"/>
  <headerFooter alignWithMargins="0"/>
  <rowBreaks count="1" manualBreakCount="1">
    <brk id="4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F15"/>
  <sheetViews>
    <sheetView topLeftCell="A9" workbookViewId="0">
      <selection activeCell="B13" sqref="B13"/>
    </sheetView>
  </sheetViews>
  <sheetFormatPr defaultRowHeight="10.199999999999999" x14ac:dyDescent="0.2"/>
  <cols>
    <col min="1" max="1" width="19.42578125" customWidth="1"/>
    <col min="2" max="3" width="12.42578125" bestFit="1" customWidth="1"/>
  </cols>
  <sheetData>
    <row r="11" spans="1:6" x14ac:dyDescent="0.2">
      <c r="A11" t="s">
        <v>313</v>
      </c>
    </row>
    <row r="12" spans="1:6" ht="10.8" thickBot="1" x14ac:dyDescent="0.25"/>
    <row r="13" spans="1:6" x14ac:dyDescent="0.2">
      <c r="B13" s="194" t="s">
        <v>316</v>
      </c>
      <c r="C13" s="188" t="s">
        <v>317</v>
      </c>
      <c r="D13" s="188" t="s">
        <v>318</v>
      </c>
      <c r="E13" s="191" t="s">
        <v>319</v>
      </c>
      <c r="F13" s="188" t="s">
        <v>320</v>
      </c>
    </row>
    <row r="14" spans="1:6" x14ac:dyDescent="0.2">
      <c r="A14" t="s">
        <v>315</v>
      </c>
      <c r="B14" s="190">
        <f>'OAT Inputs'!E21</f>
        <v>15719.254796779178</v>
      </c>
      <c r="C14" s="190">
        <v>15750</v>
      </c>
      <c r="D14" s="190">
        <v>14800</v>
      </c>
      <c r="E14" s="192">
        <v>13400</v>
      </c>
      <c r="F14" s="190">
        <v>15000</v>
      </c>
    </row>
    <row r="15" spans="1:6" ht="10.8" thickBot="1" x14ac:dyDescent="0.25">
      <c r="A15" t="s">
        <v>314</v>
      </c>
      <c r="B15" s="189">
        <f>'OAT Inputs'!E22</f>
        <v>113.12980677146111</v>
      </c>
      <c r="C15" s="189">
        <v>115.09</v>
      </c>
      <c r="D15" s="189">
        <f>D14/('OAT Inputs'!$E37/1000000)</f>
        <v>112.17815103120525</v>
      </c>
      <c r="E15" s="193">
        <v>105</v>
      </c>
      <c r="F15" s="189">
        <f>F14/('OAT Inputs'!$E37/1000000)</f>
        <v>113.69407199108639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OAT Inputs</vt:lpstr>
      <vt:lpstr>OAT Cash Flow</vt:lpstr>
      <vt:lpstr>OAT Income Statement</vt:lpstr>
      <vt:lpstr>OAT Balance Sheet</vt:lpstr>
      <vt:lpstr>OAT DCF</vt:lpstr>
      <vt:lpstr>Data</vt:lpstr>
      <vt:lpstr>Valuation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Prentice Sellers</dc:creator>
  <cp:lastModifiedBy>Havlíček Jan</cp:lastModifiedBy>
  <cp:lastPrinted>2001-04-12T23:52:37Z</cp:lastPrinted>
  <dcterms:created xsi:type="dcterms:W3CDTF">2001-04-07T01:11:02Z</dcterms:created>
  <dcterms:modified xsi:type="dcterms:W3CDTF">2023-09-10T15:00:08Z</dcterms:modified>
</cp:coreProperties>
</file>