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15228" windowHeight="8832" activeTab="5"/>
  </bookViews>
  <sheets>
    <sheet name="PGE" sheetId="2" r:id="rId1"/>
    <sheet name="SCE" sheetId="1" r:id="rId2"/>
    <sheet name="SDGE" sheetId="3" r:id="rId3"/>
    <sheet name="All Summary" sheetId="4" r:id="rId4"/>
    <sheet name="Redacted Summary" sheetId="5" r:id="rId5"/>
    <sheet name="DWR purchases" sheetId="6" r:id="rId6"/>
  </sheets>
  <definedNames>
    <definedName name="_xlnm.Print_Area" localSheetId="3">'All Summary'!$A$5:$H$61</definedName>
    <definedName name="_xlnm.Print_Area" localSheetId="5">'DWR purchases'!$A$2:$M$15</definedName>
    <definedName name="_xlnm.Print_Area" localSheetId="0">PGE!$A$7:$K$143</definedName>
    <definedName name="_xlnm.Print_Area" localSheetId="4">'Redacted Summary'!$C$7:$H$66</definedName>
    <definedName name="_xlnm.Print_Area" localSheetId="1">SCE!$A$5:$K$134</definedName>
    <definedName name="_xlnm.Print_Area" localSheetId="2">SDGE!$A$6:$K$103</definedName>
    <definedName name="_xlnm.Print_Titles" localSheetId="0">PGE!$3:$5</definedName>
    <definedName name="_xlnm.Print_Titles" localSheetId="1">SCE!$2:$4</definedName>
    <definedName name="_xlnm.Print_Titles" localSheetId="2">SDGE!$3:$5</definedName>
  </definedNames>
  <calcPr calcId="0" fullCalcOnLoad="1"/>
</workbook>
</file>

<file path=xl/calcChain.xml><?xml version="1.0" encoding="utf-8"?>
<calcChain xmlns="http://schemas.openxmlformats.org/spreadsheetml/2006/main">
  <c r="B7" i="4" l="1"/>
  <c r="C7" i="4"/>
  <c r="D7" i="4"/>
  <c r="E7" i="4"/>
  <c r="F7" i="4"/>
  <c r="G7" i="4"/>
  <c r="A8" i="4"/>
  <c r="B8" i="4"/>
  <c r="C8" i="4"/>
  <c r="D8" i="4"/>
  <c r="E8" i="4"/>
  <c r="F8" i="4"/>
  <c r="G8" i="4"/>
  <c r="H8" i="4"/>
  <c r="A10" i="4"/>
  <c r="B10" i="4"/>
  <c r="C10" i="4"/>
  <c r="D10" i="4"/>
  <c r="E10" i="4"/>
  <c r="F10" i="4"/>
  <c r="G10" i="4"/>
  <c r="H10" i="4"/>
  <c r="A11" i="4"/>
  <c r="B11" i="4"/>
  <c r="C11" i="4"/>
  <c r="D11" i="4"/>
  <c r="E11" i="4"/>
  <c r="F11" i="4"/>
  <c r="G11" i="4"/>
  <c r="H11" i="4"/>
  <c r="A12" i="4"/>
  <c r="B12" i="4"/>
  <c r="C12" i="4"/>
  <c r="D12" i="4"/>
  <c r="E12" i="4"/>
  <c r="F12" i="4"/>
  <c r="G12" i="4"/>
  <c r="H12" i="4"/>
  <c r="A13" i="4"/>
  <c r="B13" i="4"/>
  <c r="C13" i="4"/>
  <c r="D13" i="4"/>
  <c r="E13" i="4"/>
  <c r="F13" i="4"/>
  <c r="G13" i="4"/>
  <c r="H13" i="4"/>
  <c r="A14" i="4"/>
  <c r="B14" i="4"/>
  <c r="C14" i="4"/>
  <c r="D14" i="4"/>
  <c r="E14" i="4"/>
  <c r="F14" i="4"/>
  <c r="G14" i="4"/>
  <c r="H14" i="4"/>
  <c r="A16" i="4"/>
  <c r="B16" i="4"/>
  <c r="C16" i="4"/>
  <c r="D16" i="4"/>
  <c r="E16" i="4"/>
  <c r="F16" i="4"/>
  <c r="G16" i="4"/>
  <c r="H16" i="4"/>
  <c r="B22" i="4"/>
  <c r="C22" i="4"/>
  <c r="D22" i="4"/>
  <c r="E22" i="4"/>
  <c r="F22" i="4"/>
  <c r="G22" i="4"/>
  <c r="A23" i="4"/>
  <c r="B23" i="4"/>
  <c r="C23" i="4"/>
  <c r="D23" i="4"/>
  <c r="E23" i="4"/>
  <c r="F23" i="4"/>
  <c r="G23" i="4"/>
  <c r="H23" i="4"/>
  <c r="A25" i="4"/>
  <c r="B25" i="4"/>
  <c r="C25" i="4"/>
  <c r="D25" i="4"/>
  <c r="E25" i="4"/>
  <c r="F25" i="4"/>
  <c r="G25" i="4"/>
  <c r="H25" i="4"/>
  <c r="A26" i="4"/>
  <c r="B26" i="4"/>
  <c r="C26" i="4"/>
  <c r="D26" i="4"/>
  <c r="E26" i="4"/>
  <c r="F26" i="4"/>
  <c r="G26" i="4"/>
  <c r="H26" i="4"/>
  <c r="A27" i="4"/>
  <c r="B27" i="4"/>
  <c r="C27" i="4"/>
  <c r="D27" i="4"/>
  <c r="E27" i="4"/>
  <c r="F27" i="4"/>
  <c r="G27" i="4"/>
  <c r="H27" i="4"/>
  <c r="A28" i="4"/>
  <c r="B28" i="4"/>
  <c r="C28" i="4"/>
  <c r="D28" i="4"/>
  <c r="E28" i="4"/>
  <c r="F28" i="4"/>
  <c r="G28" i="4"/>
  <c r="H28" i="4"/>
  <c r="A29" i="4"/>
  <c r="B29" i="4"/>
  <c r="C29" i="4"/>
  <c r="D29" i="4"/>
  <c r="E29" i="4"/>
  <c r="F29" i="4"/>
  <c r="G29" i="4"/>
  <c r="H29" i="4"/>
  <c r="A31" i="4"/>
  <c r="B31" i="4"/>
  <c r="C31" i="4"/>
  <c r="D31" i="4"/>
  <c r="E31" i="4"/>
  <c r="F31" i="4"/>
  <c r="G31" i="4"/>
  <c r="H31" i="4"/>
  <c r="B37" i="4"/>
  <c r="C37" i="4"/>
  <c r="D37" i="4"/>
  <c r="E37" i="4"/>
  <c r="F37" i="4"/>
  <c r="G37" i="4"/>
  <c r="A38" i="4"/>
  <c r="B38" i="4"/>
  <c r="C38" i="4"/>
  <c r="D38" i="4"/>
  <c r="E38" i="4"/>
  <c r="F38" i="4"/>
  <c r="G38" i="4"/>
  <c r="H38" i="4"/>
  <c r="A40" i="4"/>
  <c r="B40" i="4"/>
  <c r="C40" i="4"/>
  <c r="D40" i="4"/>
  <c r="E40" i="4"/>
  <c r="F40" i="4"/>
  <c r="G40" i="4"/>
  <c r="H40" i="4"/>
  <c r="A41" i="4"/>
  <c r="B41" i="4"/>
  <c r="C41" i="4"/>
  <c r="D41" i="4"/>
  <c r="E41" i="4"/>
  <c r="F41" i="4"/>
  <c r="G41" i="4"/>
  <c r="H41" i="4"/>
  <c r="A42" i="4"/>
  <c r="B42" i="4"/>
  <c r="C42" i="4"/>
  <c r="D42" i="4"/>
  <c r="E42" i="4"/>
  <c r="F42" i="4"/>
  <c r="G42" i="4"/>
  <c r="H42" i="4"/>
  <c r="A43" i="4"/>
  <c r="B43" i="4"/>
  <c r="C43" i="4"/>
  <c r="D43" i="4"/>
  <c r="E43" i="4"/>
  <c r="F43" i="4"/>
  <c r="G43" i="4"/>
  <c r="H43" i="4"/>
  <c r="A44" i="4"/>
  <c r="B44" i="4"/>
  <c r="C44" i="4"/>
  <c r="D44" i="4"/>
  <c r="E44" i="4"/>
  <c r="F44" i="4"/>
  <c r="G44" i="4"/>
  <c r="H44" i="4"/>
  <c r="A46" i="4"/>
  <c r="B46" i="4"/>
  <c r="C46" i="4"/>
  <c r="D46" i="4"/>
  <c r="E46" i="4"/>
  <c r="F46" i="4"/>
  <c r="G46" i="4"/>
  <c r="H46" i="4"/>
  <c r="B52" i="4"/>
  <c r="C52" i="4"/>
  <c r="D52" i="4"/>
  <c r="E52" i="4"/>
  <c r="F52" i="4"/>
  <c r="G52" i="4"/>
  <c r="A53" i="4"/>
  <c r="B53" i="4"/>
  <c r="C53" i="4"/>
  <c r="D53" i="4"/>
  <c r="E53" i="4"/>
  <c r="F53" i="4"/>
  <c r="G53" i="4"/>
  <c r="H53" i="4"/>
  <c r="A55" i="4"/>
  <c r="B55" i="4"/>
  <c r="C55" i="4"/>
  <c r="D55" i="4"/>
  <c r="E55" i="4"/>
  <c r="F55" i="4"/>
  <c r="G55" i="4"/>
  <c r="H55" i="4"/>
  <c r="A56" i="4"/>
  <c r="B56" i="4"/>
  <c r="C56" i="4"/>
  <c r="D56" i="4"/>
  <c r="E56" i="4"/>
  <c r="F56" i="4"/>
  <c r="G56" i="4"/>
  <c r="H56" i="4"/>
  <c r="A57" i="4"/>
  <c r="B57" i="4"/>
  <c r="C57" i="4"/>
  <c r="D57" i="4"/>
  <c r="E57" i="4"/>
  <c r="F57" i="4"/>
  <c r="G57" i="4"/>
  <c r="H57" i="4"/>
  <c r="A58" i="4"/>
  <c r="B58" i="4"/>
  <c r="C58" i="4"/>
  <c r="D58" i="4"/>
  <c r="E58" i="4"/>
  <c r="F58" i="4"/>
  <c r="G58" i="4"/>
  <c r="H58" i="4"/>
  <c r="A59" i="4"/>
  <c r="B59" i="4"/>
  <c r="C59" i="4"/>
  <c r="D59" i="4"/>
  <c r="E59" i="4"/>
  <c r="F59" i="4"/>
  <c r="G59" i="4"/>
  <c r="H59" i="4"/>
  <c r="A61" i="4"/>
  <c r="B61" i="4"/>
  <c r="C61" i="4"/>
  <c r="D61" i="4"/>
  <c r="E61" i="4"/>
  <c r="F61" i="4"/>
  <c r="G61" i="4"/>
  <c r="H61" i="4"/>
  <c r="I6" i="6"/>
  <c r="E7" i="6"/>
  <c r="I7" i="6"/>
  <c r="K7" i="6"/>
  <c r="L7" i="6"/>
  <c r="M7" i="6"/>
  <c r="E8" i="6"/>
  <c r="I8" i="6"/>
  <c r="K8" i="6"/>
  <c r="L8" i="6"/>
  <c r="M8" i="6"/>
  <c r="E9" i="6"/>
  <c r="I9" i="6"/>
  <c r="K9" i="6"/>
  <c r="L9" i="6"/>
  <c r="M9" i="6"/>
  <c r="B10" i="6"/>
  <c r="E10" i="6"/>
  <c r="I10" i="6"/>
  <c r="K10" i="6"/>
  <c r="L10" i="6"/>
  <c r="M10" i="6"/>
  <c r="B11" i="6"/>
  <c r="E11" i="6"/>
  <c r="I11" i="6"/>
  <c r="K11" i="6"/>
  <c r="L11" i="6"/>
  <c r="M11" i="6"/>
  <c r="B12" i="6"/>
  <c r="E12" i="6"/>
  <c r="I12" i="6"/>
  <c r="K12" i="6"/>
  <c r="L12" i="6"/>
  <c r="M12" i="6"/>
  <c r="B13" i="6"/>
  <c r="E13" i="6"/>
  <c r="I13" i="6"/>
  <c r="K13" i="6"/>
  <c r="L13" i="6"/>
  <c r="M13" i="6"/>
  <c r="B14" i="6"/>
  <c r="E14" i="6"/>
  <c r="I14" i="6"/>
  <c r="K14" i="6"/>
  <c r="L14" i="6"/>
  <c r="M14" i="6"/>
  <c r="B15" i="6"/>
  <c r="E15" i="6"/>
  <c r="I15" i="6"/>
  <c r="K15" i="6"/>
  <c r="L15" i="6"/>
  <c r="M15" i="6"/>
  <c r="B16" i="6"/>
  <c r="E16" i="6"/>
  <c r="I16" i="6"/>
  <c r="K16" i="6"/>
  <c r="L16" i="6"/>
  <c r="M16" i="6"/>
  <c r="B17" i="6"/>
  <c r="E17" i="6"/>
  <c r="I17" i="6"/>
  <c r="K17" i="6"/>
  <c r="L17" i="6"/>
  <c r="M17" i="6"/>
  <c r="B18" i="6"/>
  <c r="E18" i="6"/>
  <c r="I18" i="6"/>
  <c r="K18" i="6"/>
  <c r="L18" i="6"/>
  <c r="M18" i="6"/>
  <c r="B19" i="6"/>
  <c r="E19" i="6"/>
  <c r="I19" i="6"/>
  <c r="K19" i="6"/>
  <c r="L19" i="6"/>
  <c r="M19" i="6"/>
  <c r="B20" i="6"/>
  <c r="E20" i="6"/>
  <c r="I20" i="6"/>
  <c r="K20" i="6"/>
  <c r="L20" i="6"/>
  <c r="M20" i="6"/>
  <c r="B21" i="6"/>
  <c r="E21" i="6"/>
  <c r="I21" i="6"/>
  <c r="K21" i="6"/>
  <c r="L21" i="6"/>
  <c r="M21" i="6"/>
  <c r="B22" i="6"/>
  <c r="E22" i="6"/>
  <c r="I22" i="6"/>
  <c r="K22" i="6"/>
  <c r="L22" i="6"/>
  <c r="M22" i="6"/>
  <c r="B23" i="6"/>
  <c r="E23" i="6"/>
  <c r="I23" i="6"/>
  <c r="K23" i="6"/>
  <c r="L23" i="6"/>
  <c r="M23" i="6"/>
  <c r="B24" i="6"/>
  <c r="E24" i="6"/>
  <c r="I24" i="6"/>
  <c r="K24" i="6"/>
  <c r="L24" i="6"/>
  <c r="M24" i="6"/>
  <c r="B25" i="6"/>
  <c r="E25" i="6"/>
  <c r="I25" i="6"/>
  <c r="K25" i="6"/>
  <c r="L25" i="6"/>
  <c r="M25" i="6"/>
  <c r="B26" i="6"/>
  <c r="E26" i="6"/>
  <c r="I26" i="6"/>
  <c r="K26" i="6"/>
  <c r="L26" i="6"/>
  <c r="M26" i="6"/>
  <c r="B27" i="6"/>
  <c r="E27" i="6"/>
  <c r="I27" i="6"/>
  <c r="K27" i="6"/>
  <c r="L27" i="6"/>
  <c r="M27" i="6"/>
  <c r="B28" i="6"/>
  <c r="E28" i="6"/>
  <c r="I28" i="6"/>
  <c r="K28" i="6"/>
  <c r="L28" i="6"/>
  <c r="M28" i="6"/>
  <c r="B29" i="6"/>
  <c r="E29" i="6"/>
  <c r="I29" i="6"/>
  <c r="K29" i="6"/>
  <c r="L29" i="6"/>
  <c r="M29" i="6"/>
  <c r="B30" i="6"/>
  <c r="E30" i="6"/>
  <c r="I30" i="6"/>
  <c r="K30" i="6"/>
  <c r="L30" i="6"/>
  <c r="M30" i="6"/>
  <c r="B31" i="6"/>
  <c r="E31" i="6"/>
  <c r="I31" i="6"/>
  <c r="K31" i="6"/>
  <c r="L31" i="6"/>
  <c r="M31" i="6"/>
  <c r="B32" i="6"/>
  <c r="E32" i="6"/>
  <c r="I32" i="6"/>
  <c r="K32" i="6"/>
  <c r="L32" i="6"/>
  <c r="M32" i="6"/>
  <c r="B33" i="6"/>
  <c r="E33" i="6"/>
  <c r="I33" i="6"/>
  <c r="K33" i="6"/>
  <c r="L33" i="6"/>
  <c r="M33" i="6"/>
  <c r="B34" i="6"/>
  <c r="E34" i="6"/>
  <c r="I34" i="6"/>
  <c r="K34" i="6"/>
  <c r="L34" i="6"/>
  <c r="M34" i="6"/>
  <c r="B35" i="6"/>
  <c r="E35" i="6"/>
  <c r="I35" i="6"/>
  <c r="K35" i="6"/>
  <c r="L35" i="6"/>
  <c r="M35" i="6"/>
  <c r="B36" i="6"/>
  <c r="E36" i="6"/>
  <c r="I36" i="6"/>
  <c r="K36" i="6"/>
  <c r="L36" i="6"/>
  <c r="M36" i="6"/>
  <c r="B37" i="6"/>
  <c r="E37" i="6"/>
  <c r="I37" i="6"/>
  <c r="K37" i="6"/>
  <c r="L37" i="6"/>
  <c r="M37" i="6"/>
  <c r="B38" i="6"/>
  <c r="E38" i="6"/>
  <c r="I38" i="6"/>
  <c r="K38" i="6"/>
  <c r="L38" i="6"/>
  <c r="M38" i="6"/>
  <c r="B39" i="6"/>
  <c r="E39" i="6"/>
  <c r="I39" i="6"/>
  <c r="K39" i="6"/>
  <c r="L39" i="6"/>
  <c r="M39" i="6"/>
  <c r="B40" i="6"/>
  <c r="E40" i="6"/>
  <c r="I40" i="6"/>
  <c r="K40" i="6"/>
  <c r="L40" i="6"/>
  <c r="M40" i="6"/>
  <c r="B41" i="6"/>
  <c r="E41" i="6"/>
  <c r="I41" i="6"/>
  <c r="K41" i="6"/>
  <c r="L41" i="6"/>
  <c r="M41" i="6"/>
  <c r="B42" i="6"/>
  <c r="E42" i="6"/>
  <c r="I42" i="6"/>
  <c r="K42" i="6"/>
  <c r="L42" i="6"/>
  <c r="M42" i="6"/>
  <c r="B43" i="6"/>
  <c r="E43" i="6"/>
  <c r="I43" i="6"/>
  <c r="K43" i="6"/>
  <c r="L43" i="6"/>
  <c r="M43" i="6"/>
  <c r="B44" i="6"/>
  <c r="E44" i="6"/>
  <c r="I44" i="6"/>
  <c r="K44" i="6"/>
  <c r="L44" i="6"/>
  <c r="M44" i="6"/>
  <c r="B45" i="6"/>
  <c r="E45" i="6"/>
  <c r="I45" i="6"/>
  <c r="K45" i="6"/>
  <c r="L45" i="6"/>
  <c r="M45" i="6"/>
  <c r="C51" i="6"/>
  <c r="C52" i="6"/>
  <c r="C53" i="6"/>
  <c r="C54" i="6"/>
  <c r="D54" i="6"/>
  <c r="E54" i="6"/>
  <c r="B55" i="6"/>
  <c r="C55" i="6"/>
  <c r="B56" i="6"/>
  <c r="C56" i="6"/>
  <c r="B57" i="6"/>
  <c r="C57" i="6"/>
  <c r="B58" i="6"/>
  <c r="C58" i="6"/>
  <c r="D58" i="6"/>
  <c r="E58" i="6"/>
  <c r="B59" i="6"/>
  <c r="C59" i="6"/>
  <c r="B60" i="6"/>
  <c r="C60" i="6"/>
  <c r="B61" i="6"/>
  <c r="C61" i="6"/>
  <c r="B62" i="6"/>
  <c r="C62" i="6"/>
  <c r="D62" i="6"/>
  <c r="E62" i="6"/>
  <c r="E13" i="2"/>
  <c r="F13" i="2"/>
  <c r="G13" i="2"/>
  <c r="H13" i="2"/>
  <c r="I13" i="2"/>
  <c r="J13" i="2"/>
  <c r="K13" i="2"/>
  <c r="E21" i="2"/>
  <c r="F21" i="2"/>
  <c r="G21" i="2"/>
  <c r="H21" i="2"/>
  <c r="I21" i="2"/>
  <c r="J21" i="2"/>
  <c r="K21" i="2"/>
  <c r="E30" i="2"/>
  <c r="F30" i="2"/>
  <c r="G30" i="2"/>
  <c r="H30" i="2"/>
  <c r="I30" i="2"/>
  <c r="J30" i="2"/>
  <c r="K30" i="2"/>
  <c r="E37" i="2"/>
  <c r="F37" i="2"/>
  <c r="G37" i="2"/>
  <c r="H37" i="2"/>
  <c r="I37" i="2"/>
  <c r="J37" i="2"/>
  <c r="K37" i="2"/>
  <c r="E44" i="2"/>
  <c r="F44" i="2"/>
  <c r="G44" i="2"/>
  <c r="H44" i="2"/>
  <c r="I44" i="2"/>
  <c r="J44" i="2"/>
  <c r="K44" i="2"/>
  <c r="E51" i="2"/>
  <c r="F51" i="2"/>
  <c r="G51" i="2"/>
  <c r="H51" i="2"/>
  <c r="I51" i="2"/>
  <c r="J51" i="2"/>
  <c r="K51" i="2"/>
  <c r="E58" i="2"/>
  <c r="F58" i="2"/>
  <c r="G58" i="2"/>
  <c r="H58" i="2"/>
  <c r="I58" i="2"/>
  <c r="J58" i="2"/>
  <c r="K58" i="2"/>
  <c r="E63" i="2"/>
  <c r="G63" i="2"/>
  <c r="I63" i="2"/>
  <c r="E65" i="2"/>
  <c r="F65" i="2"/>
  <c r="G65" i="2"/>
  <c r="H65" i="2"/>
  <c r="I65" i="2"/>
  <c r="J65" i="2"/>
  <c r="K65" i="2"/>
  <c r="E67" i="2"/>
  <c r="F67" i="2"/>
  <c r="G67" i="2"/>
  <c r="H67" i="2"/>
  <c r="I67" i="2"/>
  <c r="J67" i="2"/>
  <c r="K67" i="2"/>
  <c r="E73" i="2"/>
  <c r="F73" i="2"/>
  <c r="G73" i="2"/>
  <c r="H73" i="2"/>
  <c r="I73" i="2"/>
  <c r="J73" i="2"/>
  <c r="K73" i="2"/>
  <c r="E79" i="2"/>
  <c r="F79" i="2"/>
  <c r="G79" i="2"/>
  <c r="H79" i="2"/>
  <c r="I79" i="2"/>
  <c r="J79" i="2"/>
  <c r="K79" i="2"/>
  <c r="E86" i="2"/>
  <c r="F86" i="2"/>
  <c r="G86" i="2"/>
  <c r="H86" i="2"/>
  <c r="I86" i="2"/>
  <c r="J86" i="2"/>
  <c r="K86" i="2"/>
  <c r="E92" i="2"/>
  <c r="F92" i="2"/>
  <c r="G92" i="2"/>
  <c r="H92" i="2"/>
  <c r="I92" i="2"/>
  <c r="J92" i="2"/>
  <c r="K92" i="2"/>
  <c r="E98" i="2"/>
  <c r="F98" i="2"/>
  <c r="G98" i="2"/>
  <c r="H98" i="2"/>
  <c r="I98" i="2"/>
  <c r="J98" i="2"/>
  <c r="K98" i="2"/>
  <c r="E107" i="2"/>
  <c r="F107" i="2"/>
  <c r="G107" i="2"/>
  <c r="H107" i="2"/>
  <c r="I107" i="2"/>
  <c r="J107" i="2"/>
  <c r="K107" i="2"/>
  <c r="E114" i="2"/>
  <c r="F114" i="2"/>
  <c r="G114" i="2"/>
  <c r="H114" i="2"/>
  <c r="I114" i="2"/>
  <c r="J114" i="2"/>
  <c r="K114" i="2"/>
  <c r="E121" i="2"/>
  <c r="F121" i="2"/>
  <c r="G121" i="2"/>
  <c r="H121" i="2"/>
  <c r="I121" i="2"/>
  <c r="J121" i="2"/>
  <c r="K121" i="2"/>
  <c r="E123" i="2"/>
  <c r="F123" i="2"/>
  <c r="G123" i="2"/>
  <c r="H123" i="2"/>
  <c r="I123" i="2"/>
  <c r="J123" i="2"/>
  <c r="K123" i="2"/>
  <c r="E126" i="2"/>
  <c r="F126" i="2"/>
  <c r="G126" i="2"/>
  <c r="H126" i="2"/>
  <c r="I126" i="2"/>
  <c r="J126" i="2"/>
  <c r="K126" i="2"/>
  <c r="E133" i="2"/>
  <c r="F133" i="2"/>
  <c r="G133" i="2"/>
  <c r="H133" i="2"/>
  <c r="I133" i="2"/>
  <c r="J133" i="2"/>
  <c r="K133" i="2"/>
  <c r="E134" i="2"/>
  <c r="F134" i="2"/>
  <c r="G134" i="2"/>
  <c r="H134" i="2"/>
  <c r="I134" i="2"/>
  <c r="J134" i="2"/>
  <c r="K134" i="2"/>
  <c r="E135" i="2"/>
  <c r="F135" i="2"/>
  <c r="G135" i="2"/>
  <c r="H135" i="2"/>
  <c r="I135" i="2"/>
  <c r="J135" i="2"/>
  <c r="K135" i="2"/>
  <c r="E136" i="2"/>
  <c r="F136" i="2"/>
  <c r="G136" i="2"/>
  <c r="H136" i="2"/>
  <c r="I136" i="2"/>
  <c r="J136" i="2"/>
  <c r="K136" i="2"/>
  <c r="E137" i="2"/>
  <c r="F137" i="2"/>
  <c r="G137" i="2"/>
  <c r="H137" i="2"/>
  <c r="I137" i="2"/>
  <c r="J137" i="2"/>
  <c r="K137" i="2"/>
  <c r="E139" i="2"/>
  <c r="F139" i="2"/>
  <c r="G139" i="2"/>
  <c r="H139" i="2"/>
  <c r="I139" i="2"/>
  <c r="J139" i="2"/>
  <c r="K139" i="2"/>
  <c r="F7" i="5"/>
  <c r="D9" i="5"/>
  <c r="E9" i="5"/>
  <c r="F9" i="5"/>
  <c r="G9" i="5"/>
  <c r="C10" i="5"/>
  <c r="D10" i="5"/>
  <c r="E10" i="5"/>
  <c r="F10" i="5"/>
  <c r="G10" i="5"/>
  <c r="H10" i="5"/>
  <c r="C12" i="5"/>
  <c r="D12" i="5"/>
  <c r="E12" i="5"/>
  <c r="F12" i="5"/>
  <c r="G12" i="5"/>
  <c r="H12" i="5"/>
  <c r="C13" i="5"/>
  <c r="D13" i="5"/>
  <c r="E13" i="5"/>
  <c r="F13" i="5"/>
  <c r="G13" i="5"/>
  <c r="H13" i="5"/>
  <c r="C14" i="5"/>
  <c r="D14" i="5"/>
  <c r="E14" i="5"/>
  <c r="F14" i="5"/>
  <c r="G14" i="5"/>
  <c r="H14" i="5"/>
  <c r="C15" i="5"/>
  <c r="D15" i="5"/>
  <c r="E15" i="5"/>
  <c r="F15" i="5"/>
  <c r="G15" i="5"/>
  <c r="H15" i="5"/>
  <c r="C16" i="5"/>
  <c r="D16" i="5"/>
  <c r="E16" i="5"/>
  <c r="F16" i="5"/>
  <c r="G16" i="5"/>
  <c r="H16" i="5"/>
  <c r="C18" i="5"/>
  <c r="D18" i="5"/>
  <c r="E18" i="5"/>
  <c r="F18" i="5"/>
  <c r="G18" i="5"/>
  <c r="H18" i="5"/>
  <c r="D20" i="5"/>
  <c r="F23" i="5"/>
  <c r="D25" i="5"/>
  <c r="E25" i="5"/>
  <c r="F25" i="5"/>
  <c r="G25" i="5"/>
  <c r="C26" i="5"/>
  <c r="D26" i="5"/>
  <c r="E26" i="5"/>
  <c r="F26" i="5"/>
  <c r="G26" i="5"/>
  <c r="H26" i="5"/>
  <c r="C28" i="5"/>
  <c r="D28" i="5"/>
  <c r="E28" i="5"/>
  <c r="F28" i="5"/>
  <c r="G28" i="5"/>
  <c r="H28" i="5"/>
  <c r="C29" i="5"/>
  <c r="D29" i="5"/>
  <c r="E29" i="5"/>
  <c r="F29" i="5"/>
  <c r="G29" i="5"/>
  <c r="H29" i="5"/>
  <c r="C30" i="5"/>
  <c r="D30" i="5"/>
  <c r="E30" i="5"/>
  <c r="F30" i="5"/>
  <c r="G30" i="5"/>
  <c r="H30" i="5"/>
  <c r="C31" i="5"/>
  <c r="D31" i="5"/>
  <c r="E31" i="5"/>
  <c r="F31" i="5"/>
  <c r="G31" i="5"/>
  <c r="H31" i="5"/>
  <c r="C32" i="5"/>
  <c r="D32" i="5"/>
  <c r="E32" i="5"/>
  <c r="F32" i="5"/>
  <c r="G32" i="5"/>
  <c r="H32" i="5"/>
  <c r="C34" i="5"/>
  <c r="D34" i="5"/>
  <c r="E34" i="5"/>
  <c r="F34" i="5"/>
  <c r="G34" i="5"/>
  <c r="H34" i="5"/>
  <c r="D36" i="5"/>
  <c r="F38" i="5"/>
  <c r="D40" i="5"/>
  <c r="E40" i="5"/>
  <c r="F40" i="5"/>
  <c r="G40" i="5"/>
  <c r="C41" i="5"/>
  <c r="D41" i="5"/>
  <c r="E41" i="5"/>
  <c r="F41" i="5"/>
  <c r="G41" i="5"/>
  <c r="H41" i="5"/>
  <c r="C43" i="5"/>
  <c r="D43" i="5"/>
  <c r="E43" i="5"/>
  <c r="F43" i="5"/>
  <c r="G43" i="5"/>
  <c r="H43" i="5"/>
  <c r="C44" i="5"/>
  <c r="D44" i="5"/>
  <c r="E44" i="5"/>
  <c r="F44" i="5"/>
  <c r="G44" i="5"/>
  <c r="H44" i="5"/>
  <c r="C45" i="5"/>
  <c r="D45" i="5"/>
  <c r="E45" i="5"/>
  <c r="F45" i="5"/>
  <c r="G45" i="5"/>
  <c r="H45" i="5"/>
  <c r="C46" i="5"/>
  <c r="D46" i="5"/>
  <c r="E46" i="5"/>
  <c r="F46" i="5"/>
  <c r="G46" i="5"/>
  <c r="H46" i="5"/>
  <c r="C47" i="5"/>
  <c r="D47" i="5"/>
  <c r="E47" i="5"/>
  <c r="F47" i="5"/>
  <c r="G47" i="5"/>
  <c r="H47" i="5"/>
  <c r="C49" i="5"/>
  <c r="D49" i="5"/>
  <c r="E49" i="5"/>
  <c r="F49" i="5"/>
  <c r="G49" i="5"/>
  <c r="H49" i="5"/>
  <c r="D51" i="5"/>
  <c r="F53" i="5"/>
  <c r="D55" i="5"/>
  <c r="E55" i="5"/>
  <c r="F55" i="5"/>
  <c r="G55" i="5"/>
  <c r="C56" i="5"/>
  <c r="D56" i="5"/>
  <c r="E56" i="5"/>
  <c r="F56" i="5"/>
  <c r="G56" i="5"/>
  <c r="H56" i="5"/>
  <c r="C58" i="5"/>
  <c r="D58" i="5"/>
  <c r="E58" i="5"/>
  <c r="F58" i="5"/>
  <c r="G58" i="5"/>
  <c r="H58" i="5"/>
  <c r="C59" i="5"/>
  <c r="D59" i="5"/>
  <c r="E59" i="5"/>
  <c r="F59" i="5"/>
  <c r="G59" i="5"/>
  <c r="H59" i="5"/>
  <c r="C60" i="5"/>
  <c r="D60" i="5"/>
  <c r="E60" i="5"/>
  <c r="F60" i="5"/>
  <c r="G60" i="5"/>
  <c r="H60" i="5"/>
  <c r="C61" i="5"/>
  <c r="D61" i="5"/>
  <c r="E61" i="5"/>
  <c r="F61" i="5"/>
  <c r="G61" i="5"/>
  <c r="H61" i="5"/>
  <c r="C62" i="5"/>
  <c r="D62" i="5"/>
  <c r="E62" i="5"/>
  <c r="F62" i="5"/>
  <c r="G62" i="5"/>
  <c r="H62" i="5"/>
  <c r="C64" i="5"/>
  <c r="D64" i="5"/>
  <c r="E64" i="5"/>
  <c r="F64" i="5"/>
  <c r="G64" i="5"/>
  <c r="H64" i="5"/>
  <c r="D66" i="5"/>
  <c r="G5" i="1"/>
  <c r="H5" i="1"/>
  <c r="I5" i="1"/>
  <c r="G6" i="1"/>
  <c r="H6" i="1"/>
  <c r="I6" i="1"/>
  <c r="G7" i="1"/>
  <c r="H7" i="1"/>
  <c r="I7" i="1"/>
  <c r="G8" i="1"/>
  <c r="H8" i="1"/>
  <c r="I8" i="1"/>
  <c r="H9" i="1"/>
  <c r="E11" i="1"/>
  <c r="F11" i="1"/>
  <c r="G11" i="1"/>
  <c r="H11" i="1"/>
  <c r="I11" i="1"/>
  <c r="K11" i="1"/>
  <c r="G14" i="1"/>
  <c r="H14" i="1"/>
  <c r="I14" i="1"/>
  <c r="G15" i="1"/>
  <c r="H15" i="1"/>
  <c r="I15" i="1"/>
  <c r="G16" i="1"/>
  <c r="H16" i="1"/>
  <c r="I16" i="1"/>
  <c r="G17" i="1"/>
  <c r="H17" i="1"/>
  <c r="I17" i="1"/>
  <c r="H18" i="1"/>
  <c r="E20" i="1"/>
  <c r="F20" i="1"/>
  <c r="G20" i="1"/>
  <c r="H20" i="1"/>
  <c r="I20" i="1"/>
  <c r="K20" i="1"/>
  <c r="H23" i="1"/>
  <c r="G24" i="1"/>
  <c r="H24" i="1"/>
  <c r="I24" i="1"/>
  <c r="G25" i="1"/>
  <c r="H25" i="1"/>
  <c r="I25" i="1"/>
  <c r="G26" i="1"/>
  <c r="H26" i="1"/>
  <c r="I26" i="1"/>
  <c r="G27" i="1"/>
  <c r="H27" i="1"/>
  <c r="I27" i="1"/>
  <c r="H28" i="1"/>
  <c r="E30" i="1"/>
  <c r="F30" i="1"/>
  <c r="G30" i="1"/>
  <c r="H30" i="1"/>
  <c r="I30" i="1"/>
  <c r="K30" i="1"/>
  <c r="H33" i="1"/>
  <c r="G34" i="1"/>
  <c r="H34" i="1"/>
  <c r="I34" i="1"/>
  <c r="G35" i="1"/>
  <c r="H35" i="1"/>
  <c r="I35" i="1"/>
  <c r="G36" i="1"/>
  <c r="H36" i="1"/>
  <c r="I36" i="1"/>
  <c r="G37" i="1"/>
  <c r="H37" i="1"/>
  <c r="I37" i="1"/>
  <c r="E39" i="1"/>
  <c r="F39" i="1"/>
  <c r="G39" i="1"/>
  <c r="H39" i="1"/>
  <c r="I39" i="1"/>
  <c r="K39" i="1"/>
  <c r="H42" i="1"/>
  <c r="G43" i="1"/>
  <c r="H43" i="1"/>
  <c r="I43" i="1"/>
  <c r="G44" i="1"/>
  <c r="H44" i="1"/>
  <c r="I44" i="1"/>
  <c r="E46" i="1"/>
  <c r="F46" i="1"/>
  <c r="G46" i="1"/>
  <c r="H46" i="1"/>
  <c r="I46" i="1"/>
  <c r="K46" i="1"/>
  <c r="H49" i="1"/>
  <c r="G50" i="1"/>
  <c r="H50" i="1"/>
  <c r="I50" i="1"/>
  <c r="G51" i="1"/>
  <c r="H51" i="1"/>
  <c r="I51" i="1"/>
  <c r="E53" i="1"/>
  <c r="F53" i="1"/>
  <c r="G53" i="1"/>
  <c r="H53" i="1"/>
  <c r="I53" i="1"/>
  <c r="K53" i="1"/>
  <c r="H56" i="1"/>
  <c r="G57" i="1"/>
  <c r="H57" i="1"/>
  <c r="I57" i="1"/>
  <c r="G58" i="1"/>
  <c r="H58" i="1"/>
  <c r="I58" i="1"/>
  <c r="E60" i="1"/>
  <c r="F60" i="1"/>
  <c r="G60" i="1"/>
  <c r="H60" i="1"/>
  <c r="I60" i="1"/>
  <c r="K60" i="1"/>
  <c r="H63" i="1"/>
  <c r="G64" i="1"/>
  <c r="H64" i="1"/>
  <c r="I64" i="1"/>
  <c r="G65" i="1"/>
  <c r="H65" i="1"/>
  <c r="I65" i="1"/>
  <c r="E67" i="1"/>
  <c r="F67" i="1"/>
  <c r="G67" i="1"/>
  <c r="H67" i="1"/>
  <c r="I67" i="1"/>
  <c r="K67" i="1"/>
  <c r="H70" i="1"/>
  <c r="G71" i="1"/>
  <c r="H71" i="1"/>
  <c r="I71" i="1"/>
  <c r="G72" i="1"/>
  <c r="H72" i="1"/>
  <c r="I72" i="1"/>
  <c r="G73" i="1"/>
  <c r="H73" i="1"/>
  <c r="I73" i="1"/>
  <c r="G74" i="1"/>
  <c r="H74" i="1"/>
  <c r="I74" i="1"/>
  <c r="E76" i="1"/>
  <c r="F76" i="1"/>
  <c r="G76" i="1"/>
  <c r="H76" i="1"/>
  <c r="I76" i="1"/>
  <c r="K76" i="1"/>
  <c r="H79" i="1"/>
  <c r="G80" i="1"/>
  <c r="H80" i="1"/>
  <c r="I80" i="1"/>
  <c r="G81" i="1"/>
  <c r="H81" i="1"/>
  <c r="I81" i="1"/>
  <c r="G82" i="1"/>
  <c r="H82" i="1"/>
  <c r="I82" i="1"/>
  <c r="G83" i="1"/>
  <c r="H83" i="1"/>
  <c r="I83" i="1"/>
  <c r="E85" i="1"/>
  <c r="F85" i="1"/>
  <c r="G85" i="1"/>
  <c r="H85" i="1"/>
  <c r="I85" i="1"/>
  <c r="K85" i="1"/>
  <c r="H88" i="1"/>
  <c r="G89" i="1"/>
  <c r="H89" i="1"/>
  <c r="I89" i="1"/>
  <c r="G90" i="1"/>
  <c r="H90" i="1"/>
  <c r="I90" i="1"/>
  <c r="E92" i="1"/>
  <c r="F92" i="1"/>
  <c r="G92" i="1"/>
  <c r="H92" i="1"/>
  <c r="I92" i="1"/>
  <c r="K92" i="1"/>
  <c r="H95" i="1"/>
  <c r="G96" i="1"/>
  <c r="H96" i="1"/>
  <c r="I96" i="1"/>
  <c r="G97" i="1"/>
  <c r="H97" i="1"/>
  <c r="I97" i="1"/>
  <c r="E99" i="1"/>
  <c r="F99" i="1"/>
  <c r="G99" i="1"/>
  <c r="H99" i="1"/>
  <c r="I99" i="1"/>
  <c r="K99" i="1"/>
  <c r="H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E108" i="1"/>
  <c r="F108" i="1"/>
  <c r="G108" i="1"/>
  <c r="H108" i="1"/>
  <c r="I108" i="1"/>
  <c r="K108" i="1"/>
  <c r="H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E117" i="1"/>
  <c r="F117" i="1"/>
  <c r="G117" i="1"/>
  <c r="H117" i="1"/>
  <c r="I117" i="1"/>
  <c r="E120" i="1"/>
  <c r="F120" i="1"/>
  <c r="G120" i="1"/>
  <c r="H120" i="1"/>
  <c r="I120" i="1"/>
  <c r="K120" i="1"/>
  <c r="E126" i="1"/>
  <c r="F126" i="1"/>
  <c r="G126" i="1"/>
  <c r="H126" i="1"/>
  <c r="I126" i="1"/>
  <c r="J126" i="1"/>
  <c r="K126" i="1"/>
  <c r="E127" i="1"/>
  <c r="F127" i="1"/>
  <c r="G127" i="1"/>
  <c r="H127" i="1"/>
  <c r="I127" i="1"/>
  <c r="J127" i="1"/>
  <c r="K127" i="1"/>
  <c r="E128" i="1"/>
  <c r="F128" i="1"/>
  <c r="G128" i="1"/>
  <c r="H128" i="1"/>
  <c r="I128" i="1"/>
  <c r="J128" i="1"/>
  <c r="K128" i="1"/>
  <c r="E129" i="1"/>
  <c r="F129" i="1"/>
  <c r="G129" i="1"/>
  <c r="H129" i="1"/>
  <c r="I129" i="1"/>
  <c r="J129" i="1"/>
  <c r="K129" i="1"/>
  <c r="E130" i="1"/>
  <c r="F130" i="1"/>
  <c r="G130" i="1"/>
  <c r="H130" i="1"/>
  <c r="I130" i="1"/>
  <c r="J130" i="1"/>
  <c r="K130" i="1"/>
  <c r="E132" i="1"/>
  <c r="F132" i="1"/>
  <c r="G132" i="1"/>
  <c r="H132" i="1"/>
  <c r="I132" i="1"/>
  <c r="J132" i="1"/>
  <c r="K132" i="1"/>
  <c r="E12" i="3"/>
  <c r="F12" i="3"/>
  <c r="G12" i="3"/>
  <c r="H12" i="3"/>
  <c r="I12" i="3"/>
  <c r="J12" i="3"/>
  <c r="E20" i="3"/>
  <c r="F20" i="3"/>
  <c r="G20" i="3"/>
  <c r="H20" i="3"/>
  <c r="I20" i="3"/>
  <c r="J20" i="3"/>
  <c r="K20" i="3"/>
  <c r="E33" i="3"/>
  <c r="F33" i="3"/>
  <c r="G33" i="3"/>
  <c r="H33" i="3"/>
  <c r="I33" i="3"/>
  <c r="J33" i="3"/>
  <c r="K33" i="3"/>
  <c r="E59" i="3"/>
  <c r="F59" i="3"/>
  <c r="G59" i="3"/>
  <c r="H59" i="3"/>
  <c r="I59" i="3"/>
  <c r="J59" i="3"/>
  <c r="K59" i="3"/>
  <c r="E67" i="3"/>
  <c r="F67" i="3"/>
  <c r="G67" i="3"/>
  <c r="H67" i="3"/>
  <c r="I67" i="3"/>
  <c r="J67" i="3"/>
  <c r="K67" i="3"/>
  <c r="E78" i="3"/>
  <c r="F78" i="3"/>
  <c r="G78" i="3"/>
  <c r="H78" i="3"/>
  <c r="I78" i="3"/>
  <c r="J78" i="3"/>
  <c r="K78" i="3"/>
  <c r="E86" i="3"/>
  <c r="F86" i="3"/>
  <c r="G86" i="3"/>
  <c r="H86" i="3"/>
  <c r="I86" i="3"/>
  <c r="J86" i="3"/>
  <c r="K86" i="3"/>
  <c r="E89" i="3"/>
  <c r="F89" i="3"/>
  <c r="G89" i="3"/>
  <c r="H89" i="3"/>
  <c r="I89" i="3"/>
  <c r="J89" i="3"/>
  <c r="K89" i="3"/>
  <c r="E95" i="3"/>
  <c r="F95" i="3"/>
  <c r="G95" i="3"/>
  <c r="H95" i="3"/>
  <c r="I95" i="3"/>
  <c r="J95" i="3"/>
  <c r="K95" i="3"/>
  <c r="E96" i="3"/>
  <c r="F96" i="3"/>
  <c r="G96" i="3"/>
  <c r="H96" i="3"/>
  <c r="I96" i="3"/>
  <c r="J96" i="3"/>
  <c r="K96" i="3"/>
  <c r="E97" i="3"/>
  <c r="F97" i="3"/>
  <c r="G97" i="3"/>
  <c r="H97" i="3"/>
  <c r="I97" i="3"/>
  <c r="J97" i="3"/>
  <c r="K97" i="3"/>
  <c r="E98" i="3"/>
  <c r="F98" i="3"/>
  <c r="G98" i="3"/>
  <c r="H98" i="3"/>
  <c r="I98" i="3"/>
  <c r="J98" i="3"/>
  <c r="K98" i="3"/>
  <c r="E99" i="3"/>
  <c r="F99" i="3"/>
  <c r="G99" i="3"/>
  <c r="H99" i="3"/>
  <c r="I99" i="3"/>
  <c r="J99" i="3"/>
  <c r="K99" i="3"/>
  <c r="E101" i="3"/>
  <c r="F101" i="3"/>
  <c r="G101" i="3"/>
  <c r="H101" i="3"/>
  <c r="I101" i="3"/>
  <c r="J101" i="3"/>
  <c r="K101" i="3"/>
</calcChain>
</file>

<file path=xl/sharedStrings.xml><?xml version="1.0" encoding="utf-8"?>
<sst xmlns="http://schemas.openxmlformats.org/spreadsheetml/2006/main" count="787" uniqueCount="180">
  <si>
    <t>Residential</t>
  </si>
  <si>
    <t>E1</t>
  </si>
  <si>
    <t>0 to 130% of Baseline</t>
  </si>
  <si>
    <t>100% to 130% of Baseline</t>
  </si>
  <si>
    <t>130% to 200% of Baseline</t>
  </si>
  <si>
    <t>10% rate reduction</t>
  </si>
  <si>
    <t>over 200% of Baseline</t>
  </si>
  <si>
    <t>Annual</t>
  </si>
  <si>
    <t>Sales (GWh)</t>
  </si>
  <si>
    <t>Current</t>
  </si>
  <si>
    <t>Revenue</t>
  </si>
  <si>
    <t>Total Non Care</t>
  </si>
  <si>
    <t>Revenue (MM)</t>
  </si>
  <si>
    <t>Rate (cents)</t>
  </si>
  <si>
    <t>Increase (MM)</t>
  </si>
  <si>
    <t xml:space="preserve">New Total </t>
  </si>
  <si>
    <t>New Rates</t>
  </si>
  <si>
    <t>(cents/kWh)</t>
  </si>
  <si>
    <t>Care</t>
  </si>
  <si>
    <t>Total Care</t>
  </si>
  <si>
    <t>Non Care</t>
  </si>
  <si>
    <t>Small &amp; Med Coml</t>
  </si>
  <si>
    <t>Fixed Charges</t>
  </si>
  <si>
    <t>Summer Tier 1</t>
  </si>
  <si>
    <t>Summer Tier 2</t>
  </si>
  <si>
    <t>Wniter Tier 1</t>
  </si>
  <si>
    <t>Winter Tier 2</t>
  </si>
  <si>
    <t>GS-1</t>
  </si>
  <si>
    <t>GS-2</t>
  </si>
  <si>
    <t>Summer First Block</t>
  </si>
  <si>
    <t>Summer Second Block</t>
  </si>
  <si>
    <t>Winter First Block</t>
  </si>
  <si>
    <t>Winter Second Block</t>
  </si>
  <si>
    <t>TOU-GS-2</t>
  </si>
  <si>
    <t>Off-Peak Energy</t>
  </si>
  <si>
    <t>Summer On-Peak Energy</t>
  </si>
  <si>
    <t>TOU-8-SEC</t>
  </si>
  <si>
    <t>TOU-8-PRI</t>
  </si>
  <si>
    <t>TOU-8-SUB</t>
  </si>
  <si>
    <t>Agricultural &amp; Pumping</t>
  </si>
  <si>
    <t>PA-1</t>
  </si>
  <si>
    <t>PA-2</t>
  </si>
  <si>
    <t>AG-TOU</t>
  </si>
  <si>
    <t>TOU-PA-5</t>
  </si>
  <si>
    <t>Lighting</t>
  </si>
  <si>
    <t>Street Lights</t>
  </si>
  <si>
    <t>TC-1</t>
  </si>
  <si>
    <t>Total</t>
  </si>
  <si>
    <t>Total GS-1</t>
  </si>
  <si>
    <t>Total GS-2</t>
  </si>
  <si>
    <t>Total TOU-GS-2</t>
  </si>
  <si>
    <t>Total TOU-8-SEC</t>
  </si>
  <si>
    <t>Total TOU-8_PRI</t>
  </si>
  <si>
    <t>Total PA-1</t>
  </si>
  <si>
    <t>Total PA-2</t>
  </si>
  <si>
    <t>Total AG-TOU</t>
  </si>
  <si>
    <t>Total TOU-PA-5</t>
  </si>
  <si>
    <t>Total TC-1</t>
  </si>
  <si>
    <t>Baseline</t>
  </si>
  <si>
    <t>130% of Baseline</t>
  </si>
  <si>
    <t>130%-200% of BL</t>
  </si>
  <si>
    <t>Over 200% of BL</t>
  </si>
  <si>
    <t>10% Rate Reduction</t>
  </si>
  <si>
    <t>Total E1 Residential</t>
  </si>
  <si>
    <t>Summer Tier 1 Energy</t>
  </si>
  <si>
    <t>Summer Tier 2 Energy</t>
  </si>
  <si>
    <t>Winter Tier 1 Energy</t>
  </si>
  <si>
    <t>Winter Tier 2 Energy</t>
  </si>
  <si>
    <t>Total Schedule A-1</t>
  </si>
  <si>
    <t>Total Schedule A-6</t>
  </si>
  <si>
    <t>Tier 1 Energy</t>
  </si>
  <si>
    <t>Tier 2 Energy</t>
  </si>
  <si>
    <t>Total Medium L&amp;P</t>
  </si>
  <si>
    <t>Discounts and Credits</t>
  </si>
  <si>
    <t>Sub-total E-19 Transmission</t>
  </si>
  <si>
    <t>Sub-total E-19 Primary</t>
  </si>
  <si>
    <t>Sub-total E-19 Secondary</t>
  </si>
  <si>
    <t>Total E-19 Class</t>
  </si>
  <si>
    <t>Streetlights</t>
  </si>
  <si>
    <t>Total Streetlights</t>
  </si>
  <si>
    <t>Standby</t>
  </si>
  <si>
    <t>Total Standby</t>
  </si>
  <si>
    <t>Agricultural</t>
  </si>
  <si>
    <t>Total Schedule AG-1B</t>
  </si>
  <si>
    <t>Total Schedule AG-4B</t>
  </si>
  <si>
    <t>Total Schedule AG-5B</t>
  </si>
  <si>
    <t>Sub-total E-20 Transmission</t>
  </si>
  <si>
    <t>Sub-total E-20 Primary</t>
  </si>
  <si>
    <t>Sub-total E-20 Secondary</t>
  </si>
  <si>
    <t>Total E-20 Class</t>
  </si>
  <si>
    <t>Total System</t>
  </si>
  <si>
    <t>EL-1</t>
  </si>
  <si>
    <t>A-1</t>
  </si>
  <si>
    <t>Increase %</t>
  </si>
  <si>
    <t>A-10</t>
  </si>
  <si>
    <t>E-19 Transmission Voltage</t>
  </si>
  <si>
    <t>E-19 Primary Voltage</t>
  </si>
  <si>
    <t>E-19 Secondary Voltage</t>
  </si>
  <si>
    <t>AG-1B</t>
  </si>
  <si>
    <t>AG-4B</t>
  </si>
  <si>
    <t>AG-5B</t>
  </si>
  <si>
    <t>E-20 Transmission Voltage</t>
  </si>
  <si>
    <t>E-20 Primary Voltage</t>
  </si>
  <si>
    <t>E-20 Secondary Voltage</t>
  </si>
  <si>
    <t>Industrial</t>
  </si>
  <si>
    <t xml:space="preserve">Residential </t>
  </si>
  <si>
    <t>Baseline CARE</t>
  </si>
  <si>
    <t>Commercial Industrial</t>
  </si>
  <si>
    <t>Schedule A/Schedule A-TC-Under 20kW</t>
  </si>
  <si>
    <t>Secondary (Includes A-TC)</t>
  </si>
  <si>
    <t>Tier 1</t>
  </si>
  <si>
    <t>Tier 2</t>
  </si>
  <si>
    <t>Primary</t>
  </si>
  <si>
    <t>Total for Schedule A/Schedule A-TC</t>
  </si>
  <si>
    <t>Schedule AL-TOU - 20-500 KW</t>
  </si>
  <si>
    <t>On-Peak Summer</t>
  </si>
  <si>
    <t>Secondary</t>
  </si>
  <si>
    <t>Semi-Peak Summer</t>
  </si>
  <si>
    <t>Off-Peak Summer</t>
  </si>
  <si>
    <t>Total Schedule AL-TOU</t>
  </si>
  <si>
    <t>Schedule A6-TOU- Over 500 KW</t>
  </si>
  <si>
    <t>Non-Peak</t>
  </si>
  <si>
    <t>Total Schedule A6-TOU</t>
  </si>
  <si>
    <t>AGRICULTURAL</t>
  </si>
  <si>
    <t>Schedule PA-TOU</t>
  </si>
  <si>
    <t>On-Peak</t>
  </si>
  <si>
    <t>Off-Peak</t>
  </si>
  <si>
    <t>Schedule PA</t>
  </si>
  <si>
    <t>Total Schedule PA-TOU, PA</t>
  </si>
  <si>
    <t>CARE</t>
  </si>
  <si>
    <t>Total CARE Residential</t>
  </si>
  <si>
    <t>Small Commercial</t>
  </si>
  <si>
    <t>Description</t>
  </si>
  <si>
    <t>Rate</t>
  </si>
  <si>
    <t>Rate Class</t>
  </si>
  <si>
    <t>Non-CARE</t>
  </si>
  <si>
    <t>Commercial</t>
  </si>
  <si>
    <t>Other</t>
  </si>
  <si>
    <t>Total TOU-8-SUB</t>
  </si>
  <si>
    <t>A-6 TOU</t>
  </si>
  <si>
    <t>PGE</t>
  </si>
  <si>
    <t>SCE</t>
  </si>
  <si>
    <t>SDGE</t>
  </si>
  <si>
    <t>A6-TOU</t>
  </si>
  <si>
    <t>A-TC</t>
  </si>
  <si>
    <t>Rate Description</t>
  </si>
  <si>
    <t>California Alternative Rates for Energy</t>
  </si>
  <si>
    <t>Under 50,000 kWh/Yr, less than 499 kW for three consecutive months</t>
  </si>
  <si>
    <t>Same as A-1 except Time Of Use</t>
  </si>
  <si>
    <t>Over 50,000 kWh/Yr., less than 499 kW for three consecutive months</t>
  </si>
  <si>
    <t>Under 500 mW, more than 4999 kW for three consecutive months</t>
  </si>
  <si>
    <t>Without Transformation</t>
  </si>
  <si>
    <t>Less than 2,400 volts</t>
  </si>
  <si>
    <t>Over 999 Kw, and exceeded 999 kW for 5 of 12 mos, or 3 consecutive per year</t>
  </si>
  <si>
    <t>Under 500 kW, 70% or more for Agricultural end-use</t>
  </si>
  <si>
    <t>Same as AG-1B, but with Time Of Use</t>
  </si>
  <si>
    <t>Over 500 kW, with Time Of Use, 70% or more Agricultural end-use</t>
  </si>
  <si>
    <t>TOTAL</t>
  </si>
  <si>
    <t>PGE Retained Gen + QF</t>
  </si>
  <si>
    <t>SCE Retained Gen + QF</t>
  </si>
  <si>
    <t>SDGE Retained Gen + QF</t>
  </si>
  <si>
    <t>In excess of 500 kW</t>
  </si>
  <si>
    <t>In excess of 500 kW, Time Of Use</t>
  </si>
  <si>
    <t>No more than 20kW in any 3 of 12 consecutive months</t>
  </si>
  <si>
    <t>Use of 20 to 500 kW</t>
  </si>
  <si>
    <t>Use of 20 to 500 kW, Time Of Use</t>
  </si>
  <si>
    <t>Q1</t>
  </si>
  <si>
    <t>Q2</t>
  </si>
  <si>
    <t>Q3</t>
  </si>
  <si>
    <t>Q4</t>
  </si>
  <si>
    <t>CONTRACTED</t>
  </si>
  <si>
    <t>Mwh</t>
  </si>
  <si>
    <t>Cost</t>
  </si>
  <si>
    <t>Avg. Price</t>
  </si>
  <si>
    <t>Cost (000)</t>
  </si>
  <si>
    <t>NON CONTRACTED</t>
  </si>
  <si>
    <t>Cumulative</t>
  </si>
  <si>
    <t>Cash Flow (000)</t>
  </si>
  <si>
    <t xml:space="preserve">        CREDIT ACCUMULATION</t>
  </si>
  <si>
    <t>Price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</si>
</sst>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&quot;$&quot;* #,##0.0_);_(&quot;$&quot;* \(#,##0.0\);_(&quot;$&quot;* &quot;-&quot;??_);_(@_)"/>
    <numFmt numFmtId="167" formatCode="_(&quot;$&quot;* #,##0_);_(&quot;$&quot;* \(#,##0\);_(&quot;$&quot;* &quot;-&quot;??_);_(@_)"/>
    <numFmt numFmtId="169" formatCode="0.0%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165" fontId="0" fillId="0" borderId="0" xfId="1" applyNumberFormat="1" applyFont="1" applyAlignment="1">
      <alignment horizontal="center"/>
    </xf>
    <xf numFmtId="166" fontId="0" fillId="0" borderId="0" xfId="2" applyNumberFormat="1" applyFont="1" applyAlignment="1">
      <alignment horizontal="center"/>
    </xf>
    <xf numFmtId="43" fontId="0" fillId="0" borderId="0" xfId="1" applyFont="1" applyAlignment="1"/>
    <xf numFmtId="166" fontId="0" fillId="0" borderId="0" xfId="2" applyNumberFormat="1" applyFont="1" applyAlignment="1"/>
    <xf numFmtId="169" fontId="0" fillId="0" borderId="0" xfId="3" applyNumberFormat="1" applyFont="1" applyAlignment="1">
      <alignment horizontal="center"/>
    </xf>
    <xf numFmtId="9" fontId="0" fillId="0" borderId="0" xfId="3" applyFont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1" applyNumberFormat="1" applyFont="1" applyAlignment="1">
      <alignment horizontal="center"/>
    </xf>
    <xf numFmtId="43" fontId="2" fillId="0" borderId="0" xfId="1" applyFont="1" applyAlignment="1">
      <alignment horizontal="center"/>
    </xf>
    <xf numFmtId="43" fontId="2" fillId="0" borderId="0" xfId="1" applyFont="1" applyAlignment="1"/>
    <xf numFmtId="169" fontId="2" fillId="0" borderId="0" xfId="3" applyNumberFormat="1" applyFont="1" applyAlignment="1">
      <alignment horizontal="center"/>
    </xf>
    <xf numFmtId="0" fontId="2" fillId="0" borderId="0" xfId="0" applyFont="1"/>
    <xf numFmtId="164" fontId="0" fillId="0" borderId="0" xfId="1" applyNumberFormat="1" applyFont="1" applyAlignment="1">
      <alignment horizontal="center"/>
    </xf>
    <xf numFmtId="0" fontId="0" fillId="0" borderId="0" xfId="0" applyAlignment="1">
      <alignment horizontal="right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0" borderId="0" xfId="0" applyFont="1" applyAlignment="1">
      <alignment horizontal="left"/>
    </xf>
    <xf numFmtId="43" fontId="0" fillId="0" borderId="0" xfId="1" applyFont="1"/>
    <xf numFmtId="43" fontId="0" fillId="0" borderId="1" xfId="1" applyFont="1" applyBorder="1"/>
    <xf numFmtId="43" fontId="2" fillId="0" borderId="1" xfId="1" applyFont="1" applyBorder="1"/>
    <xf numFmtId="43" fontId="2" fillId="2" borderId="1" xfId="1" applyFont="1" applyFill="1" applyBorder="1"/>
    <xf numFmtId="43" fontId="0" fillId="3" borderId="0" xfId="1" applyFont="1" applyFill="1"/>
    <xf numFmtId="165" fontId="0" fillId="0" borderId="0" xfId="1" applyNumberFormat="1" applyFont="1"/>
    <xf numFmtId="165" fontId="0" fillId="0" borderId="1" xfId="1" applyNumberFormat="1" applyFont="1" applyFill="1" applyBorder="1"/>
    <xf numFmtId="165" fontId="0" fillId="0" borderId="1" xfId="1" applyNumberFormat="1" applyFont="1" applyBorder="1"/>
    <xf numFmtId="165" fontId="2" fillId="0" borderId="1" xfId="1" applyNumberFormat="1" applyFont="1" applyBorder="1"/>
    <xf numFmtId="165" fontId="2" fillId="2" borderId="1" xfId="1" applyNumberFormat="1" applyFont="1" applyFill="1" applyBorder="1"/>
    <xf numFmtId="165" fontId="0" fillId="3" borderId="0" xfId="1" applyNumberFormat="1" applyFont="1" applyFill="1"/>
    <xf numFmtId="166" fontId="0" fillId="0" borderId="0" xfId="2" applyNumberFormat="1" applyFont="1"/>
    <xf numFmtId="166" fontId="0" fillId="2" borderId="1" xfId="2" applyNumberFormat="1" applyFont="1" applyFill="1" applyBorder="1"/>
    <xf numFmtId="166" fontId="0" fillId="3" borderId="0" xfId="2" applyNumberFormat="1" applyFont="1" applyFill="1"/>
    <xf numFmtId="166" fontId="0" fillId="0" borderId="1" xfId="2" applyNumberFormat="1" applyFont="1" applyBorder="1"/>
    <xf numFmtId="166" fontId="2" fillId="0" borderId="1" xfId="2" applyNumberFormat="1" applyFont="1" applyBorder="1"/>
    <xf numFmtId="166" fontId="2" fillId="2" borderId="1" xfId="2" applyNumberFormat="1" applyFont="1" applyFill="1" applyBorder="1"/>
    <xf numFmtId="9" fontId="0" fillId="0" borderId="0" xfId="3" applyFont="1"/>
    <xf numFmtId="9" fontId="0" fillId="0" borderId="1" xfId="3" applyFont="1" applyBorder="1"/>
    <xf numFmtId="9" fontId="2" fillId="0" borderId="1" xfId="3" applyFont="1" applyBorder="1"/>
    <xf numFmtId="43" fontId="0" fillId="2" borderId="1" xfId="1" applyFont="1" applyFill="1" applyBorder="1"/>
    <xf numFmtId="43" fontId="0" fillId="4" borderId="0" xfId="1" applyFont="1" applyFill="1"/>
    <xf numFmtId="166" fontId="0" fillId="4" borderId="0" xfId="2" applyNumberFormat="1" applyFont="1" applyFill="1"/>
    <xf numFmtId="166" fontId="3" fillId="0" borderId="0" xfId="2" applyNumberFormat="1" applyFont="1" applyAlignment="1">
      <alignment horizontal="center"/>
    </xf>
    <xf numFmtId="9" fontId="0" fillId="0" borderId="0" xfId="3" applyNumberFormat="1" applyFont="1" applyAlignment="1">
      <alignment horizontal="center"/>
    </xf>
    <xf numFmtId="43" fontId="0" fillId="0" borderId="0" xfId="1" applyNumberFormat="1" applyFont="1" applyAlignment="1">
      <alignment horizontal="center"/>
    </xf>
    <xf numFmtId="167" fontId="0" fillId="0" borderId="0" xfId="2" applyNumberFormat="1" applyFont="1" applyAlignment="1">
      <alignment horizontal="center"/>
    </xf>
    <xf numFmtId="167" fontId="3" fillId="0" borderId="0" xfId="2" applyNumberFormat="1" applyFont="1" applyAlignment="1">
      <alignment horizontal="left"/>
    </xf>
    <xf numFmtId="1" fontId="0" fillId="0" borderId="0" xfId="0" applyNumberFormat="1" applyAlignment="1">
      <alignment horizontal="center"/>
    </xf>
    <xf numFmtId="165" fontId="3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0" fillId="0" borderId="0" xfId="1" applyNumberFormat="1" applyFont="1" applyAlignment="1">
      <alignment horizontal="right"/>
    </xf>
    <xf numFmtId="165" fontId="3" fillId="0" borderId="0" xfId="1" applyNumberFormat="1" applyFont="1" applyAlignme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U147"/>
  <sheetViews>
    <sheetView topLeftCell="A87" zoomScale="80" workbookViewId="0">
      <selection activeCell="C84" sqref="C84"/>
    </sheetView>
  </sheetViews>
  <sheetFormatPr defaultRowHeight="13.2" x14ac:dyDescent="0.25"/>
  <cols>
    <col min="1" max="1" width="18.5546875" style="1" customWidth="1"/>
    <col min="2" max="2" width="24" style="1" bestFit="1" customWidth="1"/>
    <col min="3" max="3" width="70.6640625" style="1" customWidth="1"/>
    <col min="4" max="4" width="24.88671875" style="1" bestFit="1" customWidth="1"/>
    <col min="5" max="5" width="11.6640625" style="3" bestFit="1" customWidth="1"/>
    <col min="6" max="6" width="12.33203125" style="2" bestFit="1" customWidth="1"/>
    <col min="7" max="7" width="14" style="4" bestFit="1" customWidth="1"/>
    <col min="8" max="8" width="14.109375" style="4" bestFit="1" customWidth="1"/>
    <col min="9" max="9" width="11.5546875" style="4" bestFit="1" customWidth="1"/>
    <col min="10" max="10" width="12.33203125" style="2" bestFit="1" customWidth="1"/>
    <col min="11" max="11" width="10.33203125" style="8" bestFit="1" customWidth="1"/>
  </cols>
  <sheetData>
    <row r="3" spans="1:21" x14ac:dyDescent="0.25">
      <c r="E3" s="3" t="s">
        <v>7</v>
      </c>
      <c r="F3" s="2" t="s">
        <v>9</v>
      </c>
      <c r="G3" s="4" t="s">
        <v>9</v>
      </c>
      <c r="H3" s="4" t="s">
        <v>10</v>
      </c>
      <c r="I3" s="4" t="s">
        <v>15</v>
      </c>
      <c r="J3" s="2" t="s">
        <v>16</v>
      </c>
    </row>
    <row r="4" spans="1:21" x14ac:dyDescent="0.25">
      <c r="A4" s="1" t="s">
        <v>134</v>
      </c>
      <c r="B4" s="1" t="s">
        <v>133</v>
      </c>
      <c r="C4" s="1" t="s">
        <v>145</v>
      </c>
      <c r="D4" s="1" t="s">
        <v>132</v>
      </c>
      <c r="E4" s="3" t="s">
        <v>8</v>
      </c>
      <c r="F4" s="2" t="s">
        <v>13</v>
      </c>
      <c r="G4" s="4" t="s">
        <v>12</v>
      </c>
      <c r="H4" s="4" t="s">
        <v>14</v>
      </c>
      <c r="I4" s="4" t="s">
        <v>10</v>
      </c>
      <c r="J4" s="2" t="s">
        <v>17</v>
      </c>
      <c r="K4" s="8" t="s">
        <v>93</v>
      </c>
    </row>
    <row r="7" spans="1:21" x14ac:dyDescent="0.25">
      <c r="D7" s="14"/>
      <c r="E7" s="25"/>
      <c r="F7" s="20"/>
      <c r="G7" s="31"/>
      <c r="H7" s="31"/>
      <c r="I7" s="31"/>
      <c r="J7" s="20"/>
      <c r="K7" s="37"/>
      <c r="N7" s="1"/>
      <c r="O7" s="3"/>
      <c r="P7" s="2"/>
      <c r="Q7" s="4"/>
      <c r="R7" s="4"/>
      <c r="S7" s="4"/>
      <c r="T7" s="2"/>
      <c r="U7" s="7"/>
    </row>
    <row r="8" spans="1:21" x14ac:dyDescent="0.25">
      <c r="A8" s="1" t="s">
        <v>0</v>
      </c>
      <c r="B8" s="1" t="s">
        <v>1</v>
      </c>
      <c r="D8" s="16" t="s">
        <v>58</v>
      </c>
      <c r="E8" s="25">
        <v>15251</v>
      </c>
      <c r="F8" s="20">
        <v>12.1</v>
      </c>
      <c r="G8" s="31">
        <v>1851.9</v>
      </c>
      <c r="H8" s="31"/>
      <c r="I8" s="31">
        <v>1851.9</v>
      </c>
      <c r="J8" s="20">
        <v>12.1</v>
      </c>
      <c r="K8" s="37"/>
      <c r="N8" s="1"/>
      <c r="O8" s="3"/>
      <c r="P8" s="2"/>
      <c r="Q8" s="4"/>
      <c r="R8" s="4"/>
      <c r="S8" s="4"/>
      <c r="T8" s="2"/>
      <c r="U8" s="7"/>
    </row>
    <row r="9" spans="1:21" x14ac:dyDescent="0.25">
      <c r="A9" s="1" t="s">
        <v>0</v>
      </c>
      <c r="B9" s="1" t="s">
        <v>1</v>
      </c>
      <c r="D9" s="16" t="s">
        <v>59</v>
      </c>
      <c r="E9" s="25">
        <v>2982</v>
      </c>
      <c r="F9" s="20">
        <v>13.8</v>
      </c>
      <c r="G9" s="31">
        <v>410.3</v>
      </c>
      <c r="H9" s="31"/>
      <c r="I9" s="31">
        <v>410.3</v>
      </c>
      <c r="J9" s="20">
        <v>13.8</v>
      </c>
      <c r="K9" s="37"/>
      <c r="N9" s="1"/>
      <c r="O9" s="3"/>
      <c r="P9" s="2"/>
      <c r="Q9" s="4"/>
      <c r="R9" s="4"/>
      <c r="S9" s="4"/>
      <c r="T9" s="2"/>
      <c r="U9" s="7"/>
    </row>
    <row r="10" spans="1:21" x14ac:dyDescent="0.25">
      <c r="A10" s="1" t="s">
        <v>0</v>
      </c>
      <c r="B10" s="1" t="s">
        <v>1</v>
      </c>
      <c r="D10" s="16" t="s">
        <v>60</v>
      </c>
      <c r="E10" s="25">
        <v>4268</v>
      </c>
      <c r="F10" s="20">
        <v>13.8</v>
      </c>
      <c r="G10" s="31">
        <v>587.4</v>
      </c>
      <c r="H10" s="31">
        <v>204.8</v>
      </c>
      <c r="I10" s="31">
        <v>792.2</v>
      </c>
      <c r="J10" s="20">
        <v>18.600000000000001</v>
      </c>
      <c r="K10" s="37"/>
      <c r="N10" s="1"/>
      <c r="O10" s="3"/>
      <c r="P10" s="2"/>
      <c r="Q10" s="4"/>
      <c r="R10" s="4"/>
      <c r="S10" s="4"/>
      <c r="T10" s="2"/>
      <c r="U10" s="7"/>
    </row>
    <row r="11" spans="1:21" x14ac:dyDescent="0.25">
      <c r="A11" s="1" t="s">
        <v>0</v>
      </c>
      <c r="B11" s="1" t="s">
        <v>1</v>
      </c>
      <c r="D11" s="16" t="s">
        <v>61</v>
      </c>
      <c r="E11" s="25">
        <v>4438</v>
      </c>
      <c r="F11" s="20">
        <v>13.8</v>
      </c>
      <c r="G11" s="31">
        <v>610.79999999999995</v>
      </c>
      <c r="H11" s="31">
        <v>460.9</v>
      </c>
      <c r="I11" s="31">
        <v>1071.7</v>
      </c>
      <c r="J11" s="20">
        <v>24.1</v>
      </c>
      <c r="K11" s="37"/>
      <c r="N11" s="1"/>
      <c r="O11" s="3"/>
      <c r="P11" s="2"/>
      <c r="Q11" s="4"/>
      <c r="R11" s="4"/>
      <c r="S11" s="4"/>
      <c r="T11" s="2"/>
      <c r="U11" s="7"/>
    </row>
    <row r="12" spans="1:21" x14ac:dyDescent="0.25">
      <c r="A12" s="1" t="s">
        <v>0</v>
      </c>
      <c r="B12" s="1" t="s">
        <v>1</v>
      </c>
      <c r="D12" s="16" t="s">
        <v>62</v>
      </c>
      <c r="E12" s="25"/>
      <c r="F12" s="20"/>
      <c r="G12" s="31">
        <v>-319.10000000000002</v>
      </c>
      <c r="H12" s="31"/>
      <c r="I12" s="31">
        <v>-304.89999999999998</v>
      </c>
      <c r="J12" s="20"/>
      <c r="K12" s="37"/>
      <c r="N12" s="1"/>
      <c r="O12" s="3"/>
      <c r="P12" s="2"/>
      <c r="Q12" s="4"/>
      <c r="R12" s="4"/>
      <c r="S12" s="4"/>
      <c r="T12" s="2"/>
      <c r="U12" s="7"/>
    </row>
    <row r="13" spans="1:21" ht="13.8" thickBot="1" x14ac:dyDescent="0.3">
      <c r="D13" s="17" t="s">
        <v>63</v>
      </c>
      <c r="E13" s="26">
        <f>SUM(E8:E12)</f>
        <v>26939</v>
      </c>
      <c r="F13" s="40">
        <f>100*G13/E13</f>
        <v>11.660789190393112</v>
      </c>
      <c r="G13" s="32">
        <f>SUM(G8:G12)</f>
        <v>3141.3000000000006</v>
      </c>
      <c r="H13" s="32">
        <f>SUM(H8:H12)</f>
        <v>665.7</v>
      </c>
      <c r="I13" s="34">
        <f>SUM(I8:I12)</f>
        <v>3821.2000000000003</v>
      </c>
      <c r="J13" s="21">
        <f>I13/E13*100</f>
        <v>14.184639370429489</v>
      </c>
      <c r="K13" s="38">
        <f>(J13-F13)/F13</f>
        <v>0.21643905389488408</v>
      </c>
      <c r="N13" s="1"/>
      <c r="O13" s="3"/>
      <c r="P13" s="2"/>
      <c r="Q13" s="15"/>
      <c r="R13" s="15"/>
      <c r="S13" s="15"/>
      <c r="T13" s="2"/>
      <c r="U13" s="7"/>
    </row>
    <row r="14" spans="1:21" ht="13.8" thickTop="1" x14ac:dyDescent="0.25">
      <c r="D14"/>
      <c r="E14" s="25"/>
      <c r="F14" s="41">
        <v>11.4</v>
      </c>
      <c r="G14" s="42">
        <v>3080</v>
      </c>
      <c r="H14" s="42">
        <v>867.2</v>
      </c>
      <c r="I14" s="31"/>
      <c r="J14" s="20"/>
      <c r="K14" s="37"/>
      <c r="N14" s="1"/>
      <c r="O14" s="3"/>
      <c r="P14" s="2"/>
      <c r="Q14" s="4"/>
      <c r="R14" s="4"/>
      <c r="S14" s="4"/>
      <c r="T14" s="2"/>
      <c r="U14" s="7"/>
    </row>
    <row r="15" spans="1:21" x14ac:dyDescent="0.25">
      <c r="D15" s="14"/>
      <c r="E15" s="25"/>
      <c r="F15" s="20"/>
      <c r="G15" s="31"/>
      <c r="H15" s="31"/>
      <c r="I15" s="31"/>
      <c r="J15" s="20"/>
      <c r="K15" s="37"/>
      <c r="N15" s="1"/>
      <c r="O15" s="3"/>
      <c r="P15" s="2"/>
      <c r="Q15" s="4"/>
      <c r="R15" s="4"/>
      <c r="S15" s="4"/>
      <c r="T15" s="2"/>
      <c r="U15" s="7"/>
    </row>
    <row r="16" spans="1:21" x14ac:dyDescent="0.25">
      <c r="A16" s="1" t="s">
        <v>0</v>
      </c>
      <c r="B16" s="1" t="s">
        <v>91</v>
      </c>
      <c r="C16" s="1" t="s">
        <v>146</v>
      </c>
      <c r="D16" s="16" t="s">
        <v>58</v>
      </c>
      <c r="E16" s="25">
        <v>1080</v>
      </c>
      <c r="F16" s="20">
        <v>9.8000000000000007</v>
      </c>
      <c r="G16" s="31">
        <v>106</v>
      </c>
      <c r="H16" s="31"/>
      <c r="I16" s="31">
        <v>106</v>
      </c>
      <c r="J16" s="20">
        <v>9.8000000000000007</v>
      </c>
      <c r="K16" s="37"/>
      <c r="N16" s="1"/>
      <c r="O16" s="3"/>
      <c r="P16" s="2"/>
      <c r="Q16" s="4"/>
      <c r="R16" s="4"/>
      <c r="S16" s="4"/>
      <c r="T16" s="2"/>
      <c r="U16" s="7"/>
    </row>
    <row r="17" spans="1:21" x14ac:dyDescent="0.25">
      <c r="A17" s="1" t="s">
        <v>0</v>
      </c>
      <c r="B17" s="1" t="s">
        <v>91</v>
      </c>
      <c r="C17" s="1" t="s">
        <v>146</v>
      </c>
      <c r="D17" s="16" t="s">
        <v>59</v>
      </c>
      <c r="E17" s="25">
        <v>211</v>
      </c>
      <c r="F17" s="20">
        <v>11.3</v>
      </c>
      <c r="G17" s="31">
        <v>23.8</v>
      </c>
      <c r="H17" s="31"/>
      <c r="I17" s="31">
        <v>23.8</v>
      </c>
      <c r="J17" s="20">
        <v>11.3</v>
      </c>
      <c r="K17" s="37"/>
      <c r="N17" s="1"/>
      <c r="O17" s="3"/>
      <c r="P17" s="2"/>
      <c r="Q17" s="4"/>
      <c r="R17" s="4"/>
      <c r="S17" s="4"/>
      <c r="T17" s="2"/>
      <c r="U17" s="7"/>
    </row>
    <row r="18" spans="1:21" x14ac:dyDescent="0.25">
      <c r="A18" s="1" t="s">
        <v>0</v>
      </c>
      <c r="B18" s="1" t="s">
        <v>91</v>
      </c>
      <c r="C18" s="1" t="s">
        <v>146</v>
      </c>
      <c r="D18" s="16" t="s">
        <v>60</v>
      </c>
      <c r="E18" s="25">
        <v>302</v>
      </c>
      <c r="F18" s="20">
        <v>11.3</v>
      </c>
      <c r="G18" s="31">
        <v>34.1</v>
      </c>
      <c r="H18" s="31"/>
      <c r="I18" s="31">
        <v>34.1</v>
      </c>
      <c r="J18" s="20">
        <v>11.3</v>
      </c>
      <c r="K18" s="37"/>
      <c r="N18" s="1"/>
      <c r="O18" s="3"/>
      <c r="P18" s="2"/>
      <c r="Q18" s="4"/>
      <c r="R18" s="4"/>
      <c r="S18" s="4"/>
      <c r="T18" s="2"/>
      <c r="U18" s="7"/>
    </row>
    <row r="19" spans="1:21" x14ac:dyDescent="0.25">
      <c r="A19" s="1" t="s">
        <v>0</v>
      </c>
      <c r="B19" s="1" t="s">
        <v>91</v>
      </c>
      <c r="C19" s="1" t="s">
        <v>146</v>
      </c>
      <c r="D19" s="16" t="s">
        <v>61</v>
      </c>
      <c r="E19" s="25">
        <v>314</v>
      </c>
      <c r="F19" s="20">
        <v>11.3</v>
      </c>
      <c r="G19" s="31">
        <v>35.5</v>
      </c>
      <c r="H19" s="31">
        <v>25.4</v>
      </c>
      <c r="I19" s="31">
        <v>60.9</v>
      </c>
      <c r="J19" s="20">
        <v>19.399999999999999</v>
      </c>
      <c r="K19" s="37"/>
      <c r="N19" s="1"/>
      <c r="O19" s="3"/>
      <c r="P19" s="2"/>
      <c r="Q19" s="4"/>
      <c r="R19" s="4"/>
      <c r="S19" s="4"/>
      <c r="T19" s="2"/>
      <c r="U19" s="7"/>
    </row>
    <row r="20" spans="1:21" x14ac:dyDescent="0.25">
      <c r="A20" s="1" t="s">
        <v>0</v>
      </c>
      <c r="B20" s="1" t="s">
        <v>91</v>
      </c>
      <c r="C20" s="1" t="s">
        <v>146</v>
      </c>
      <c r="D20" s="16" t="s">
        <v>62</v>
      </c>
      <c r="E20" s="25"/>
      <c r="F20" s="20"/>
      <c r="G20" s="31">
        <v>-19.899999999999999</v>
      </c>
      <c r="H20" s="31"/>
      <c r="I20" s="31">
        <v>-22.5</v>
      </c>
      <c r="J20" s="20"/>
      <c r="K20" s="37"/>
      <c r="N20" s="1"/>
      <c r="O20" s="3"/>
      <c r="P20" s="2"/>
      <c r="Q20" s="4"/>
      <c r="R20" s="4"/>
      <c r="S20" s="4"/>
      <c r="T20" s="2"/>
      <c r="U20" s="7"/>
    </row>
    <row r="21" spans="1:21" ht="13.8" thickBot="1" x14ac:dyDescent="0.3">
      <c r="D21" s="17" t="s">
        <v>63</v>
      </c>
      <c r="E21" s="27">
        <f>SUM(E16:E20)</f>
        <v>1907</v>
      </c>
      <c r="F21" s="21">
        <f>100*G21/E21</f>
        <v>9.4126900891452543</v>
      </c>
      <c r="G21" s="34">
        <f>SUM(G16:G20)</f>
        <v>179.5</v>
      </c>
      <c r="H21" s="34">
        <f>SUM(H16:H20)</f>
        <v>25.4</v>
      </c>
      <c r="I21" s="34">
        <f>SUM(I16:I20)</f>
        <v>202.3</v>
      </c>
      <c r="J21" s="21">
        <f>I21/E21*100</f>
        <v>10.608285264813844</v>
      </c>
      <c r="K21" s="38">
        <f>(J21-F21)/F21</f>
        <v>0.12701949860724238</v>
      </c>
      <c r="N21" s="1"/>
      <c r="O21" s="3"/>
      <c r="P21" s="2"/>
      <c r="Q21" s="4"/>
      <c r="R21" s="4"/>
      <c r="S21" s="4"/>
      <c r="T21" s="2"/>
      <c r="U21" s="7"/>
    </row>
    <row r="22" spans="1:21" ht="13.8" thickTop="1" x14ac:dyDescent="0.25">
      <c r="D22"/>
      <c r="E22" s="25"/>
      <c r="F22" s="20"/>
      <c r="G22" s="31"/>
      <c r="H22" s="31"/>
      <c r="I22" s="31"/>
      <c r="J22" s="20"/>
      <c r="K22" s="37"/>
      <c r="N22" s="1"/>
      <c r="O22" s="3"/>
      <c r="P22" s="2"/>
      <c r="Q22" s="4"/>
      <c r="R22" s="4"/>
      <c r="S22" s="4"/>
      <c r="T22" s="2"/>
      <c r="U22" s="7"/>
    </row>
    <row r="23" spans="1:21" x14ac:dyDescent="0.25">
      <c r="D23" s="14"/>
      <c r="E23" s="25"/>
      <c r="F23" s="20"/>
      <c r="G23" s="31"/>
      <c r="H23" s="31"/>
      <c r="I23" s="31"/>
      <c r="J23" s="20"/>
      <c r="K23" s="37"/>
      <c r="N23" s="1"/>
      <c r="O23" s="3"/>
      <c r="P23" s="2"/>
      <c r="Q23" s="4"/>
      <c r="R23" s="4"/>
      <c r="S23" s="4"/>
      <c r="T23" s="2"/>
      <c r="U23" s="7"/>
    </row>
    <row r="24" spans="1:21" x14ac:dyDescent="0.25">
      <c r="A24" s="1" t="s">
        <v>136</v>
      </c>
      <c r="B24" s="1" t="s">
        <v>92</v>
      </c>
      <c r="C24" s="1" t="s">
        <v>147</v>
      </c>
      <c r="D24" s="16" t="s">
        <v>22</v>
      </c>
      <c r="E24" s="25"/>
      <c r="F24" s="20"/>
      <c r="G24" s="31">
        <v>41.7</v>
      </c>
      <c r="H24" s="31"/>
      <c r="I24" s="31">
        <v>41.7</v>
      </c>
      <c r="J24" s="20"/>
      <c r="K24" s="37"/>
      <c r="N24" s="1"/>
      <c r="O24" s="3"/>
      <c r="P24" s="2"/>
      <c r="Q24" s="4"/>
      <c r="R24" s="4"/>
      <c r="S24" s="4"/>
      <c r="T24" s="2"/>
      <c r="U24" s="7"/>
    </row>
    <row r="25" spans="1:21" x14ac:dyDescent="0.25">
      <c r="A25" s="1" t="s">
        <v>136</v>
      </c>
      <c r="B25" s="1" t="s">
        <v>92</v>
      </c>
      <c r="C25" s="1" t="s">
        <v>147</v>
      </c>
      <c r="D25" s="16" t="s">
        <v>64</v>
      </c>
      <c r="E25" s="25">
        <v>1701</v>
      </c>
      <c r="F25" s="20">
        <v>14.9</v>
      </c>
      <c r="G25" s="31">
        <v>253</v>
      </c>
      <c r="H25" s="31">
        <v>27</v>
      </c>
      <c r="I25" s="31">
        <v>279.89999999999998</v>
      </c>
      <c r="J25" s="20">
        <v>16.5</v>
      </c>
      <c r="K25" s="37"/>
      <c r="N25" s="1"/>
      <c r="O25" s="3"/>
      <c r="P25" s="2"/>
      <c r="Q25" s="4"/>
      <c r="R25" s="4"/>
      <c r="S25" s="4"/>
      <c r="T25" s="2"/>
      <c r="U25" s="7"/>
    </row>
    <row r="26" spans="1:21" x14ac:dyDescent="0.25">
      <c r="A26" s="1" t="s">
        <v>136</v>
      </c>
      <c r="B26" s="1" t="s">
        <v>92</v>
      </c>
      <c r="C26" s="1" t="s">
        <v>147</v>
      </c>
      <c r="D26" s="16" t="s">
        <v>65</v>
      </c>
      <c r="E26" s="25">
        <v>1392</v>
      </c>
      <c r="F26" s="20">
        <v>14.9</v>
      </c>
      <c r="G26" s="31">
        <v>207</v>
      </c>
      <c r="H26" s="31">
        <v>40.4</v>
      </c>
      <c r="I26" s="31">
        <v>247.4</v>
      </c>
      <c r="J26" s="20">
        <v>17.8</v>
      </c>
      <c r="K26" s="37"/>
      <c r="N26" s="1"/>
      <c r="O26" s="3"/>
      <c r="P26" s="2"/>
      <c r="Q26" s="4"/>
      <c r="R26" s="4"/>
      <c r="S26" s="4"/>
      <c r="T26" s="2"/>
      <c r="U26" s="7"/>
    </row>
    <row r="27" spans="1:21" x14ac:dyDescent="0.25">
      <c r="A27" s="1" t="s">
        <v>136</v>
      </c>
      <c r="B27" s="1" t="s">
        <v>92</v>
      </c>
      <c r="C27" s="1" t="s">
        <v>147</v>
      </c>
      <c r="D27" s="16" t="s">
        <v>66</v>
      </c>
      <c r="E27" s="25">
        <v>1547</v>
      </c>
      <c r="F27" s="20">
        <v>10.199999999999999</v>
      </c>
      <c r="G27" s="31">
        <v>157.69999999999999</v>
      </c>
      <c r="H27" s="31">
        <v>24.5</v>
      </c>
      <c r="I27" s="31">
        <v>182.3</v>
      </c>
      <c r="J27" s="20">
        <v>11.8</v>
      </c>
      <c r="K27" s="37"/>
      <c r="N27" s="1"/>
      <c r="O27" s="3"/>
      <c r="P27" s="2"/>
      <c r="Q27" s="4"/>
      <c r="R27" s="4"/>
      <c r="S27" s="4"/>
      <c r="T27" s="2"/>
      <c r="U27" s="7"/>
    </row>
    <row r="28" spans="1:21" x14ac:dyDescent="0.25">
      <c r="A28" s="1" t="s">
        <v>136</v>
      </c>
      <c r="B28" s="1" t="s">
        <v>92</v>
      </c>
      <c r="C28" s="1" t="s">
        <v>147</v>
      </c>
      <c r="D28" s="16" t="s">
        <v>67</v>
      </c>
      <c r="E28" s="25">
        <v>1266</v>
      </c>
      <c r="F28" s="20">
        <v>10.199999999999999</v>
      </c>
      <c r="G28" s="31">
        <v>129.1</v>
      </c>
      <c r="H28" s="31">
        <v>36.799999999999997</v>
      </c>
      <c r="I28" s="31">
        <v>165.8</v>
      </c>
      <c r="J28" s="20">
        <v>13.1</v>
      </c>
      <c r="K28" s="37"/>
      <c r="N28" s="1"/>
      <c r="O28" s="3"/>
      <c r="P28" s="2"/>
      <c r="Q28" s="4"/>
      <c r="R28" s="4"/>
      <c r="S28" s="4"/>
      <c r="T28" s="2"/>
      <c r="U28" s="7"/>
    </row>
    <row r="29" spans="1:21" x14ac:dyDescent="0.25">
      <c r="A29" s="1" t="s">
        <v>136</v>
      </c>
      <c r="B29" s="1" t="s">
        <v>92</v>
      </c>
      <c r="C29" s="1" t="s">
        <v>147</v>
      </c>
      <c r="D29" s="16" t="s">
        <v>62</v>
      </c>
      <c r="E29" s="25"/>
      <c r="F29" s="20"/>
      <c r="G29" s="31">
        <v>-78.8</v>
      </c>
      <c r="H29" s="31"/>
      <c r="I29" s="31">
        <v>-96.6</v>
      </c>
      <c r="J29" s="20"/>
      <c r="K29" s="37"/>
      <c r="N29" s="1"/>
      <c r="O29" s="3"/>
      <c r="P29" s="2"/>
      <c r="Q29" s="4"/>
      <c r="R29" s="4"/>
      <c r="S29" s="4"/>
      <c r="T29" s="2"/>
      <c r="U29" s="7"/>
    </row>
    <row r="30" spans="1:21" ht="13.8" thickBot="1" x14ac:dyDescent="0.3">
      <c r="D30" s="17" t="s">
        <v>68</v>
      </c>
      <c r="E30" s="27">
        <f>SUM(E24:E29)</f>
        <v>5906</v>
      </c>
      <c r="F30" s="21">
        <f>100*G30/E30</f>
        <v>12.016593294954284</v>
      </c>
      <c r="G30" s="34">
        <f>SUM(G24:G29)</f>
        <v>709.7</v>
      </c>
      <c r="H30" s="34">
        <f>SUM(H24:H29)</f>
        <v>128.69999999999999</v>
      </c>
      <c r="I30" s="34">
        <f>SUM(I24:I29)</f>
        <v>820.49999999999989</v>
      </c>
      <c r="J30" s="21">
        <f>I30/E30*100</f>
        <v>13.892651540805959</v>
      </c>
      <c r="K30" s="38">
        <f>(J30-F30)/F30</f>
        <v>0.15612230519937995</v>
      </c>
      <c r="N30" s="1"/>
      <c r="O30" s="3"/>
      <c r="P30" s="2"/>
      <c r="Q30" s="4"/>
      <c r="R30" s="4"/>
      <c r="S30" s="4"/>
      <c r="T30" s="2"/>
      <c r="U30" s="7"/>
    </row>
    <row r="31" spans="1:21" ht="13.8" thickTop="1" x14ac:dyDescent="0.25">
      <c r="D31"/>
      <c r="E31" s="25"/>
      <c r="F31" s="20"/>
      <c r="G31" s="31"/>
      <c r="H31" s="31"/>
      <c r="I31" s="31"/>
      <c r="J31" s="20"/>
      <c r="K31" s="37"/>
      <c r="N31" s="1"/>
      <c r="O31" s="3"/>
      <c r="P31" s="2"/>
      <c r="Q31" s="4"/>
      <c r="R31" s="4"/>
      <c r="S31" s="4"/>
      <c r="T31" s="2"/>
      <c r="U31" s="7"/>
    </row>
    <row r="32" spans="1:21" x14ac:dyDescent="0.25">
      <c r="D32" s="14"/>
      <c r="E32" s="25"/>
      <c r="F32" s="20"/>
      <c r="G32" s="31"/>
      <c r="H32" s="31"/>
      <c r="I32" s="31"/>
      <c r="J32" s="20"/>
      <c r="K32" s="37"/>
      <c r="N32" s="1"/>
      <c r="O32" s="3"/>
      <c r="P32" s="2"/>
      <c r="Q32" s="4"/>
      <c r="R32" s="4"/>
      <c r="S32" s="4"/>
      <c r="T32" s="2"/>
      <c r="U32" s="7"/>
    </row>
    <row r="33" spans="1:21" x14ac:dyDescent="0.25">
      <c r="A33" s="1" t="s">
        <v>136</v>
      </c>
      <c r="B33" s="1" t="s">
        <v>139</v>
      </c>
      <c r="C33" s="1" t="s">
        <v>148</v>
      </c>
      <c r="D33" s="16" t="s">
        <v>22</v>
      </c>
      <c r="E33" s="25"/>
      <c r="F33" s="20"/>
      <c r="G33" s="31">
        <v>6.8</v>
      </c>
      <c r="H33" s="31"/>
      <c r="I33" s="31">
        <v>6.8</v>
      </c>
      <c r="J33" s="20"/>
      <c r="K33" s="37"/>
      <c r="N33" s="1"/>
      <c r="O33" s="3"/>
      <c r="P33" s="2"/>
      <c r="Q33" s="4"/>
      <c r="R33" s="4"/>
      <c r="S33" s="4"/>
      <c r="T33" s="2"/>
      <c r="U33" s="7"/>
    </row>
    <row r="34" spans="1:21" x14ac:dyDescent="0.25">
      <c r="A34" s="1" t="s">
        <v>136</v>
      </c>
      <c r="B34" s="1" t="s">
        <v>139</v>
      </c>
      <c r="C34" s="1" t="s">
        <v>148</v>
      </c>
      <c r="D34" s="16" t="s">
        <v>34</v>
      </c>
      <c r="E34" s="25">
        <v>1748</v>
      </c>
      <c r="F34" s="20">
        <v>5.6</v>
      </c>
      <c r="G34" s="31">
        <v>98.2</v>
      </c>
      <c r="H34" s="31">
        <v>17.100000000000001</v>
      </c>
      <c r="I34" s="31">
        <v>115.3</v>
      </c>
      <c r="J34" s="20">
        <v>6.6</v>
      </c>
      <c r="K34" s="37"/>
      <c r="N34" s="1"/>
      <c r="O34" s="3"/>
      <c r="P34" s="2"/>
      <c r="Q34" s="4"/>
      <c r="R34" s="4"/>
      <c r="S34" s="4"/>
      <c r="T34" s="2"/>
      <c r="U34" s="7"/>
    </row>
    <row r="35" spans="1:21" x14ac:dyDescent="0.25">
      <c r="A35" s="1" t="s">
        <v>136</v>
      </c>
      <c r="B35" s="1" t="s">
        <v>139</v>
      </c>
      <c r="C35" s="1" t="s">
        <v>148</v>
      </c>
      <c r="D35" s="16" t="s">
        <v>35</v>
      </c>
      <c r="E35" s="25">
        <v>210</v>
      </c>
      <c r="F35" s="20">
        <v>23.3</v>
      </c>
      <c r="G35" s="31">
        <v>48.9</v>
      </c>
      <c r="H35" s="31">
        <v>25.6</v>
      </c>
      <c r="I35" s="31">
        <v>74.5</v>
      </c>
      <c r="J35" s="20">
        <v>35.4</v>
      </c>
      <c r="K35" s="37"/>
      <c r="N35" s="1"/>
      <c r="O35" s="3"/>
      <c r="P35" s="2"/>
      <c r="Q35" s="4"/>
      <c r="R35" s="4"/>
      <c r="S35" s="4"/>
      <c r="T35" s="2"/>
      <c r="U35" s="7"/>
    </row>
    <row r="36" spans="1:21" x14ac:dyDescent="0.25">
      <c r="A36" s="1" t="s">
        <v>136</v>
      </c>
      <c r="B36" s="1" t="s">
        <v>139</v>
      </c>
      <c r="C36" s="1" t="s">
        <v>148</v>
      </c>
      <c r="D36" s="16" t="s">
        <v>62</v>
      </c>
      <c r="E36" s="25"/>
      <c r="F36" s="20"/>
      <c r="G36" s="31">
        <v>-19.600000000000001</v>
      </c>
      <c r="H36" s="31"/>
      <c r="I36" s="31">
        <v>-25.5</v>
      </c>
      <c r="J36" s="20"/>
      <c r="K36" s="37"/>
      <c r="N36" s="1"/>
      <c r="O36" s="3"/>
      <c r="P36" s="2"/>
      <c r="Q36" s="4"/>
      <c r="R36" s="4"/>
      <c r="S36" s="4"/>
      <c r="T36" s="2"/>
      <c r="U36" s="7"/>
    </row>
    <row r="37" spans="1:21" ht="13.8" thickBot="1" x14ac:dyDescent="0.3">
      <c r="D37" s="17" t="s">
        <v>69</v>
      </c>
      <c r="E37" s="27">
        <f>SUM(E32:E36)</f>
        <v>1958</v>
      </c>
      <c r="F37" s="21">
        <f>100*G37/E37</f>
        <v>6.859039836567927</v>
      </c>
      <c r="G37" s="34">
        <f>SUM(G32:G36)</f>
        <v>134.30000000000001</v>
      </c>
      <c r="H37" s="34">
        <f>SUM(H32:H36)</f>
        <v>42.7</v>
      </c>
      <c r="I37" s="34">
        <f>SUM(I32:I36)</f>
        <v>171.1</v>
      </c>
      <c r="J37" s="21">
        <f>I37/E37*100</f>
        <v>8.7385086823289058</v>
      </c>
      <c r="K37" s="38">
        <f>(J37-F37)/F37</f>
        <v>0.27401340282948594</v>
      </c>
      <c r="N37" s="1"/>
      <c r="O37" s="3"/>
      <c r="P37" s="2"/>
      <c r="Q37" s="4"/>
      <c r="R37" s="4"/>
      <c r="S37" s="4"/>
      <c r="T37" s="2"/>
      <c r="U37" s="7"/>
    </row>
    <row r="38" spans="1:21" ht="13.8" thickTop="1" x14ac:dyDescent="0.25">
      <c r="D38"/>
      <c r="E38" s="25"/>
      <c r="F38" s="20"/>
      <c r="G38" s="31"/>
      <c r="H38" s="31"/>
      <c r="I38" s="31"/>
      <c r="J38" s="20"/>
      <c r="K38" s="37"/>
      <c r="N38" s="1"/>
      <c r="O38" s="3"/>
      <c r="P38" s="2"/>
      <c r="Q38" s="4"/>
      <c r="R38" s="4"/>
      <c r="S38" s="4"/>
      <c r="T38" s="2"/>
      <c r="U38" s="7"/>
    </row>
    <row r="39" spans="1:21" x14ac:dyDescent="0.25">
      <c r="D39" s="14"/>
      <c r="E39" s="25"/>
      <c r="F39" s="20"/>
      <c r="G39" s="31"/>
      <c r="H39" s="31"/>
      <c r="I39" s="31"/>
      <c r="J39" s="20"/>
      <c r="K39" s="37"/>
      <c r="N39" s="1"/>
      <c r="O39" s="3"/>
      <c r="P39" s="2"/>
      <c r="Q39" s="4"/>
      <c r="R39" s="4"/>
      <c r="S39" s="4"/>
      <c r="T39" s="2"/>
      <c r="U39" s="7"/>
    </row>
    <row r="40" spans="1:21" x14ac:dyDescent="0.25">
      <c r="A40" s="1" t="s">
        <v>136</v>
      </c>
      <c r="B40" s="1" t="s">
        <v>94</v>
      </c>
      <c r="C40" s="1" t="s">
        <v>149</v>
      </c>
      <c r="D40" s="16" t="s">
        <v>22</v>
      </c>
      <c r="E40" s="25"/>
      <c r="F40" s="20"/>
      <c r="G40" s="31">
        <v>220.7</v>
      </c>
      <c r="H40" s="31"/>
      <c r="I40" s="31">
        <v>220.7</v>
      </c>
      <c r="J40" s="20"/>
      <c r="K40" s="37"/>
      <c r="N40" s="1"/>
      <c r="O40" s="3"/>
      <c r="P40" s="2"/>
      <c r="Q40" s="4"/>
      <c r="R40" s="4"/>
      <c r="S40" s="4"/>
      <c r="T40" s="2"/>
      <c r="U40" s="7"/>
    </row>
    <row r="41" spans="1:21" x14ac:dyDescent="0.25">
      <c r="A41" s="1" t="s">
        <v>136</v>
      </c>
      <c r="B41" s="1" t="s">
        <v>94</v>
      </c>
      <c r="C41" s="1" t="s">
        <v>149</v>
      </c>
      <c r="D41" s="16" t="s">
        <v>70</v>
      </c>
      <c r="E41" s="25">
        <v>7123</v>
      </c>
      <c r="F41" s="20">
        <v>9.1509999999999998</v>
      </c>
      <c r="G41" s="31">
        <v>651.79999999999995</v>
      </c>
      <c r="H41" s="31">
        <v>113</v>
      </c>
      <c r="I41" s="31">
        <v>764.8</v>
      </c>
      <c r="J41" s="20">
        <v>10.7</v>
      </c>
      <c r="K41" s="37"/>
      <c r="N41" s="1"/>
      <c r="O41" s="3"/>
      <c r="P41" s="2"/>
      <c r="Q41" s="4"/>
      <c r="R41" s="4"/>
      <c r="S41" s="4"/>
      <c r="T41" s="2"/>
      <c r="U41" s="7"/>
    </row>
    <row r="42" spans="1:21" x14ac:dyDescent="0.25">
      <c r="A42" s="1" t="s">
        <v>136</v>
      </c>
      <c r="B42" s="1" t="s">
        <v>94</v>
      </c>
      <c r="C42" s="1" t="s">
        <v>149</v>
      </c>
      <c r="D42" s="16" t="s">
        <v>71</v>
      </c>
      <c r="E42" s="25">
        <v>5828</v>
      </c>
      <c r="F42" s="20">
        <v>9.1999999999999993</v>
      </c>
      <c r="G42" s="31">
        <v>533.29999999999995</v>
      </c>
      <c r="H42" s="31">
        <v>169.4</v>
      </c>
      <c r="I42" s="31">
        <v>702.7</v>
      </c>
      <c r="J42" s="20">
        <v>12.1</v>
      </c>
      <c r="K42" s="37"/>
      <c r="N42" s="1"/>
      <c r="O42" s="3"/>
      <c r="P42" s="2"/>
      <c r="Q42" s="4"/>
      <c r="R42" s="4"/>
      <c r="S42" s="4"/>
      <c r="T42" s="2"/>
      <c r="U42" s="7"/>
    </row>
    <row r="43" spans="1:21" x14ac:dyDescent="0.25">
      <c r="A43" s="1" t="s">
        <v>136</v>
      </c>
      <c r="B43" s="1" t="s">
        <v>94</v>
      </c>
      <c r="C43" s="1" t="s">
        <v>149</v>
      </c>
      <c r="D43" s="16" t="s">
        <v>62</v>
      </c>
      <c r="E43" s="25"/>
      <c r="F43" s="20"/>
      <c r="G43" s="31">
        <v>-2.8</v>
      </c>
      <c r="H43" s="31"/>
      <c r="I43" s="31">
        <v>-2.8</v>
      </c>
      <c r="J43" s="20"/>
      <c r="K43" s="37"/>
      <c r="N43" s="1"/>
      <c r="O43" s="3"/>
      <c r="P43" s="2"/>
      <c r="Q43" s="4"/>
      <c r="R43" s="4"/>
      <c r="S43" s="4"/>
      <c r="T43" s="2"/>
      <c r="U43" s="7"/>
    </row>
    <row r="44" spans="1:21" ht="13.8" thickBot="1" x14ac:dyDescent="0.3">
      <c r="D44" s="17" t="s">
        <v>72</v>
      </c>
      <c r="E44" s="27">
        <f>SUM(E39:E43)</f>
        <v>12951</v>
      </c>
      <c r="F44" s="21">
        <f>100*G44/E44</f>
        <v>10.833140298046484</v>
      </c>
      <c r="G44" s="34">
        <f>SUM(G39:G43)</f>
        <v>1403</v>
      </c>
      <c r="H44" s="34">
        <f>SUM(H39:H43)</f>
        <v>282.39999999999998</v>
      </c>
      <c r="I44" s="34">
        <f>SUM(I39:I43)</f>
        <v>1685.4</v>
      </c>
      <c r="J44" s="21">
        <f>I44/E44*100</f>
        <v>13.013666898309012</v>
      </c>
      <c r="K44" s="38">
        <f>(J44-F44)/F44</f>
        <v>0.20128296507483961</v>
      </c>
      <c r="N44" s="1"/>
      <c r="O44" s="3"/>
      <c r="P44" s="2"/>
      <c r="Q44" s="4"/>
      <c r="R44" s="4"/>
      <c r="S44" s="4"/>
      <c r="T44" s="2"/>
      <c r="U44" s="7"/>
    </row>
    <row r="45" spans="1:21" ht="13.8" thickTop="1" x14ac:dyDescent="0.25">
      <c r="D45"/>
      <c r="E45" s="25"/>
      <c r="F45" s="20"/>
      <c r="G45" s="31"/>
      <c r="H45" s="31"/>
      <c r="I45" s="31"/>
      <c r="J45" s="20"/>
      <c r="K45" s="37"/>
      <c r="N45" s="1"/>
      <c r="O45" s="3"/>
      <c r="P45" s="2"/>
      <c r="Q45" s="4"/>
      <c r="R45" s="4"/>
      <c r="S45" s="4"/>
      <c r="T45" s="2"/>
      <c r="U45" s="7"/>
    </row>
    <row r="46" spans="1:21" x14ac:dyDescent="0.25">
      <c r="D46" s="14"/>
      <c r="E46" s="25"/>
      <c r="F46" s="20"/>
      <c r="G46" s="31"/>
      <c r="H46" s="31"/>
      <c r="I46" s="31"/>
      <c r="J46" s="20"/>
      <c r="K46" s="37"/>
      <c r="N46" s="1"/>
      <c r="O46" s="3"/>
      <c r="P46" s="2"/>
      <c r="Q46" s="4"/>
      <c r="R46" s="4"/>
      <c r="S46" s="4"/>
      <c r="T46" s="2"/>
      <c r="U46" s="7"/>
    </row>
    <row r="47" spans="1:21" x14ac:dyDescent="0.25">
      <c r="A47" s="1" t="s">
        <v>104</v>
      </c>
      <c r="B47" s="1" t="s">
        <v>95</v>
      </c>
      <c r="C47" s="1" t="s">
        <v>150</v>
      </c>
      <c r="D47" s="16" t="s">
        <v>22</v>
      </c>
      <c r="E47" s="25"/>
      <c r="F47" s="20"/>
      <c r="G47" s="31">
        <v>0.2</v>
      </c>
      <c r="H47" s="31"/>
      <c r="I47" s="31">
        <v>0.2</v>
      </c>
      <c r="J47" s="20"/>
      <c r="K47" s="37"/>
      <c r="N47" s="1"/>
      <c r="O47" s="3"/>
      <c r="P47" s="2"/>
      <c r="Q47" s="4"/>
      <c r="R47" s="4"/>
      <c r="S47" s="4"/>
      <c r="T47" s="2"/>
      <c r="U47" s="7"/>
    </row>
    <row r="48" spans="1:21" x14ac:dyDescent="0.25">
      <c r="A48" s="1" t="s">
        <v>104</v>
      </c>
      <c r="B48" s="1" t="s">
        <v>95</v>
      </c>
      <c r="C48" s="1" t="s">
        <v>150</v>
      </c>
      <c r="D48" s="16" t="s">
        <v>34</v>
      </c>
      <c r="E48" s="25">
        <v>10</v>
      </c>
      <c r="F48" s="20">
        <v>7.8</v>
      </c>
      <c r="G48" s="31">
        <v>0.8</v>
      </c>
      <c r="H48" s="31">
        <v>0.1</v>
      </c>
      <c r="I48" s="31">
        <v>0.9</v>
      </c>
      <c r="J48" s="20">
        <v>8.8000000000000007</v>
      </c>
      <c r="K48" s="37"/>
      <c r="N48" s="1"/>
      <c r="O48" s="3"/>
      <c r="P48" s="2"/>
      <c r="Q48" s="4"/>
      <c r="R48" s="4"/>
      <c r="S48" s="4"/>
      <c r="T48" s="2"/>
      <c r="U48" s="7"/>
    </row>
    <row r="49" spans="1:21" x14ac:dyDescent="0.25">
      <c r="A49" s="1" t="s">
        <v>104</v>
      </c>
      <c r="B49" s="1" t="s">
        <v>95</v>
      </c>
      <c r="C49" s="1" t="s">
        <v>150</v>
      </c>
      <c r="D49" s="16" t="s">
        <v>35</v>
      </c>
      <c r="E49" s="25">
        <v>1</v>
      </c>
      <c r="F49" s="20">
        <v>8.6999999999999993</v>
      </c>
      <c r="G49" s="31">
        <v>0.1</v>
      </c>
      <c r="H49" s="31">
        <v>0.3</v>
      </c>
      <c r="I49" s="31">
        <v>0.5</v>
      </c>
      <c r="J49" s="20">
        <v>38.299999999999997</v>
      </c>
      <c r="K49" s="37"/>
      <c r="N49" s="1"/>
      <c r="O49" s="3"/>
      <c r="P49" s="2"/>
      <c r="Q49" s="4"/>
      <c r="R49" s="4"/>
      <c r="S49" s="4"/>
      <c r="T49" s="2"/>
      <c r="U49" s="7"/>
    </row>
    <row r="50" spans="1:21" x14ac:dyDescent="0.25">
      <c r="A50" s="1" t="s">
        <v>104</v>
      </c>
      <c r="B50" s="1" t="s">
        <v>95</v>
      </c>
      <c r="C50" s="1" t="s">
        <v>150</v>
      </c>
      <c r="D50" s="16" t="s">
        <v>73</v>
      </c>
      <c r="E50" s="25"/>
      <c r="F50" s="20"/>
      <c r="G50" s="31">
        <v>0</v>
      </c>
      <c r="H50" s="31"/>
      <c r="I50" s="31">
        <v>0</v>
      </c>
      <c r="J50" s="20"/>
      <c r="K50" s="37"/>
      <c r="N50" s="1"/>
      <c r="O50" s="3"/>
      <c r="P50" s="2"/>
      <c r="Q50" s="4"/>
      <c r="R50" s="4"/>
      <c r="S50" s="4"/>
      <c r="T50" s="2"/>
      <c r="U50" s="7"/>
    </row>
    <row r="51" spans="1:21" ht="13.8" thickBot="1" x14ac:dyDescent="0.3">
      <c r="D51" s="17" t="s">
        <v>74</v>
      </c>
      <c r="E51" s="27">
        <f>SUM(E46:E50)</f>
        <v>11</v>
      </c>
      <c r="F51" s="21">
        <f>100*G51/E51</f>
        <v>10.000000000000002</v>
      </c>
      <c r="G51" s="34">
        <f>SUM(G46:G50)</f>
        <v>1.1000000000000001</v>
      </c>
      <c r="H51" s="34">
        <f>SUM(H46:H50)</f>
        <v>0.4</v>
      </c>
      <c r="I51" s="34">
        <f>SUM(I46:I50)</f>
        <v>1.6</v>
      </c>
      <c r="J51" s="21">
        <f>I51/E51*100</f>
        <v>14.545454545454547</v>
      </c>
      <c r="K51" s="38">
        <f>(J51-F51)/F51</f>
        <v>0.45454545454545442</v>
      </c>
      <c r="N51" s="1"/>
      <c r="O51" s="3"/>
      <c r="P51" s="2"/>
      <c r="Q51" s="4"/>
      <c r="R51" s="4"/>
      <c r="S51" s="4"/>
      <c r="T51" s="2"/>
      <c r="U51" s="7"/>
    </row>
    <row r="52" spans="1:21" ht="13.8" thickTop="1" x14ac:dyDescent="0.25">
      <c r="D52"/>
      <c r="E52" s="25"/>
      <c r="F52" s="20"/>
      <c r="G52" s="31"/>
      <c r="H52" s="31"/>
      <c r="I52" s="31"/>
      <c r="J52" s="20"/>
      <c r="K52" s="37"/>
      <c r="N52" s="1"/>
      <c r="O52" s="3"/>
      <c r="P52" s="2"/>
      <c r="Q52" s="4"/>
      <c r="R52" s="4"/>
      <c r="S52" s="4"/>
      <c r="T52" s="2"/>
      <c r="U52" s="7"/>
    </row>
    <row r="53" spans="1:21" x14ac:dyDescent="0.25">
      <c r="D53" s="14"/>
      <c r="E53" s="25"/>
      <c r="F53" s="20"/>
      <c r="G53" s="31"/>
      <c r="H53" s="31"/>
      <c r="I53" s="31"/>
      <c r="J53" s="20"/>
      <c r="K53" s="37"/>
      <c r="N53" s="1"/>
      <c r="O53" s="3"/>
      <c r="P53" s="2"/>
      <c r="Q53" s="4"/>
      <c r="R53" s="4"/>
      <c r="S53" s="4"/>
      <c r="T53" s="2"/>
      <c r="U53" s="7"/>
    </row>
    <row r="54" spans="1:21" x14ac:dyDescent="0.25">
      <c r="A54" s="1" t="s">
        <v>104</v>
      </c>
      <c r="B54" s="1" t="s">
        <v>96</v>
      </c>
      <c r="C54" s="1" t="s">
        <v>151</v>
      </c>
      <c r="D54" s="16" t="s">
        <v>22</v>
      </c>
      <c r="E54" s="25"/>
      <c r="F54" s="20"/>
      <c r="G54" s="31">
        <v>17.8</v>
      </c>
      <c r="H54" s="31"/>
      <c r="I54" s="31">
        <v>17.8</v>
      </c>
      <c r="J54" s="20"/>
      <c r="K54" s="37"/>
      <c r="N54" s="1"/>
      <c r="O54" s="3"/>
      <c r="P54" s="2"/>
      <c r="Q54" s="4"/>
      <c r="R54" s="4"/>
      <c r="S54" s="4"/>
      <c r="T54" s="2"/>
      <c r="U54" s="7"/>
    </row>
    <row r="55" spans="1:21" x14ac:dyDescent="0.25">
      <c r="A55" s="1" t="s">
        <v>104</v>
      </c>
      <c r="B55" s="1" t="s">
        <v>96</v>
      </c>
      <c r="C55" s="1" t="s">
        <v>151</v>
      </c>
      <c r="D55" s="16" t="s">
        <v>34</v>
      </c>
      <c r="E55" s="25">
        <v>700</v>
      </c>
      <c r="F55" s="20">
        <v>6</v>
      </c>
      <c r="G55" s="31">
        <v>41.8</v>
      </c>
      <c r="H55" s="31">
        <v>7</v>
      </c>
      <c r="I55" s="31">
        <v>48.8</v>
      </c>
      <c r="J55" s="20">
        <v>7</v>
      </c>
      <c r="K55" s="37"/>
      <c r="N55" s="1"/>
      <c r="O55" s="3"/>
      <c r="P55" s="2"/>
      <c r="Q55" s="4"/>
      <c r="R55" s="4"/>
      <c r="S55" s="4"/>
      <c r="T55" s="2"/>
      <c r="U55" s="7"/>
    </row>
    <row r="56" spans="1:21" x14ac:dyDescent="0.25">
      <c r="A56" s="1" t="s">
        <v>104</v>
      </c>
      <c r="B56" s="1" t="s">
        <v>96</v>
      </c>
      <c r="C56" s="1" t="s">
        <v>151</v>
      </c>
      <c r="D56" s="16" t="s">
        <v>35</v>
      </c>
      <c r="E56" s="25">
        <v>84</v>
      </c>
      <c r="F56" s="20">
        <v>6.3</v>
      </c>
      <c r="G56" s="31">
        <v>6.1</v>
      </c>
      <c r="H56" s="31">
        <v>24.4</v>
      </c>
      <c r="I56" s="31">
        <v>30.5</v>
      </c>
      <c r="J56" s="20">
        <v>36.299999999999997</v>
      </c>
      <c r="K56" s="37"/>
      <c r="N56" s="1"/>
      <c r="O56" s="3"/>
      <c r="P56" s="2"/>
      <c r="Q56" s="4"/>
      <c r="R56" s="4"/>
      <c r="S56" s="4"/>
      <c r="T56" s="2"/>
      <c r="U56" s="7"/>
    </row>
    <row r="57" spans="1:21" x14ac:dyDescent="0.25">
      <c r="A57" s="1" t="s">
        <v>104</v>
      </c>
      <c r="B57" s="1" t="s">
        <v>96</v>
      </c>
      <c r="C57" s="1" t="s">
        <v>151</v>
      </c>
      <c r="D57" s="16" t="s">
        <v>73</v>
      </c>
      <c r="E57" s="25"/>
      <c r="F57" s="20"/>
      <c r="G57" s="31">
        <v>-1.1000000000000001</v>
      </c>
      <c r="H57" s="31"/>
      <c r="I57" s="31">
        <v>-1.1000000000000001</v>
      </c>
      <c r="J57" s="20"/>
      <c r="K57" s="37"/>
      <c r="N57" s="1"/>
      <c r="O57" s="3"/>
      <c r="P57" s="2"/>
      <c r="Q57" s="4"/>
      <c r="R57" s="4"/>
      <c r="S57" s="4"/>
      <c r="T57" s="2"/>
      <c r="U57" s="7"/>
    </row>
    <row r="58" spans="1:21" ht="13.8" thickBot="1" x14ac:dyDescent="0.3">
      <c r="D58" s="17" t="s">
        <v>75</v>
      </c>
      <c r="E58" s="27">
        <f>SUM(E53:E57)</f>
        <v>784</v>
      </c>
      <c r="F58" s="21">
        <f>100*G58/E58</f>
        <v>8.2397959183673457</v>
      </c>
      <c r="G58" s="34">
        <f>SUM(G53:G57)</f>
        <v>64.599999999999994</v>
      </c>
      <c r="H58" s="34">
        <f>SUM(H53:H57)</f>
        <v>31.4</v>
      </c>
      <c r="I58" s="34">
        <f>SUM(I53:I57)</f>
        <v>96</v>
      </c>
      <c r="J58" s="21">
        <f>I58/E58*100</f>
        <v>12.244897959183673</v>
      </c>
      <c r="K58" s="38">
        <f>(J58-F58)/F58</f>
        <v>0.48606811145510853</v>
      </c>
      <c r="N58" s="1"/>
      <c r="O58" s="3"/>
      <c r="P58" s="2"/>
      <c r="Q58" s="4"/>
      <c r="R58" s="4"/>
      <c r="S58" s="4"/>
      <c r="T58" s="2"/>
      <c r="U58" s="7"/>
    </row>
    <row r="59" spans="1:21" ht="13.8" thickTop="1" x14ac:dyDescent="0.25">
      <c r="D59"/>
      <c r="E59" s="25"/>
      <c r="F59" s="20"/>
      <c r="G59" s="31"/>
      <c r="H59" s="31"/>
      <c r="I59" s="31"/>
      <c r="J59" s="20"/>
      <c r="K59" s="37"/>
      <c r="N59" s="1"/>
      <c r="O59" s="3"/>
      <c r="P59" s="2"/>
      <c r="Q59" s="4"/>
      <c r="R59" s="4"/>
      <c r="S59" s="4"/>
      <c r="T59" s="2"/>
      <c r="U59" s="7"/>
    </row>
    <row r="60" spans="1:21" x14ac:dyDescent="0.25">
      <c r="D60" s="14"/>
      <c r="E60" s="25"/>
      <c r="F60" s="20"/>
      <c r="G60" s="31"/>
      <c r="H60" s="31"/>
      <c r="I60" s="31"/>
      <c r="J60" s="20"/>
      <c r="K60" s="37"/>
      <c r="N60" s="1"/>
      <c r="O60" s="3"/>
      <c r="P60" s="2"/>
      <c r="Q60" s="4"/>
      <c r="R60" s="4"/>
      <c r="S60" s="4"/>
      <c r="T60" s="2"/>
      <c r="U60" s="7"/>
    </row>
    <row r="61" spans="1:21" x14ac:dyDescent="0.25">
      <c r="A61" s="1" t="s">
        <v>104</v>
      </c>
      <c r="B61" s="1" t="s">
        <v>97</v>
      </c>
      <c r="C61" s="1" t="s">
        <v>152</v>
      </c>
      <c r="D61" s="16" t="s">
        <v>22</v>
      </c>
      <c r="E61" s="25"/>
      <c r="F61" s="20"/>
      <c r="G61" s="31"/>
      <c r="H61" s="31"/>
      <c r="I61" s="31"/>
      <c r="J61" s="20"/>
      <c r="K61" s="37"/>
      <c r="N61" s="1"/>
      <c r="O61" s="3"/>
      <c r="P61" s="2"/>
      <c r="Q61" s="4"/>
      <c r="R61" s="4"/>
      <c r="S61" s="4"/>
      <c r="T61" s="2"/>
      <c r="U61" s="7"/>
    </row>
    <row r="62" spans="1:21" x14ac:dyDescent="0.25">
      <c r="A62" s="1" t="s">
        <v>104</v>
      </c>
      <c r="B62" s="1" t="s">
        <v>97</v>
      </c>
      <c r="C62" s="1" t="s">
        <v>152</v>
      </c>
      <c r="D62" s="16" t="s">
        <v>34</v>
      </c>
      <c r="E62" s="25">
        <v>9009</v>
      </c>
      <c r="F62" s="20">
        <v>6.5</v>
      </c>
      <c r="G62" s="31"/>
      <c r="H62" s="31"/>
      <c r="I62" s="31"/>
      <c r="J62" s="20">
        <v>7.5</v>
      </c>
      <c r="K62" s="37"/>
      <c r="N62" s="1"/>
      <c r="O62" s="3"/>
      <c r="P62" s="2"/>
      <c r="Q62" s="4"/>
      <c r="R62" s="4"/>
      <c r="S62" s="4"/>
      <c r="T62" s="2"/>
      <c r="U62" s="7"/>
    </row>
    <row r="63" spans="1:21" x14ac:dyDescent="0.25">
      <c r="A63" s="1" t="s">
        <v>104</v>
      </c>
      <c r="B63" s="1" t="s">
        <v>97</v>
      </c>
      <c r="C63" s="1" t="s">
        <v>152</v>
      </c>
      <c r="D63" s="16" t="s">
        <v>35</v>
      </c>
      <c r="E63" s="25">
        <f>10174-E62</f>
        <v>1165</v>
      </c>
      <c r="F63" s="20"/>
      <c r="G63" s="31">
        <f>983.3-G64</f>
        <v>991.09999999999991</v>
      </c>
      <c r="H63" s="31">
        <v>407</v>
      </c>
      <c r="I63" s="31">
        <f>1390.3-I64</f>
        <v>1398.1</v>
      </c>
      <c r="J63" s="20"/>
      <c r="K63" s="37"/>
      <c r="N63" s="1"/>
      <c r="O63" s="3"/>
      <c r="P63" s="2"/>
      <c r="Q63" s="4"/>
      <c r="R63" s="4"/>
      <c r="S63" s="4"/>
      <c r="T63" s="2"/>
      <c r="U63" s="7"/>
    </row>
    <row r="64" spans="1:21" x14ac:dyDescent="0.25">
      <c r="A64" s="1" t="s">
        <v>104</v>
      </c>
      <c r="B64" s="1" t="s">
        <v>97</v>
      </c>
      <c r="C64" s="1" t="s">
        <v>152</v>
      </c>
      <c r="D64" s="16" t="s">
        <v>73</v>
      </c>
      <c r="E64" s="25"/>
      <c r="F64" s="20"/>
      <c r="G64" s="31">
        <v>-7.8</v>
      </c>
      <c r="H64" s="31"/>
      <c r="I64" s="31">
        <v>-7.8</v>
      </c>
      <c r="J64" s="20"/>
      <c r="K64" s="37"/>
      <c r="N64" s="1"/>
      <c r="O64" s="3"/>
      <c r="P64" s="2"/>
      <c r="Q64" s="4"/>
      <c r="R64" s="4"/>
      <c r="S64" s="4"/>
      <c r="T64" s="2"/>
      <c r="U64" s="7"/>
    </row>
    <row r="65" spans="1:21" ht="13.8" thickBot="1" x14ac:dyDescent="0.3">
      <c r="D65" s="17" t="s">
        <v>76</v>
      </c>
      <c r="E65" s="27">
        <f>SUM(E60:E64)</f>
        <v>10174</v>
      </c>
      <c r="F65" s="21">
        <f>100*G65/E65</f>
        <v>9.6648319245134662</v>
      </c>
      <c r="G65" s="34">
        <f>SUM(G60:G64)</f>
        <v>983.3</v>
      </c>
      <c r="H65" s="34">
        <f>SUM(H60:H64)</f>
        <v>407</v>
      </c>
      <c r="I65" s="34">
        <f>SUM(I60:I64)</f>
        <v>1390.3</v>
      </c>
      <c r="J65" s="21">
        <f>I65/E65*100</f>
        <v>13.665225083546295</v>
      </c>
      <c r="K65" s="38">
        <f>(J65-F65)/F65</f>
        <v>0.41391233601139016</v>
      </c>
      <c r="N65" s="1"/>
      <c r="O65" s="3"/>
      <c r="P65" s="2"/>
      <c r="Q65" s="4"/>
      <c r="R65" s="4"/>
      <c r="S65" s="4"/>
      <c r="T65" s="2"/>
      <c r="U65" s="7"/>
    </row>
    <row r="66" spans="1:21" ht="13.8" thickTop="1" x14ac:dyDescent="0.25">
      <c r="D66"/>
      <c r="E66" s="25"/>
      <c r="F66" s="20"/>
      <c r="G66" s="31"/>
      <c r="H66" s="31"/>
      <c r="I66" s="31"/>
      <c r="J66" s="20"/>
      <c r="K66" s="37"/>
      <c r="N66" s="1"/>
      <c r="O66" s="3"/>
      <c r="P66" s="2"/>
      <c r="Q66" s="4"/>
      <c r="R66" s="4"/>
      <c r="S66" s="4"/>
      <c r="T66" s="2"/>
      <c r="U66" s="7"/>
    </row>
    <row r="67" spans="1:21" ht="13.8" thickBot="1" x14ac:dyDescent="0.3">
      <c r="D67" s="17" t="s">
        <v>77</v>
      </c>
      <c r="E67" s="28">
        <f>E65+E58+E51</f>
        <v>10969</v>
      </c>
      <c r="F67" s="22">
        <f>100*G67/E67</f>
        <v>9.563314796243958</v>
      </c>
      <c r="G67" s="35">
        <f>G65+G58+G51</f>
        <v>1048.9999999999998</v>
      </c>
      <c r="H67" s="35">
        <f>H65+H58+H51</f>
        <v>438.79999999999995</v>
      </c>
      <c r="I67" s="35">
        <f>I65+I58+I51</f>
        <v>1487.8999999999999</v>
      </c>
      <c r="J67" s="22">
        <f>I67/E67*100</f>
        <v>13.564591120430302</v>
      </c>
      <c r="K67" s="39">
        <f>(J67-F67)/F67</f>
        <v>0.41839847473784575</v>
      </c>
      <c r="N67" s="1"/>
      <c r="O67" s="3"/>
      <c r="P67" s="2"/>
      <c r="Q67" s="4"/>
      <c r="R67" s="4"/>
      <c r="S67" s="4"/>
      <c r="T67" s="2"/>
      <c r="U67" s="7"/>
    </row>
    <row r="68" spans="1:21" ht="13.8" thickTop="1" x14ac:dyDescent="0.25">
      <c r="D68"/>
      <c r="E68" s="25"/>
      <c r="F68" s="20"/>
      <c r="G68" s="31"/>
      <c r="H68" s="31"/>
      <c r="I68" s="31"/>
      <c r="J68" s="20"/>
      <c r="K68" s="37"/>
      <c r="N68" s="1"/>
      <c r="O68" s="3"/>
      <c r="P68" s="2"/>
      <c r="Q68" s="4"/>
      <c r="R68" s="4"/>
      <c r="S68" s="4"/>
      <c r="T68" s="2"/>
      <c r="U68" s="7"/>
    </row>
    <row r="69" spans="1:21" x14ac:dyDescent="0.25">
      <c r="E69" s="25"/>
      <c r="F69" s="20"/>
      <c r="G69" s="31"/>
      <c r="H69" s="31"/>
      <c r="I69" s="31"/>
      <c r="J69" s="20"/>
      <c r="K69" s="37"/>
      <c r="N69" s="1"/>
      <c r="O69" s="3"/>
      <c r="P69" s="2"/>
      <c r="Q69" s="4"/>
      <c r="R69" s="4"/>
      <c r="S69" s="4"/>
      <c r="T69" s="2"/>
      <c r="U69" s="7"/>
    </row>
    <row r="70" spans="1:21" x14ac:dyDescent="0.25">
      <c r="A70" s="1" t="s">
        <v>137</v>
      </c>
      <c r="B70" s="9" t="s">
        <v>78</v>
      </c>
      <c r="C70" s="9"/>
      <c r="D70" s="16" t="s">
        <v>22</v>
      </c>
      <c r="E70" s="25"/>
      <c r="F70" s="20"/>
      <c r="G70" s="31"/>
      <c r="H70" s="31"/>
      <c r="I70" s="31"/>
      <c r="J70" s="20"/>
      <c r="K70" s="37"/>
      <c r="N70" s="1"/>
      <c r="O70" s="3"/>
      <c r="P70" s="2"/>
      <c r="Q70" s="4"/>
      <c r="R70" s="4"/>
      <c r="S70" s="4"/>
      <c r="T70" s="2"/>
      <c r="U70" s="7"/>
    </row>
    <row r="71" spans="1:21" x14ac:dyDescent="0.25">
      <c r="A71" s="1" t="s">
        <v>137</v>
      </c>
      <c r="B71" s="9" t="s">
        <v>78</v>
      </c>
      <c r="C71" s="9"/>
      <c r="D71" s="16" t="s">
        <v>70</v>
      </c>
      <c r="E71" s="25">
        <v>177</v>
      </c>
      <c r="F71" s="20">
        <v>7.1</v>
      </c>
      <c r="G71" s="31">
        <v>12.6</v>
      </c>
      <c r="H71" s="31"/>
      <c r="I71" s="31">
        <v>12.6</v>
      </c>
      <c r="J71" s="20">
        <v>7.1</v>
      </c>
      <c r="K71" s="37"/>
      <c r="N71" s="1"/>
      <c r="O71" s="3"/>
      <c r="P71" s="2"/>
      <c r="Q71" s="4"/>
      <c r="R71" s="4"/>
      <c r="S71" s="4"/>
      <c r="T71" s="2"/>
      <c r="U71" s="7"/>
    </row>
    <row r="72" spans="1:21" x14ac:dyDescent="0.25">
      <c r="A72" s="1" t="s">
        <v>137</v>
      </c>
      <c r="B72" s="9" t="s">
        <v>78</v>
      </c>
      <c r="C72" s="9"/>
      <c r="D72" s="16" t="s">
        <v>71</v>
      </c>
      <c r="E72" s="25">
        <v>145</v>
      </c>
      <c r="F72" s="20">
        <v>7.1</v>
      </c>
      <c r="G72" s="31">
        <v>10.3</v>
      </c>
      <c r="H72" s="31">
        <v>7.9</v>
      </c>
      <c r="I72" s="31">
        <v>18.2</v>
      </c>
      <c r="J72" s="20">
        <v>12.6</v>
      </c>
      <c r="K72" s="37"/>
      <c r="N72" s="1"/>
      <c r="O72" s="3"/>
      <c r="P72" s="2"/>
      <c r="Q72" s="4"/>
      <c r="R72" s="4"/>
      <c r="S72" s="4"/>
      <c r="T72" s="2"/>
      <c r="U72" s="7"/>
    </row>
    <row r="73" spans="1:21" ht="13.8" thickBot="1" x14ac:dyDescent="0.3">
      <c r="D73" s="17" t="s">
        <v>79</v>
      </c>
      <c r="E73" s="27">
        <f>SUM(E70:E72)</f>
        <v>322</v>
      </c>
      <c r="F73" s="21">
        <f>100*G73/E73</f>
        <v>7.1118012422360248</v>
      </c>
      <c r="G73" s="34">
        <f>SUM(G70:G72)</f>
        <v>22.9</v>
      </c>
      <c r="H73" s="34">
        <f>SUM(H70:H72)</f>
        <v>7.9</v>
      </c>
      <c r="I73" s="34">
        <f>SUM(I70:I72)</f>
        <v>30.799999999999997</v>
      </c>
      <c r="J73" s="21">
        <f>I73/E73*100</f>
        <v>9.5652173913043459</v>
      </c>
      <c r="K73" s="38">
        <f>(J73-F73)/F73</f>
        <v>0.34497816593886438</v>
      </c>
      <c r="N73" s="1"/>
      <c r="O73" s="3"/>
      <c r="P73" s="2"/>
      <c r="Q73" s="4"/>
      <c r="R73" s="4"/>
      <c r="S73" s="4"/>
      <c r="T73" s="2"/>
      <c r="U73" s="7"/>
    </row>
    <row r="74" spans="1:21" ht="13.8" thickTop="1" x14ac:dyDescent="0.25">
      <c r="D74"/>
      <c r="E74" s="25"/>
      <c r="F74" s="20"/>
      <c r="G74" s="31"/>
      <c r="H74" s="31"/>
      <c r="I74" s="31"/>
      <c r="J74" s="20"/>
      <c r="K74" s="37"/>
      <c r="N74" s="1"/>
      <c r="O74" s="3"/>
      <c r="P74" s="2"/>
      <c r="Q74" s="4"/>
      <c r="R74" s="4"/>
      <c r="S74" s="4"/>
      <c r="T74" s="2"/>
      <c r="U74" s="7"/>
    </row>
    <row r="75" spans="1:21" x14ac:dyDescent="0.25">
      <c r="E75" s="25"/>
      <c r="F75" s="20"/>
      <c r="G75" s="31"/>
      <c r="H75" s="31"/>
      <c r="I75" s="31"/>
      <c r="J75" s="20"/>
      <c r="K75" s="37"/>
      <c r="N75" s="1"/>
      <c r="O75" s="3"/>
      <c r="P75" s="2"/>
      <c r="Q75" s="4"/>
      <c r="R75" s="4"/>
      <c r="S75" s="4"/>
      <c r="T75" s="2"/>
      <c r="U75" s="7"/>
    </row>
    <row r="76" spans="1:21" x14ac:dyDescent="0.25">
      <c r="A76" s="1" t="s">
        <v>137</v>
      </c>
      <c r="B76" s="9" t="s">
        <v>80</v>
      </c>
      <c r="C76" s="9"/>
      <c r="D76" s="16" t="s">
        <v>22</v>
      </c>
      <c r="E76" s="25"/>
      <c r="F76" s="20"/>
      <c r="G76" s="31">
        <v>12.3</v>
      </c>
      <c r="H76" s="31"/>
      <c r="I76" s="31">
        <v>12.3</v>
      </c>
      <c r="J76" s="20"/>
      <c r="K76" s="37"/>
      <c r="N76" s="1"/>
      <c r="O76" s="3"/>
      <c r="P76" s="2"/>
      <c r="Q76" s="4"/>
      <c r="R76" s="4"/>
      <c r="S76" s="4"/>
      <c r="T76" s="2"/>
      <c r="U76" s="7"/>
    </row>
    <row r="77" spans="1:21" x14ac:dyDescent="0.25">
      <c r="A77" s="1" t="s">
        <v>137</v>
      </c>
      <c r="B77" s="9" t="s">
        <v>80</v>
      </c>
      <c r="C77" s="9"/>
      <c r="D77" s="16" t="s">
        <v>70</v>
      </c>
      <c r="E77" s="25">
        <v>92</v>
      </c>
      <c r="F77" s="20">
        <v>3.7</v>
      </c>
      <c r="G77" s="31">
        <v>3.4</v>
      </c>
      <c r="H77" s="31"/>
      <c r="I77" s="31">
        <v>3.4</v>
      </c>
      <c r="J77" s="20">
        <v>3.7</v>
      </c>
      <c r="K77" s="37"/>
      <c r="N77" s="1"/>
      <c r="O77" s="3"/>
      <c r="P77" s="2"/>
      <c r="Q77" s="4"/>
      <c r="R77" s="4"/>
      <c r="S77" s="4"/>
      <c r="T77" s="2"/>
      <c r="U77" s="7"/>
    </row>
    <row r="78" spans="1:21" x14ac:dyDescent="0.25">
      <c r="A78" s="1" t="s">
        <v>137</v>
      </c>
      <c r="B78" s="9" t="s">
        <v>80</v>
      </c>
      <c r="C78" s="9"/>
      <c r="D78" s="16" t="s">
        <v>71</v>
      </c>
      <c r="E78" s="25">
        <v>75</v>
      </c>
      <c r="F78" s="20">
        <v>3.7</v>
      </c>
      <c r="G78" s="31">
        <v>2.8</v>
      </c>
      <c r="H78" s="31"/>
      <c r="I78" s="31">
        <v>2.8</v>
      </c>
      <c r="J78" s="20">
        <v>3.7</v>
      </c>
      <c r="K78" s="37"/>
      <c r="N78" s="1"/>
      <c r="O78" s="3"/>
      <c r="P78" s="2"/>
      <c r="Q78" s="4"/>
      <c r="R78" s="4"/>
      <c r="S78" s="4"/>
      <c r="T78" s="2"/>
      <c r="U78" s="7"/>
    </row>
    <row r="79" spans="1:21" ht="13.8" thickBot="1" x14ac:dyDescent="0.3">
      <c r="D79" s="17" t="s">
        <v>81</v>
      </c>
      <c r="E79" s="27">
        <f>SUM(E76:E78)</f>
        <v>167</v>
      </c>
      <c r="F79" s="21">
        <f>100*G79/E79</f>
        <v>11.077844311377245</v>
      </c>
      <c r="G79" s="34">
        <f>SUM(G76:G78)</f>
        <v>18.5</v>
      </c>
      <c r="H79" s="34">
        <f>SUM(H76:H78)</f>
        <v>0</v>
      </c>
      <c r="I79" s="34">
        <f>SUM(I76:I78)</f>
        <v>18.5</v>
      </c>
      <c r="J79" s="21">
        <f>I79/E79*100</f>
        <v>11.077844311377245</v>
      </c>
      <c r="K79" s="38">
        <f>(J79-F79)/F79</f>
        <v>0</v>
      </c>
      <c r="N79" s="1"/>
      <c r="O79" s="3"/>
      <c r="P79" s="2"/>
      <c r="Q79" s="4"/>
      <c r="R79" s="4"/>
      <c r="S79" s="4"/>
      <c r="T79" s="2"/>
      <c r="U79" s="7"/>
    </row>
    <row r="80" spans="1:21" ht="13.8" thickTop="1" x14ac:dyDescent="0.25">
      <c r="D80"/>
      <c r="E80" s="25"/>
      <c r="F80" s="20"/>
      <c r="G80" s="31"/>
      <c r="H80" s="31"/>
      <c r="I80" s="31"/>
      <c r="J80" s="20"/>
      <c r="K80" s="37"/>
      <c r="N80" s="1"/>
      <c r="O80" s="3"/>
      <c r="P80" s="2"/>
      <c r="Q80" s="4"/>
      <c r="R80" s="4"/>
      <c r="S80" s="4"/>
      <c r="T80" s="2"/>
      <c r="U80" s="7"/>
    </row>
    <row r="81" spans="1:21" x14ac:dyDescent="0.25">
      <c r="D81" s="19"/>
      <c r="E81" s="25"/>
      <c r="F81" s="20"/>
      <c r="G81" s="31"/>
      <c r="H81" s="31"/>
      <c r="I81" s="31"/>
      <c r="J81" s="20"/>
      <c r="K81" s="37"/>
      <c r="N81" s="1"/>
      <c r="O81" s="3"/>
      <c r="P81" s="2"/>
      <c r="Q81" s="4"/>
      <c r="R81" s="4"/>
      <c r="S81" s="4"/>
      <c r="T81" s="2"/>
      <c r="U81" s="7"/>
    </row>
    <row r="82" spans="1:21" x14ac:dyDescent="0.25">
      <c r="D82" s="14"/>
      <c r="E82" s="25"/>
      <c r="F82" s="20"/>
      <c r="G82" s="31"/>
      <c r="H82" s="31"/>
      <c r="I82" s="31"/>
      <c r="J82" s="20"/>
      <c r="K82" s="37"/>
      <c r="N82" s="1"/>
      <c r="O82" s="3"/>
      <c r="P82" s="2"/>
      <c r="Q82" s="4"/>
      <c r="R82" s="4"/>
      <c r="S82" s="4"/>
      <c r="T82" s="2"/>
      <c r="U82" s="7"/>
    </row>
    <row r="83" spans="1:21" x14ac:dyDescent="0.25">
      <c r="A83" s="1" t="s">
        <v>82</v>
      </c>
      <c r="B83" s="1" t="s">
        <v>98</v>
      </c>
      <c r="C83" s="1" t="s">
        <v>154</v>
      </c>
      <c r="D83" s="16" t="s">
        <v>22</v>
      </c>
      <c r="E83" s="25"/>
      <c r="F83" s="20"/>
      <c r="G83" s="31">
        <v>10.7</v>
      </c>
      <c r="H83" s="31"/>
      <c r="I83" s="31">
        <v>10.7</v>
      </c>
      <c r="J83" s="20"/>
      <c r="K83" s="37"/>
      <c r="N83" s="1"/>
      <c r="O83" s="3"/>
      <c r="P83" s="2"/>
      <c r="Q83" s="4"/>
      <c r="R83" s="4"/>
      <c r="S83" s="4"/>
      <c r="T83" s="2"/>
      <c r="U83" s="7"/>
    </row>
    <row r="84" spans="1:21" x14ac:dyDescent="0.25">
      <c r="A84" s="1" t="s">
        <v>82</v>
      </c>
      <c r="B84" s="1" t="s">
        <v>98</v>
      </c>
      <c r="C84" s="1" t="s">
        <v>154</v>
      </c>
      <c r="D84" s="16" t="s">
        <v>70</v>
      </c>
      <c r="E84" s="25">
        <v>137</v>
      </c>
      <c r="F84" s="20">
        <v>12</v>
      </c>
      <c r="G84" s="31">
        <v>16.399999999999999</v>
      </c>
      <c r="H84" s="31">
        <v>1.6</v>
      </c>
      <c r="I84" s="31">
        <v>18</v>
      </c>
      <c r="J84" s="20">
        <v>13.2</v>
      </c>
      <c r="K84" s="37"/>
      <c r="N84" s="1"/>
      <c r="O84" s="3"/>
      <c r="P84" s="2"/>
      <c r="Q84" s="4"/>
      <c r="R84" s="4"/>
      <c r="S84" s="4"/>
      <c r="T84" s="2"/>
      <c r="U84" s="7"/>
    </row>
    <row r="85" spans="1:21" x14ac:dyDescent="0.25">
      <c r="A85" s="1" t="s">
        <v>82</v>
      </c>
      <c r="B85" s="1" t="s">
        <v>98</v>
      </c>
      <c r="C85" s="1" t="s">
        <v>154</v>
      </c>
      <c r="D85" s="16" t="s">
        <v>71</v>
      </c>
      <c r="E85" s="25">
        <v>112</v>
      </c>
      <c r="F85" s="20">
        <v>12</v>
      </c>
      <c r="G85" s="31">
        <v>13.4</v>
      </c>
      <c r="H85" s="31">
        <v>2.5</v>
      </c>
      <c r="I85" s="31">
        <v>15.9</v>
      </c>
      <c r="J85" s="20">
        <v>14.2</v>
      </c>
      <c r="K85" s="37"/>
      <c r="N85" s="1"/>
      <c r="O85" s="3"/>
      <c r="P85" s="2"/>
      <c r="Q85" s="4"/>
      <c r="R85" s="4"/>
      <c r="S85" s="4"/>
      <c r="T85" s="2"/>
      <c r="U85" s="7"/>
    </row>
    <row r="86" spans="1:21" ht="13.8" thickBot="1" x14ac:dyDescent="0.3">
      <c r="D86" s="17" t="s">
        <v>83</v>
      </c>
      <c r="E86" s="27">
        <f>SUM(E83:E85)</f>
        <v>249</v>
      </c>
      <c r="F86" s="21">
        <f>100*G86/E86</f>
        <v>16.265060240963855</v>
      </c>
      <c r="G86" s="34">
        <f>SUM(G83:G85)</f>
        <v>40.5</v>
      </c>
      <c r="H86" s="34">
        <f>SUM(H83:H85)</f>
        <v>4.0999999999999996</v>
      </c>
      <c r="I86" s="34">
        <f>SUM(I83:I85)</f>
        <v>44.6</v>
      </c>
      <c r="J86" s="21">
        <f>I86/E86*100</f>
        <v>17.91164658634538</v>
      </c>
      <c r="K86" s="38">
        <f>(J86-F86)/F86</f>
        <v>0.10123456790123452</v>
      </c>
      <c r="N86" s="1"/>
      <c r="O86" s="3"/>
      <c r="P86" s="2"/>
      <c r="Q86" s="4"/>
      <c r="R86" s="4"/>
      <c r="S86" s="4"/>
      <c r="T86" s="2"/>
      <c r="U86" s="7"/>
    </row>
    <row r="87" spans="1:21" ht="13.8" thickTop="1" x14ac:dyDescent="0.25">
      <c r="D87"/>
      <c r="E87" s="25"/>
      <c r="F87" s="20"/>
      <c r="G87" s="31"/>
      <c r="H87" s="31"/>
      <c r="I87" s="31"/>
      <c r="J87" s="20"/>
      <c r="K87" s="37"/>
      <c r="N87" s="1"/>
      <c r="O87" s="3"/>
      <c r="P87" s="2"/>
      <c r="Q87" s="4"/>
      <c r="R87" s="4"/>
      <c r="S87" s="4"/>
      <c r="T87" s="2"/>
      <c r="U87" s="7"/>
    </row>
    <row r="88" spans="1:21" x14ac:dyDescent="0.25">
      <c r="D88" s="14"/>
      <c r="E88" s="25"/>
      <c r="F88" s="20"/>
      <c r="G88" s="31"/>
      <c r="H88" s="31"/>
      <c r="I88" s="31"/>
      <c r="J88" s="20"/>
      <c r="K88" s="37"/>
      <c r="N88" s="1"/>
      <c r="O88" s="3"/>
      <c r="P88" s="2"/>
      <c r="Q88" s="4"/>
      <c r="R88" s="4"/>
      <c r="S88" s="4"/>
      <c r="T88" s="2"/>
      <c r="U88" s="7"/>
    </row>
    <row r="89" spans="1:21" x14ac:dyDescent="0.25">
      <c r="A89" s="1" t="s">
        <v>82</v>
      </c>
      <c r="B89" s="1" t="s">
        <v>99</v>
      </c>
      <c r="C89" s="1" t="s">
        <v>155</v>
      </c>
      <c r="D89" s="16" t="s">
        <v>22</v>
      </c>
      <c r="E89" s="25"/>
      <c r="F89" s="20"/>
      <c r="G89" s="31">
        <v>18.399999999999999</v>
      </c>
      <c r="H89" s="31"/>
      <c r="I89" s="31">
        <v>18.399999999999999</v>
      </c>
      <c r="J89" s="20"/>
      <c r="K89" s="37"/>
      <c r="N89" s="1"/>
      <c r="O89" s="3"/>
      <c r="P89" s="2"/>
      <c r="Q89" s="4"/>
      <c r="R89" s="4"/>
      <c r="S89" s="4"/>
      <c r="T89" s="2"/>
      <c r="U89" s="7"/>
    </row>
    <row r="90" spans="1:21" x14ac:dyDescent="0.25">
      <c r="A90" s="1" t="s">
        <v>82</v>
      </c>
      <c r="B90" s="1" t="s">
        <v>99</v>
      </c>
      <c r="C90" s="1" t="s">
        <v>155</v>
      </c>
      <c r="D90" s="16" t="s">
        <v>34</v>
      </c>
      <c r="E90" s="25">
        <v>331</v>
      </c>
      <c r="F90" s="20">
        <v>6.5</v>
      </c>
      <c r="G90" s="31">
        <v>21.5</v>
      </c>
      <c r="H90" s="31">
        <v>7.2</v>
      </c>
      <c r="I90" s="31">
        <v>28.8</v>
      </c>
      <c r="J90" s="20">
        <v>8.6999999999999993</v>
      </c>
      <c r="K90" s="37"/>
      <c r="N90" s="1"/>
      <c r="O90" s="3"/>
      <c r="P90" s="2"/>
      <c r="Q90" s="4"/>
      <c r="R90" s="4"/>
      <c r="S90" s="4"/>
      <c r="T90" s="2"/>
      <c r="U90" s="7"/>
    </row>
    <row r="91" spans="1:21" x14ac:dyDescent="0.25">
      <c r="A91" s="1" t="s">
        <v>82</v>
      </c>
      <c r="B91" s="1" t="s">
        <v>99</v>
      </c>
      <c r="C91" s="1" t="s">
        <v>155</v>
      </c>
      <c r="D91" s="16" t="s">
        <v>35</v>
      </c>
      <c r="E91" s="25">
        <v>44</v>
      </c>
      <c r="F91" s="20">
        <v>20.7</v>
      </c>
      <c r="G91" s="31">
        <v>9.1</v>
      </c>
      <c r="H91" s="31">
        <v>1</v>
      </c>
      <c r="I91" s="31">
        <v>10</v>
      </c>
      <c r="J91" s="20">
        <v>22.9</v>
      </c>
      <c r="K91" s="37"/>
      <c r="N91" s="1"/>
      <c r="O91" s="3"/>
      <c r="P91" s="2"/>
      <c r="Q91" s="4"/>
      <c r="R91" s="4"/>
      <c r="S91" s="4"/>
      <c r="T91" s="2"/>
      <c r="U91" s="7"/>
    </row>
    <row r="92" spans="1:21" ht="13.8" thickBot="1" x14ac:dyDescent="0.3">
      <c r="D92" s="17" t="s">
        <v>84</v>
      </c>
      <c r="E92" s="27">
        <f>SUM(E89:E91)</f>
        <v>375</v>
      </c>
      <c r="F92" s="21">
        <f>100*G92/E92</f>
        <v>13.066666666666666</v>
      </c>
      <c r="G92" s="34">
        <f>SUM(G89:G91)</f>
        <v>49</v>
      </c>
      <c r="H92" s="34">
        <f>SUM(H89:H91)</f>
        <v>8.1999999999999993</v>
      </c>
      <c r="I92" s="34">
        <f>SUM(I89:I91)</f>
        <v>57.2</v>
      </c>
      <c r="J92" s="21">
        <f>I92/E92*100</f>
        <v>15.253333333333336</v>
      </c>
      <c r="K92" s="38">
        <f>(J92-F92)/F92</f>
        <v>0.16734693877551041</v>
      </c>
      <c r="N92" s="1"/>
      <c r="O92" s="3"/>
      <c r="P92" s="2"/>
      <c r="Q92" s="4"/>
      <c r="R92" s="4"/>
      <c r="S92" s="4"/>
      <c r="T92" s="2"/>
      <c r="U92" s="7"/>
    </row>
    <row r="93" spans="1:21" ht="13.8" thickTop="1" x14ac:dyDescent="0.25">
      <c r="D93"/>
      <c r="E93" s="25"/>
      <c r="F93" s="20"/>
      <c r="G93" s="31"/>
      <c r="H93" s="31"/>
      <c r="I93" s="31"/>
      <c r="J93" s="20"/>
      <c r="K93" s="37"/>
      <c r="N93" s="1"/>
      <c r="O93" s="3"/>
      <c r="P93" s="2"/>
      <c r="Q93" s="4"/>
      <c r="R93" s="4"/>
      <c r="S93" s="4"/>
      <c r="T93" s="2"/>
      <c r="U93" s="7"/>
    </row>
    <row r="94" spans="1:21" x14ac:dyDescent="0.25">
      <c r="D94" s="14"/>
      <c r="E94" s="25"/>
      <c r="F94" s="20"/>
      <c r="G94" s="31"/>
      <c r="H94" s="31"/>
      <c r="I94" s="31"/>
      <c r="J94" s="20"/>
      <c r="K94" s="37"/>
      <c r="N94" s="1"/>
      <c r="O94" s="3"/>
      <c r="P94" s="2"/>
      <c r="Q94" s="4"/>
      <c r="R94" s="4"/>
      <c r="S94" s="4"/>
      <c r="T94" s="2"/>
      <c r="U94" s="7"/>
    </row>
    <row r="95" spans="1:21" x14ac:dyDescent="0.25">
      <c r="A95" s="1" t="s">
        <v>82</v>
      </c>
      <c r="B95" s="1" t="s">
        <v>100</v>
      </c>
      <c r="C95" s="1" t="s">
        <v>156</v>
      </c>
      <c r="D95" s="16" t="s">
        <v>22</v>
      </c>
      <c r="E95" s="25"/>
      <c r="F95" s="20"/>
      <c r="G95" s="31">
        <v>74.900000000000006</v>
      </c>
      <c r="H95" s="31"/>
      <c r="I95" s="31">
        <v>74.900000000000006</v>
      </c>
      <c r="J95" s="20"/>
      <c r="K95" s="37"/>
      <c r="N95" s="1"/>
      <c r="O95" s="3"/>
      <c r="P95" s="2"/>
      <c r="Q95" s="4"/>
      <c r="R95" s="4"/>
      <c r="S95" s="4"/>
      <c r="T95" s="2"/>
      <c r="U95" s="7"/>
    </row>
    <row r="96" spans="1:21" x14ac:dyDescent="0.25">
      <c r="A96" s="1" t="s">
        <v>82</v>
      </c>
      <c r="B96" s="1" t="s">
        <v>100</v>
      </c>
      <c r="C96" s="1" t="s">
        <v>156</v>
      </c>
      <c r="D96" s="16" t="s">
        <v>34</v>
      </c>
      <c r="E96" s="25">
        <v>1820</v>
      </c>
      <c r="F96" s="20">
        <v>4.0999999999999996</v>
      </c>
      <c r="G96" s="31">
        <v>74.5</v>
      </c>
      <c r="H96" s="31">
        <v>39.700000000000003</v>
      </c>
      <c r="I96" s="31">
        <v>114.2</v>
      </c>
      <c r="J96" s="20">
        <v>6.3</v>
      </c>
      <c r="K96" s="37"/>
      <c r="N96" s="1"/>
      <c r="O96" s="3"/>
      <c r="P96" s="2"/>
      <c r="Q96" s="4"/>
      <c r="R96" s="4"/>
      <c r="S96" s="4"/>
      <c r="T96" s="2"/>
      <c r="U96" s="7"/>
    </row>
    <row r="97" spans="1:21" x14ac:dyDescent="0.25">
      <c r="A97" s="1" t="s">
        <v>82</v>
      </c>
      <c r="B97" s="1" t="s">
        <v>100</v>
      </c>
      <c r="C97" s="1" t="s">
        <v>156</v>
      </c>
      <c r="D97" s="16" t="s">
        <v>35</v>
      </c>
      <c r="E97" s="25">
        <v>281</v>
      </c>
      <c r="F97" s="20">
        <v>14.3</v>
      </c>
      <c r="G97" s="31">
        <v>40.200000000000003</v>
      </c>
      <c r="H97" s="31">
        <v>6.1</v>
      </c>
      <c r="I97" s="31">
        <v>46.4</v>
      </c>
      <c r="J97" s="20">
        <v>16.5</v>
      </c>
      <c r="K97" s="37"/>
      <c r="N97" s="1"/>
      <c r="O97" s="3"/>
      <c r="P97" s="2"/>
      <c r="Q97" s="4"/>
      <c r="R97" s="4"/>
      <c r="S97" s="4"/>
      <c r="T97" s="2"/>
      <c r="U97" s="7"/>
    </row>
    <row r="98" spans="1:21" ht="13.8" thickBot="1" x14ac:dyDescent="0.3">
      <c r="D98" s="17" t="s">
        <v>85</v>
      </c>
      <c r="E98" s="27">
        <f>SUM(E95:E97)</f>
        <v>2101</v>
      </c>
      <c r="F98" s="21">
        <f>100*G98/E98</f>
        <v>9.0242741551642087</v>
      </c>
      <c r="G98" s="34">
        <f>SUM(G95:G97)</f>
        <v>189.60000000000002</v>
      </c>
      <c r="H98" s="34">
        <f>SUM(H95:H97)</f>
        <v>45.800000000000004</v>
      </c>
      <c r="I98" s="34">
        <f>SUM(I95:I97)</f>
        <v>235.50000000000003</v>
      </c>
      <c r="J98" s="21">
        <f>I98/E98*100</f>
        <v>11.208948119942885</v>
      </c>
      <c r="K98" s="38">
        <f>(J98-F98)/F98</f>
        <v>0.24208860759493664</v>
      </c>
      <c r="N98" s="1"/>
      <c r="O98" s="3"/>
      <c r="P98" s="2"/>
      <c r="Q98" s="4"/>
      <c r="R98" s="4"/>
      <c r="S98" s="4"/>
      <c r="T98" s="2"/>
      <c r="U98" s="7"/>
    </row>
    <row r="99" spans="1:21" ht="13.8" thickTop="1" x14ac:dyDescent="0.25">
      <c r="D99"/>
      <c r="E99" s="25"/>
      <c r="F99" s="20"/>
      <c r="G99" s="31"/>
      <c r="H99" s="31"/>
      <c r="I99" s="31"/>
      <c r="J99" s="20"/>
      <c r="K99" s="37"/>
      <c r="N99" s="1"/>
      <c r="O99" s="3"/>
      <c r="P99" s="2"/>
      <c r="Q99" s="4"/>
      <c r="R99" s="4"/>
      <c r="S99" s="4"/>
      <c r="T99" s="2"/>
      <c r="U99" s="7"/>
    </row>
    <row r="100" spans="1:21" x14ac:dyDescent="0.25">
      <c r="D100" s="19"/>
      <c r="E100" s="25"/>
      <c r="F100" s="20"/>
      <c r="G100" s="31"/>
      <c r="H100" s="31"/>
      <c r="I100" s="31"/>
      <c r="J100" s="20"/>
      <c r="K100" s="37"/>
      <c r="N100" s="1"/>
      <c r="O100" s="3"/>
      <c r="P100" s="2"/>
      <c r="Q100" s="4"/>
      <c r="R100" s="4"/>
      <c r="S100" s="4"/>
      <c r="T100" s="2"/>
      <c r="U100" s="7"/>
    </row>
    <row r="101" spans="1:21" x14ac:dyDescent="0.25">
      <c r="D101"/>
      <c r="E101" s="25"/>
      <c r="F101" s="20"/>
      <c r="G101" s="31"/>
      <c r="H101" s="31"/>
      <c r="I101" s="31"/>
      <c r="J101" s="20"/>
      <c r="K101" s="37"/>
      <c r="N101" s="1"/>
      <c r="O101" s="3"/>
      <c r="P101" s="2"/>
      <c r="Q101" s="4"/>
      <c r="R101" s="4"/>
      <c r="S101" s="4"/>
      <c r="T101" s="2"/>
      <c r="U101" s="7"/>
    </row>
    <row r="102" spans="1:21" x14ac:dyDescent="0.25">
      <c r="D102" s="14"/>
      <c r="E102" s="25"/>
      <c r="F102" s="20"/>
      <c r="G102" s="31"/>
      <c r="H102" s="31"/>
      <c r="I102" s="31"/>
      <c r="J102" s="20"/>
      <c r="K102" s="37"/>
      <c r="N102" s="1"/>
      <c r="O102" s="3"/>
      <c r="P102" s="2"/>
      <c r="Q102" s="4"/>
      <c r="R102" s="4"/>
      <c r="S102" s="4"/>
      <c r="T102" s="2"/>
      <c r="U102" s="7"/>
    </row>
    <row r="103" spans="1:21" x14ac:dyDescent="0.25">
      <c r="A103" s="1" t="s">
        <v>82</v>
      </c>
      <c r="B103" s="1" t="s">
        <v>101</v>
      </c>
      <c r="C103" s="1" t="s">
        <v>153</v>
      </c>
      <c r="D103" s="16" t="s">
        <v>22</v>
      </c>
      <c r="E103" s="25"/>
      <c r="F103" s="20"/>
      <c r="G103" s="31">
        <v>60.5</v>
      </c>
      <c r="H103" s="31"/>
      <c r="I103" s="31">
        <v>60.5</v>
      </c>
      <c r="J103" s="20"/>
      <c r="K103" s="37"/>
      <c r="N103" s="1"/>
      <c r="O103" s="3"/>
      <c r="P103" s="2"/>
      <c r="Q103" s="4"/>
      <c r="R103" s="4"/>
      <c r="S103" s="4"/>
      <c r="T103" s="2"/>
      <c r="U103" s="7"/>
    </row>
    <row r="104" spans="1:21" x14ac:dyDescent="0.25">
      <c r="A104" s="1" t="s">
        <v>82</v>
      </c>
      <c r="B104" s="1" t="s">
        <v>101</v>
      </c>
      <c r="C104" s="1" t="s">
        <v>153</v>
      </c>
      <c r="D104" s="16" t="s">
        <v>34</v>
      </c>
      <c r="E104" s="25">
        <v>6351</v>
      </c>
      <c r="F104" s="20">
        <v>4.5</v>
      </c>
      <c r="G104" s="31">
        <v>285.39999999999998</v>
      </c>
      <c r="H104" s="31">
        <v>63.1</v>
      </c>
      <c r="I104" s="31">
        <v>348.5</v>
      </c>
      <c r="J104" s="20">
        <v>5.5</v>
      </c>
      <c r="K104" s="37"/>
      <c r="N104" s="1"/>
      <c r="O104" s="3"/>
      <c r="P104" s="2"/>
      <c r="Q104" s="4"/>
      <c r="R104" s="4"/>
      <c r="S104" s="4"/>
      <c r="T104" s="2"/>
      <c r="U104" s="7"/>
    </row>
    <row r="105" spans="1:21" x14ac:dyDescent="0.25">
      <c r="A105" s="1" t="s">
        <v>82</v>
      </c>
      <c r="B105" s="1" t="s">
        <v>101</v>
      </c>
      <c r="C105" s="1" t="s">
        <v>153</v>
      </c>
      <c r="D105" s="16" t="s">
        <v>35</v>
      </c>
      <c r="E105" s="25">
        <v>691</v>
      </c>
      <c r="F105" s="20">
        <v>5.8</v>
      </c>
      <c r="G105" s="31">
        <v>39.700000000000003</v>
      </c>
      <c r="H105" s="31">
        <v>218.6</v>
      </c>
      <c r="I105" s="31">
        <v>258.3</v>
      </c>
      <c r="J105" s="20">
        <v>37.4</v>
      </c>
      <c r="K105" s="37"/>
      <c r="N105" s="1"/>
      <c r="O105" s="3"/>
      <c r="P105" s="2"/>
      <c r="Q105" s="4"/>
      <c r="R105" s="4"/>
      <c r="S105" s="4"/>
      <c r="T105" s="2"/>
      <c r="U105" s="7"/>
    </row>
    <row r="106" spans="1:21" x14ac:dyDescent="0.25">
      <c r="A106" s="1" t="s">
        <v>82</v>
      </c>
      <c r="B106" s="1" t="s">
        <v>101</v>
      </c>
      <c r="C106" s="1" t="s">
        <v>153</v>
      </c>
      <c r="D106" s="16" t="s">
        <v>73</v>
      </c>
      <c r="E106" s="25"/>
      <c r="F106" s="20"/>
      <c r="G106" s="31">
        <v>-61</v>
      </c>
      <c r="H106" s="31"/>
      <c r="I106" s="31">
        <v>-61</v>
      </c>
      <c r="J106" s="20"/>
      <c r="K106" s="37"/>
      <c r="N106" s="1"/>
      <c r="O106" s="3"/>
      <c r="P106" s="2"/>
      <c r="Q106" s="4"/>
      <c r="R106" s="4"/>
      <c r="S106" s="4"/>
      <c r="T106" s="2"/>
      <c r="U106" s="7"/>
    </row>
    <row r="107" spans="1:21" ht="13.8" thickBot="1" x14ac:dyDescent="0.3">
      <c r="D107" s="17" t="s">
        <v>86</v>
      </c>
      <c r="E107" s="27">
        <f>SUM(E102:E106)</f>
        <v>7042</v>
      </c>
      <c r="F107" s="21">
        <f>100*G107/E107</f>
        <v>4.6094859414938929</v>
      </c>
      <c r="G107" s="34">
        <f>SUM(G102:G106)</f>
        <v>324.59999999999997</v>
      </c>
      <c r="H107" s="34">
        <f>SUM(H102:H106)</f>
        <v>281.7</v>
      </c>
      <c r="I107" s="34">
        <f>SUM(I102:I106)</f>
        <v>606.29999999999995</v>
      </c>
      <c r="J107" s="21">
        <f>I107/E107*100</f>
        <v>8.6097699517182615</v>
      </c>
      <c r="K107" s="38">
        <f>(J107-F107)/F107</f>
        <v>0.86783733826247722</v>
      </c>
      <c r="N107" s="1"/>
      <c r="O107" s="3"/>
      <c r="P107" s="2"/>
      <c r="Q107" s="4"/>
      <c r="R107" s="4"/>
      <c r="S107" s="4"/>
      <c r="T107" s="2"/>
      <c r="U107" s="7"/>
    </row>
    <row r="108" spans="1:21" ht="13.8" thickTop="1" x14ac:dyDescent="0.25">
      <c r="D108"/>
      <c r="E108" s="25"/>
      <c r="F108" s="20"/>
      <c r="G108" s="31"/>
      <c r="H108" s="31"/>
      <c r="I108" s="31"/>
      <c r="J108" s="20"/>
      <c r="K108" s="37"/>
      <c r="N108" s="1"/>
      <c r="O108" s="3"/>
      <c r="P108" s="2"/>
      <c r="Q108" s="4"/>
      <c r="R108" s="4"/>
      <c r="S108" s="4"/>
      <c r="T108" s="2"/>
      <c r="U108" s="7"/>
    </row>
    <row r="109" spans="1:21" x14ac:dyDescent="0.25">
      <c r="D109" s="14"/>
      <c r="E109" s="25"/>
      <c r="F109" s="20"/>
      <c r="G109" s="31"/>
      <c r="H109" s="31"/>
      <c r="I109" s="31"/>
      <c r="J109" s="20"/>
      <c r="K109" s="37"/>
      <c r="N109" s="1"/>
      <c r="O109" s="3"/>
      <c r="P109" s="2"/>
      <c r="Q109" s="4"/>
      <c r="R109" s="4"/>
      <c r="S109" s="4"/>
      <c r="T109" s="2"/>
      <c r="U109" s="7"/>
    </row>
    <row r="110" spans="1:21" x14ac:dyDescent="0.25">
      <c r="A110" s="1" t="s">
        <v>82</v>
      </c>
      <c r="B110" s="1" t="s">
        <v>102</v>
      </c>
      <c r="C110" s="1" t="s">
        <v>151</v>
      </c>
      <c r="D110" s="16" t="s">
        <v>22</v>
      </c>
      <c r="E110" s="25"/>
      <c r="F110" s="20"/>
      <c r="G110" s="31">
        <v>157.19999999999999</v>
      </c>
      <c r="H110" s="31"/>
      <c r="I110" s="31">
        <v>157.19999999999999</v>
      </c>
      <c r="J110" s="20"/>
      <c r="K110" s="37"/>
      <c r="N110" s="1"/>
      <c r="O110" s="3"/>
      <c r="P110" s="2"/>
      <c r="Q110" s="4"/>
      <c r="R110" s="4"/>
      <c r="S110" s="4"/>
      <c r="T110" s="2"/>
      <c r="U110" s="7"/>
    </row>
    <row r="111" spans="1:21" x14ac:dyDescent="0.25">
      <c r="A111" s="1" t="s">
        <v>82</v>
      </c>
      <c r="B111" s="1" t="s">
        <v>102</v>
      </c>
      <c r="C111" s="1" t="s">
        <v>151</v>
      </c>
      <c r="D111" s="16" t="s">
        <v>34</v>
      </c>
      <c r="E111" s="25">
        <v>5591</v>
      </c>
      <c r="F111" s="20">
        <v>4.9000000000000004</v>
      </c>
      <c r="G111" s="31">
        <v>274.39999999999998</v>
      </c>
      <c r="H111" s="31">
        <v>55.6</v>
      </c>
      <c r="I111" s="31">
        <v>330</v>
      </c>
      <c r="J111" s="20">
        <v>5.9</v>
      </c>
      <c r="K111" s="37"/>
      <c r="N111" s="1"/>
      <c r="O111" s="3"/>
      <c r="P111" s="2"/>
      <c r="Q111" s="4"/>
      <c r="R111" s="4"/>
      <c r="S111" s="4"/>
      <c r="T111" s="2"/>
      <c r="U111" s="7"/>
    </row>
    <row r="112" spans="1:21" x14ac:dyDescent="0.25">
      <c r="A112" s="1" t="s">
        <v>82</v>
      </c>
      <c r="B112" s="1" t="s">
        <v>102</v>
      </c>
      <c r="C112" s="1" t="s">
        <v>151</v>
      </c>
      <c r="D112" s="16" t="s">
        <v>35</v>
      </c>
      <c r="E112" s="25">
        <v>670</v>
      </c>
      <c r="F112" s="20">
        <v>6.2</v>
      </c>
      <c r="G112" s="31">
        <v>41.6</v>
      </c>
      <c r="H112" s="31">
        <v>194.9</v>
      </c>
      <c r="I112" s="31">
        <v>236.5</v>
      </c>
      <c r="J112" s="20">
        <v>35.299999999999997</v>
      </c>
      <c r="K112" s="37"/>
      <c r="N112" s="1"/>
      <c r="O112" s="3"/>
      <c r="P112" s="2"/>
      <c r="Q112" s="4"/>
      <c r="R112" s="4"/>
      <c r="S112" s="4"/>
      <c r="T112" s="2"/>
      <c r="U112" s="7"/>
    </row>
    <row r="113" spans="1:21" x14ac:dyDescent="0.25">
      <c r="A113" s="1" t="s">
        <v>82</v>
      </c>
      <c r="B113" s="1" t="s">
        <v>102</v>
      </c>
      <c r="C113" s="1" t="s">
        <v>151</v>
      </c>
      <c r="D113" s="16" t="s">
        <v>73</v>
      </c>
      <c r="E113" s="25"/>
      <c r="F113" s="20"/>
      <c r="G113" s="31">
        <v>-44.6</v>
      </c>
      <c r="H113" s="31"/>
      <c r="I113" s="31">
        <v>-44.6</v>
      </c>
      <c r="J113" s="20"/>
      <c r="K113" s="37"/>
      <c r="N113" s="1"/>
      <c r="O113" s="3"/>
      <c r="P113" s="2"/>
      <c r="Q113" s="4"/>
      <c r="R113" s="4"/>
      <c r="S113" s="4"/>
      <c r="T113" s="2"/>
      <c r="U113" s="7"/>
    </row>
    <row r="114" spans="1:21" ht="13.8" thickBot="1" x14ac:dyDescent="0.3">
      <c r="D114" s="17" t="s">
        <v>87</v>
      </c>
      <c r="E114" s="27">
        <f>SUM(E109:E113)</f>
        <v>6261</v>
      </c>
      <c r="F114" s="21">
        <f>100*G114/E114</f>
        <v>6.8455518287813453</v>
      </c>
      <c r="G114" s="34">
        <f>SUM(G109:G113)</f>
        <v>428.59999999999997</v>
      </c>
      <c r="H114" s="34">
        <f>SUM(H109:H113)</f>
        <v>250.5</v>
      </c>
      <c r="I114" s="34">
        <f>SUM(I109:I113)</f>
        <v>679.1</v>
      </c>
      <c r="J114" s="21">
        <f>I114/E114*100</f>
        <v>10.846510142149816</v>
      </c>
      <c r="K114" s="38">
        <f>(J114-F114)/F114</f>
        <v>0.58446103593093779</v>
      </c>
      <c r="N114" s="1"/>
      <c r="O114" s="3"/>
      <c r="P114" s="2"/>
      <c r="Q114" s="4"/>
      <c r="R114" s="4"/>
      <c r="S114" s="4"/>
      <c r="T114" s="2"/>
      <c r="U114" s="7"/>
    </row>
    <row r="115" spans="1:21" ht="13.8" thickTop="1" x14ac:dyDescent="0.25">
      <c r="D115"/>
      <c r="E115" s="25"/>
      <c r="F115" s="20"/>
      <c r="G115" s="31"/>
      <c r="H115" s="31"/>
      <c r="I115" s="31"/>
      <c r="J115" s="20"/>
      <c r="K115" s="37"/>
      <c r="N115" s="1"/>
      <c r="O115" s="3"/>
      <c r="P115" s="2"/>
      <c r="Q115" s="4"/>
      <c r="R115" s="4"/>
      <c r="S115" s="4"/>
      <c r="T115" s="2"/>
      <c r="U115" s="7"/>
    </row>
    <row r="116" spans="1:21" x14ac:dyDescent="0.25">
      <c r="D116" s="14"/>
      <c r="E116" s="25"/>
      <c r="F116" s="20"/>
      <c r="G116" s="31"/>
      <c r="H116" s="31"/>
      <c r="I116" s="31"/>
      <c r="J116" s="20"/>
      <c r="K116" s="37"/>
      <c r="N116" s="1"/>
      <c r="O116" s="3"/>
      <c r="P116" s="2"/>
      <c r="Q116" s="4"/>
      <c r="R116" s="4"/>
      <c r="S116" s="4"/>
      <c r="T116" s="2"/>
      <c r="U116" s="7"/>
    </row>
    <row r="117" spans="1:21" x14ac:dyDescent="0.25">
      <c r="A117" s="1" t="s">
        <v>82</v>
      </c>
      <c r="B117" s="1" t="s">
        <v>103</v>
      </c>
      <c r="C117" s="1" t="s">
        <v>152</v>
      </c>
      <c r="D117" s="16" t="s">
        <v>22</v>
      </c>
      <c r="E117" s="25"/>
      <c r="F117" s="20"/>
      <c r="G117" s="31">
        <v>112.9</v>
      </c>
      <c r="H117" s="31"/>
      <c r="I117" s="31">
        <v>112.9</v>
      </c>
      <c r="J117" s="20"/>
      <c r="K117" s="37"/>
      <c r="N117" s="1"/>
      <c r="O117" s="3"/>
      <c r="P117" s="2"/>
      <c r="Q117" s="4"/>
      <c r="R117" s="4"/>
      <c r="S117" s="4"/>
      <c r="T117" s="2"/>
      <c r="U117" s="7"/>
    </row>
    <row r="118" spans="1:21" x14ac:dyDescent="0.25">
      <c r="A118" s="1" t="s">
        <v>82</v>
      </c>
      <c r="B118" s="1" t="s">
        <v>103</v>
      </c>
      <c r="C118" s="1" t="s">
        <v>152</v>
      </c>
      <c r="D118" s="16" t="s">
        <v>34</v>
      </c>
      <c r="E118" s="25">
        <v>2809</v>
      </c>
      <c r="F118" s="20">
        <v>5.4</v>
      </c>
      <c r="G118" s="31">
        <v>152.9</v>
      </c>
      <c r="H118" s="31">
        <v>27.9</v>
      </c>
      <c r="I118" s="31">
        <v>180.8</v>
      </c>
      <c r="J118" s="20">
        <v>6.4</v>
      </c>
      <c r="K118" s="37"/>
      <c r="N118" s="1"/>
      <c r="O118" s="3"/>
      <c r="P118" s="2"/>
      <c r="Q118" s="4"/>
      <c r="R118" s="4"/>
      <c r="S118" s="4"/>
      <c r="T118" s="2"/>
      <c r="U118" s="7"/>
    </row>
    <row r="119" spans="1:21" x14ac:dyDescent="0.25">
      <c r="A119" s="1" t="s">
        <v>82</v>
      </c>
      <c r="B119" s="1" t="s">
        <v>103</v>
      </c>
      <c r="C119" s="1" t="s">
        <v>152</v>
      </c>
      <c r="D119" s="16" t="s">
        <v>35</v>
      </c>
      <c r="E119" s="25">
        <v>379</v>
      </c>
      <c r="F119" s="20">
        <v>8.6999999999999993</v>
      </c>
      <c r="G119" s="31">
        <v>33</v>
      </c>
      <c r="H119" s="31">
        <v>99.6</v>
      </c>
      <c r="I119" s="31">
        <v>132.6</v>
      </c>
      <c r="J119" s="20">
        <v>35</v>
      </c>
      <c r="K119" s="37"/>
      <c r="N119" s="1"/>
      <c r="O119" s="3"/>
      <c r="P119" s="2"/>
      <c r="Q119" s="4"/>
      <c r="R119" s="4"/>
      <c r="S119" s="4"/>
      <c r="T119" s="2"/>
      <c r="U119" s="7"/>
    </row>
    <row r="120" spans="1:21" x14ac:dyDescent="0.25">
      <c r="A120" s="1" t="s">
        <v>82</v>
      </c>
      <c r="B120" s="1" t="s">
        <v>103</v>
      </c>
      <c r="C120" s="1" t="s">
        <v>152</v>
      </c>
      <c r="D120" s="16" t="s">
        <v>73</v>
      </c>
      <c r="E120" s="25"/>
      <c r="F120" s="20"/>
      <c r="G120" s="31">
        <v>-20.399999999999999</v>
      </c>
      <c r="H120" s="31"/>
      <c r="I120" s="31">
        <v>-20.399999999999999</v>
      </c>
      <c r="J120" s="20"/>
      <c r="K120" s="37"/>
      <c r="N120" s="1"/>
      <c r="O120" s="3"/>
      <c r="P120" s="2"/>
      <c r="Q120" s="4"/>
      <c r="R120" s="4"/>
      <c r="S120" s="4"/>
      <c r="T120" s="2"/>
      <c r="U120" s="7"/>
    </row>
    <row r="121" spans="1:21" ht="13.8" thickBot="1" x14ac:dyDescent="0.3">
      <c r="D121" s="17" t="s">
        <v>88</v>
      </c>
      <c r="E121" s="27">
        <f>SUM(E116:E120)</f>
        <v>3188</v>
      </c>
      <c r="F121" s="21">
        <f>100*G121/E121</f>
        <v>8.7327478042659994</v>
      </c>
      <c r="G121" s="34">
        <f>SUM(G116:G120)</f>
        <v>278.40000000000003</v>
      </c>
      <c r="H121" s="34">
        <f>SUM(H116:H120)</f>
        <v>127.5</v>
      </c>
      <c r="I121" s="34">
        <f>SUM(I116:I120)</f>
        <v>405.90000000000009</v>
      </c>
      <c r="J121" s="21">
        <f>I121/E121*100</f>
        <v>12.732120451693854</v>
      </c>
      <c r="K121" s="38">
        <f>(J121-F121)/F121</f>
        <v>0.45797413793103442</v>
      </c>
      <c r="N121" s="1"/>
      <c r="O121" s="3"/>
      <c r="P121" s="2"/>
      <c r="Q121" s="4"/>
      <c r="R121" s="4"/>
      <c r="S121" s="4"/>
      <c r="T121" s="2"/>
      <c r="U121" s="7"/>
    </row>
    <row r="122" spans="1:21" ht="13.8" thickTop="1" x14ac:dyDescent="0.25">
      <c r="D122"/>
      <c r="E122" s="25"/>
      <c r="F122" s="20"/>
      <c r="G122" s="31"/>
      <c r="H122" s="31"/>
      <c r="I122" s="31"/>
      <c r="J122" s="20"/>
      <c r="K122" s="37"/>
      <c r="N122" s="1"/>
      <c r="O122" s="3"/>
      <c r="P122" s="2"/>
      <c r="Q122" s="4"/>
      <c r="R122" s="4"/>
      <c r="S122" s="4"/>
      <c r="T122" s="2"/>
      <c r="U122" s="7"/>
    </row>
    <row r="123" spans="1:21" ht="13.8" thickBot="1" x14ac:dyDescent="0.3">
      <c r="D123" s="17" t="s">
        <v>89</v>
      </c>
      <c r="E123" s="28">
        <f>E121+E114+E107</f>
        <v>16491</v>
      </c>
      <c r="F123" s="22">
        <f>G123/E123*100</f>
        <v>6.2555333212055055</v>
      </c>
      <c r="G123" s="35">
        <f>G121+G114+G107</f>
        <v>1031.5999999999999</v>
      </c>
      <c r="H123" s="35">
        <f>H121+H114+H107</f>
        <v>659.7</v>
      </c>
      <c r="I123" s="35">
        <f>I121+I114+I107</f>
        <v>1691.3</v>
      </c>
      <c r="J123" s="22">
        <f>I123/E123*100</f>
        <v>10.255897156024497</v>
      </c>
      <c r="K123" s="39">
        <f>(J123-F123)/F123</f>
        <v>0.63949205118262897</v>
      </c>
      <c r="N123" s="1"/>
      <c r="O123" s="3"/>
      <c r="P123" s="2"/>
      <c r="Q123" s="4"/>
      <c r="R123" s="4"/>
      <c r="S123" s="4"/>
      <c r="T123" s="2"/>
      <c r="U123" s="7"/>
    </row>
    <row r="124" spans="1:21" ht="13.8" thickTop="1" x14ac:dyDescent="0.25">
      <c r="D124"/>
      <c r="E124" s="25"/>
      <c r="F124" s="20"/>
      <c r="G124" s="31"/>
      <c r="H124" s="31"/>
      <c r="I124" s="31"/>
      <c r="J124" s="20"/>
      <c r="K124" s="37"/>
      <c r="N124" s="1"/>
      <c r="O124" s="3"/>
      <c r="P124" s="2"/>
      <c r="Q124" s="4"/>
      <c r="R124" s="4"/>
      <c r="S124" s="4"/>
      <c r="T124" s="2"/>
      <c r="U124" s="7"/>
    </row>
    <row r="125" spans="1:21" x14ac:dyDescent="0.25">
      <c r="D125"/>
      <c r="E125" s="25"/>
      <c r="F125" s="20"/>
      <c r="G125" s="31"/>
      <c r="H125" s="31"/>
      <c r="I125" s="31"/>
      <c r="J125" s="20"/>
      <c r="K125" s="37"/>
      <c r="N125" s="1"/>
      <c r="O125" s="3"/>
      <c r="P125" s="2"/>
      <c r="Q125" s="4"/>
      <c r="R125" s="4"/>
      <c r="S125" s="4"/>
      <c r="T125" s="2"/>
      <c r="U125" s="7"/>
    </row>
    <row r="126" spans="1:21" ht="13.8" thickBot="1" x14ac:dyDescent="0.3">
      <c r="D126" s="18" t="s">
        <v>90</v>
      </c>
      <c r="E126" s="29">
        <f>+E13+E21+E30+E37+E44+E51+E58+E65+E73+E79+E86+E92+E98+E107+E114+E121</f>
        <v>80335</v>
      </c>
      <c r="F126" s="23">
        <f>G126/E126*100</f>
        <v>9.9195867305657544</v>
      </c>
      <c r="G126" s="36">
        <f>G123+G98+G92+G86+G79+G73+G67+G44+G37+G30+G21+G13</f>
        <v>7968.9</v>
      </c>
      <c r="H126" s="36">
        <f>H123+H98+H92+H86+H79+H73+H67+H44+H37+H30+H21+H13</f>
        <v>2309.4000000000005</v>
      </c>
      <c r="I126" s="36">
        <f>I123+I98+I92+I86+I79+I73+I67+I44+I37+I30+I21+I13</f>
        <v>10266.300000000001</v>
      </c>
      <c r="J126" s="23">
        <f>I126/E126*100</f>
        <v>12.779361424036848</v>
      </c>
      <c r="K126" s="39">
        <f>(J126-F126)/F126</f>
        <v>0.2882957497270644</v>
      </c>
      <c r="N126" s="1"/>
      <c r="O126" s="3"/>
      <c r="P126" s="2"/>
      <c r="Q126" s="4"/>
      <c r="R126" s="4"/>
      <c r="S126" s="4"/>
      <c r="T126" s="2"/>
      <c r="U126" s="7"/>
    </row>
    <row r="127" spans="1:21" ht="13.8" thickTop="1" x14ac:dyDescent="0.25">
      <c r="D127"/>
      <c r="E127" s="30">
        <v>82291</v>
      </c>
      <c r="F127" s="24">
        <v>10.4</v>
      </c>
      <c r="G127" s="33">
        <v>8522.1</v>
      </c>
      <c r="H127" s="33">
        <v>2284</v>
      </c>
      <c r="I127" s="33">
        <v>10990.8</v>
      </c>
      <c r="J127" s="24">
        <v>13.4</v>
      </c>
      <c r="K127" s="37"/>
      <c r="N127" s="1"/>
      <c r="O127" s="3"/>
      <c r="P127" s="2"/>
      <c r="Q127" s="4"/>
      <c r="R127" s="4"/>
      <c r="S127" s="4"/>
      <c r="T127" s="2"/>
      <c r="U127" s="7"/>
    </row>
    <row r="128" spans="1:21" x14ac:dyDescent="0.25">
      <c r="D128"/>
      <c r="E128" s="25"/>
      <c r="F128" s="20"/>
      <c r="G128" s="31"/>
      <c r="H128" s="31"/>
      <c r="I128" s="31"/>
      <c r="J128" s="20"/>
      <c r="K128" s="37"/>
      <c r="N128" s="1"/>
      <c r="O128" s="3"/>
      <c r="P128" s="2"/>
      <c r="Q128" s="4"/>
      <c r="R128" s="4"/>
      <c r="S128" s="4"/>
      <c r="T128" s="2"/>
      <c r="U128" s="7"/>
    </row>
    <row r="129" spans="4:21" x14ac:dyDescent="0.25">
      <c r="D129"/>
      <c r="E129" s="25"/>
      <c r="F129" s="20"/>
      <c r="G129" s="31"/>
      <c r="H129" s="31"/>
      <c r="I129" s="31"/>
      <c r="J129" s="20"/>
      <c r="K129" s="37"/>
      <c r="N129" s="1"/>
      <c r="O129" s="3"/>
      <c r="P129" s="2"/>
      <c r="Q129" s="4"/>
      <c r="R129" s="4"/>
      <c r="S129" s="4"/>
      <c r="T129" s="2"/>
      <c r="U129" s="7"/>
    </row>
    <row r="130" spans="4:21" x14ac:dyDescent="0.25">
      <c r="E130" s="3" t="s">
        <v>7</v>
      </c>
      <c r="F130" s="2" t="s">
        <v>9</v>
      </c>
      <c r="G130" s="4" t="s">
        <v>9</v>
      </c>
      <c r="H130" s="4" t="s">
        <v>10</v>
      </c>
      <c r="I130" s="4" t="s">
        <v>15</v>
      </c>
      <c r="J130" s="2" t="s">
        <v>16</v>
      </c>
      <c r="N130" s="1"/>
      <c r="O130" s="3"/>
      <c r="P130" s="2"/>
      <c r="Q130" s="4"/>
      <c r="R130" s="4"/>
      <c r="S130" s="4"/>
      <c r="T130" s="2"/>
      <c r="U130" s="7"/>
    </row>
    <row r="131" spans="4:21" x14ac:dyDescent="0.25">
      <c r="D131" s="1" t="s">
        <v>132</v>
      </c>
      <c r="E131" s="3" t="s">
        <v>8</v>
      </c>
      <c r="F131" s="2" t="s">
        <v>13</v>
      </c>
      <c r="G131" s="4" t="s">
        <v>12</v>
      </c>
      <c r="H131" s="4" t="s">
        <v>14</v>
      </c>
      <c r="I131" s="4" t="s">
        <v>10</v>
      </c>
      <c r="J131" s="2" t="s">
        <v>17</v>
      </c>
      <c r="K131" s="8" t="s">
        <v>93</v>
      </c>
      <c r="N131" s="1"/>
      <c r="O131" s="3"/>
      <c r="P131" s="2"/>
      <c r="Q131" s="4"/>
      <c r="R131" s="4"/>
      <c r="S131" s="4"/>
      <c r="T131" s="2"/>
      <c r="U131" s="7"/>
    </row>
    <row r="132" spans="4:21" x14ac:dyDescent="0.25">
      <c r="D132"/>
      <c r="E132" s="25"/>
      <c r="F132" s="20"/>
      <c r="G132" s="31"/>
      <c r="H132" s="31"/>
      <c r="I132" s="31"/>
      <c r="J132" s="20"/>
      <c r="K132" s="37"/>
      <c r="N132" s="1"/>
      <c r="O132" s="3"/>
      <c r="P132" s="2"/>
      <c r="Q132" s="4"/>
      <c r="R132" s="4"/>
      <c r="S132" s="4"/>
      <c r="T132" s="2"/>
      <c r="U132" s="7"/>
    </row>
    <row r="133" spans="4:21" x14ac:dyDescent="0.25">
      <c r="D133" s="1" t="s">
        <v>0</v>
      </c>
      <c r="E133" s="3">
        <f>+E13+E21</f>
        <v>28846</v>
      </c>
      <c r="F133" s="2">
        <f t="shared" ref="F133:F139" si="0">+G133/E133*100</f>
        <v>11.512168064896349</v>
      </c>
      <c r="G133" s="3">
        <f>+G13+G21</f>
        <v>3320.8000000000006</v>
      </c>
      <c r="H133" s="3">
        <f>+H13+H21</f>
        <v>691.1</v>
      </c>
      <c r="I133" s="3">
        <f>+I13+I21</f>
        <v>4023.5000000000005</v>
      </c>
      <c r="J133" s="5">
        <f>I133/E133*100</f>
        <v>13.948207723774528</v>
      </c>
      <c r="K133" s="7">
        <f>(J133-F133)/F133</f>
        <v>0.21160563719585629</v>
      </c>
      <c r="N133" s="1"/>
      <c r="O133" s="3"/>
      <c r="P133" s="2"/>
      <c r="Q133" s="4"/>
      <c r="R133" s="4"/>
      <c r="S133" s="4"/>
      <c r="T133" s="2"/>
      <c r="U133" s="7"/>
    </row>
    <row r="134" spans="4:21" x14ac:dyDescent="0.25">
      <c r="D134" s="1" t="s">
        <v>136</v>
      </c>
      <c r="E134" s="3">
        <f>+E30+E37+E44</f>
        <v>20815</v>
      </c>
      <c r="F134" s="2">
        <f t="shared" si="0"/>
        <v>10.795099687725198</v>
      </c>
      <c r="G134" s="3">
        <f>+G30+G37+G44</f>
        <v>2247</v>
      </c>
      <c r="H134" s="3">
        <f>+H30+H37+H44</f>
        <v>453.79999999999995</v>
      </c>
      <c r="I134" s="3">
        <f>+I30+I37+I44</f>
        <v>2677</v>
      </c>
      <c r="J134" s="5">
        <f>I134/E134*100</f>
        <v>12.860917607494596</v>
      </c>
      <c r="K134" s="7">
        <f>(J134-F134)/F134</f>
        <v>0.19136626613262131</v>
      </c>
      <c r="N134" s="1"/>
      <c r="O134" s="3"/>
      <c r="P134" s="2"/>
      <c r="Q134" s="4"/>
      <c r="R134" s="4"/>
      <c r="S134" s="4"/>
      <c r="T134" s="2"/>
      <c r="U134" s="7"/>
    </row>
    <row r="135" spans="4:21" x14ac:dyDescent="0.25">
      <c r="D135" s="1" t="s">
        <v>82</v>
      </c>
      <c r="E135" s="3">
        <f>+E86+E92+E98+E107+E114+E121</f>
        <v>19216</v>
      </c>
      <c r="F135" s="2">
        <f t="shared" si="0"/>
        <v>6.8208784346378017</v>
      </c>
      <c r="G135" s="3">
        <f>+G86+G92+G98+G107+G114+G121</f>
        <v>1310.7</v>
      </c>
      <c r="H135" s="3">
        <f>+H86+H92+H98+H107+H114+H121</f>
        <v>717.8</v>
      </c>
      <c r="I135" s="3">
        <f>+I86+I92+I98+I107+I114+I121</f>
        <v>2028.6000000000001</v>
      </c>
      <c r="J135" s="5">
        <f>I135/E135*100</f>
        <v>10.55682764363031</v>
      </c>
      <c r="K135" s="7">
        <f>(J135-F135)/F135</f>
        <v>0.54772259098191833</v>
      </c>
      <c r="N135" s="1"/>
      <c r="O135" s="3"/>
      <c r="P135" s="2"/>
      <c r="Q135" s="4"/>
      <c r="R135" s="4"/>
      <c r="S135" s="4"/>
      <c r="T135" s="2"/>
      <c r="U135" s="7"/>
    </row>
    <row r="136" spans="4:21" x14ac:dyDescent="0.25">
      <c r="D136" s="1" t="s">
        <v>137</v>
      </c>
      <c r="E136" s="3">
        <f>+E73+E79</f>
        <v>489</v>
      </c>
      <c r="F136" s="2">
        <f t="shared" si="0"/>
        <v>8.4662576687116555</v>
      </c>
      <c r="G136" s="3">
        <f>+G73+G79</f>
        <v>41.4</v>
      </c>
      <c r="H136" s="3">
        <f>+H73+H79</f>
        <v>7.9</v>
      </c>
      <c r="I136" s="3">
        <f>+I73+I79</f>
        <v>49.3</v>
      </c>
      <c r="J136" s="5">
        <f>I136/E136*100</f>
        <v>10.081799591002044</v>
      </c>
      <c r="K136" s="7">
        <f>(J136-F136)/F136</f>
        <v>0.19082125603864736</v>
      </c>
      <c r="N136" s="1"/>
      <c r="O136" s="3"/>
      <c r="P136" s="2"/>
      <c r="Q136" s="4"/>
      <c r="R136" s="4"/>
      <c r="S136" s="4"/>
      <c r="T136" s="2"/>
      <c r="U136" s="7"/>
    </row>
    <row r="137" spans="4:21" x14ac:dyDescent="0.25">
      <c r="D137" s="1" t="s">
        <v>104</v>
      </c>
      <c r="E137" s="3">
        <f>+E51+E58+E65</f>
        <v>10969</v>
      </c>
      <c r="F137" s="2">
        <f t="shared" si="0"/>
        <v>9.5633147962439597</v>
      </c>
      <c r="G137" s="3">
        <f>+G51+G58+G65</f>
        <v>1049</v>
      </c>
      <c r="H137" s="3">
        <f>+H51+H58+H65</f>
        <v>438.8</v>
      </c>
      <c r="I137" s="3">
        <f>+I51+I58+I65</f>
        <v>1487.8999999999999</v>
      </c>
      <c r="J137" s="5">
        <f>I137/E137*100</f>
        <v>13.564591120430302</v>
      </c>
      <c r="K137" s="7">
        <f>(J137-F137)/F137</f>
        <v>0.41839847473784553</v>
      </c>
      <c r="N137" s="1"/>
      <c r="O137" s="3"/>
      <c r="P137" s="2"/>
      <c r="Q137" s="4"/>
      <c r="R137" s="4"/>
      <c r="S137" s="4"/>
      <c r="T137" s="2"/>
      <c r="U137" s="7"/>
    </row>
    <row r="138" spans="4:21" x14ac:dyDescent="0.25">
      <c r="G138" s="3"/>
      <c r="H138" s="3"/>
      <c r="I138" s="3"/>
      <c r="J138" s="5"/>
      <c r="K138" s="7"/>
      <c r="N138" s="1"/>
      <c r="O138" s="3"/>
      <c r="P138" s="2"/>
      <c r="Q138" s="4"/>
      <c r="R138" s="4"/>
      <c r="S138" s="4"/>
      <c r="T138" s="2"/>
      <c r="U138" s="7"/>
    </row>
    <row r="139" spans="4:21" x14ac:dyDescent="0.25">
      <c r="D139" s="1" t="s">
        <v>47</v>
      </c>
      <c r="E139" s="3">
        <f>SUM(E133:E138)</f>
        <v>80335</v>
      </c>
      <c r="F139" s="2">
        <f t="shared" si="0"/>
        <v>9.9195867305657561</v>
      </c>
      <c r="G139" s="3">
        <f>SUM(G133:G138)</f>
        <v>7968.9000000000005</v>
      </c>
      <c r="H139" s="3">
        <f>SUM(H133:H138)</f>
        <v>2309.4</v>
      </c>
      <c r="I139" s="3">
        <f>SUM(I133:I138)</f>
        <v>10266.299999999999</v>
      </c>
      <c r="J139" s="5">
        <f>I139/E139*100</f>
        <v>12.779361424036844</v>
      </c>
      <c r="K139" s="7">
        <f>(J139-F139)/F139</f>
        <v>0.28829574972706379</v>
      </c>
      <c r="N139" s="1"/>
      <c r="O139" s="3"/>
      <c r="P139" s="2"/>
      <c r="Q139" s="4"/>
      <c r="R139" s="4"/>
      <c r="S139" s="4"/>
      <c r="T139" s="2"/>
      <c r="U139" s="7"/>
    </row>
    <row r="140" spans="4:21" x14ac:dyDescent="0.25">
      <c r="D140"/>
      <c r="E140" s="25"/>
      <c r="F140" s="20"/>
      <c r="G140" s="31"/>
      <c r="H140" s="31"/>
      <c r="I140" s="31"/>
      <c r="J140" s="20"/>
      <c r="K140" s="37"/>
      <c r="N140" s="1"/>
      <c r="O140" s="3"/>
      <c r="P140" s="2"/>
      <c r="Q140" s="4"/>
      <c r="R140" s="4"/>
      <c r="S140" s="4"/>
      <c r="T140" s="2"/>
      <c r="U140" s="7"/>
    </row>
    <row r="141" spans="4:21" x14ac:dyDescent="0.25">
      <c r="D141"/>
      <c r="E141" s="25"/>
      <c r="F141" s="20"/>
      <c r="G141" s="31"/>
      <c r="H141" s="31"/>
      <c r="I141" s="31"/>
      <c r="J141" s="20"/>
      <c r="K141" s="37"/>
      <c r="N141" s="1"/>
      <c r="O141" s="3"/>
      <c r="P141" s="2"/>
      <c r="Q141" s="4"/>
      <c r="R141" s="4"/>
      <c r="S141" s="4"/>
      <c r="T141" s="2"/>
      <c r="U141" s="7"/>
    </row>
    <row r="142" spans="4:21" x14ac:dyDescent="0.25">
      <c r="D142"/>
      <c r="E142" s="25"/>
      <c r="F142" s="20"/>
      <c r="G142" s="31"/>
      <c r="H142" s="31"/>
      <c r="I142" s="31"/>
      <c r="J142" s="20"/>
      <c r="K142" s="37"/>
      <c r="N142" s="1"/>
      <c r="O142" s="3"/>
      <c r="P142" s="2"/>
      <c r="Q142" s="4"/>
      <c r="R142" s="4"/>
      <c r="S142" s="4"/>
      <c r="T142" s="2"/>
      <c r="U142" s="7"/>
    </row>
    <row r="143" spans="4:21" x14ac:dyDescent="0.25">
      <c r="D143"/>
      <c r="E143" s="25"/>
      <c r="F143" s="20"/>
      <c r="G143" s="31"/>
      <c r="H143" s="31"/>
      <c r="I143" s="31"/>
      <c r="J143" s="20"/>
      <c r="K143" s="37"/>
      <c r="N143" s="1"/>
      <c r="O143" s="3"/>
      <c r="P143" s="2"/>
      <c r="Q143" s="4"/>
      <c r="R143" s="4"/>
      <c r="S143" s="4"/>
      <c r="T143" s="2"/>
      <c r="U143" s="7"/>
    </row>
    <row r="144" spans="4:21" x14ac:dyDescent="0.25">
      <c r="D144"/>
      <c r="E144" s="25"/>
      <c r="F144" s="20"/>
      <c r="G144" s="31"/>
      <c r="H144" s="31"/>
      <c r="I144" s="31"/>
      <c r="J144" s="20"/>
      <c r="K144" s="37"/>
      <c r="N144" s="1"/>
      <c r="O144" s="3"/>
      <c r="P144" s="2"/>
      <c r="Q144" s="4"/>
      <c r="R144" s="4"/>
      <c r="S144" s="4"/>
      <c r="T144" s="2"/>
      <c r="U144" s="7"/>
    </row>
    <row r="145" spans="4:21" x14ac:dyDescent="0.25">
      <c r="D145"/>
      <c r="E145" s="25"/>
      <c r="F145" s="20"/>
      <c r="G145" s="31"/>
      <c r="H145" s="31"/>
      <c r="I145" s="31"/>
      <c r="J145" s="20"/>
      <c r="K145" s="37"/>
      <c r="N145" s="1"/>
      <c r="O145" s="3"/>
      <c r="P145" s="2"/>
      <c r="Q145" s="4"/>
      <c r="R145" s="4"/>
      <c r="S145" s="4"/>
      <c r="T145" s="2"/>
      <c r="U145" s="7"/>
    </row>
    <row r="146" spans="4:21" x14ac:dyDescent="0.25">
      <c r="D146"/>
      <c r="E146" s="25"/>
      <c r="F146" s="20"/>
      <c r="G146" s="31"/>
      <c r="H146" s="31"/>
      <c r="I146" s="31"/>
      <c r="J146" s="20"/>
      <c r="K146" s="37"/>
      <c r="N146" s="1"/>
      <c r="O146" s="3"/>
      <c r="P146" s="2"/>
      <c r="Q146" s="4"/>
      <c r="R146" s="4"/>
      <c r="S146" s="4"/>
      <c r="T146" s="2"/>
      <c r="U146" s="7"/>
    </row>
    <row r="147" spans="4:21" x14ac:dyDescent="0.25">
      <c r="D147"/>
      <c r="E147" s="25"/>
      <c r="F147" s="20"/>
      <c r="G147" s="31"/>
      <c r="H147" s="31"/>
      <c r="I147" s="31"/>
      <c r="J147" s="20"/>
      <c r="K147" s="37"/>
      <c r="N147" s="1"/>
      <c r="O147" s="3"/>
      <c r="P147" s="2"/>
      <c r="Q147" s="4"/>
      <c r="R147" s="4"/>
      <c r="S147" s="4"/>
      <c r="T147" s="2"/>
      <c r="U147" s="7"/>
    </row>
  </sheetData>
  <pageMargins left="0.75" right="0.75" top="1" bottom="1" header="0.5" footer="0.5"/>
  <pageSetup scale="52" fitToHeight="2" orientation="landscape" verticalDpi="196" r:id="rId1"/>
  <headerFooter alignWithMargins="0">
    <oddFooter>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134"/>
  <sheetViews>
    <sheetView topLeftCell="A54" zoomScale="80" workbookViewId="0">
      <selection activeCell="A54" sqref="A54"/>
    </sheetView>
  </sheetViews>
  <sheetFormatPr defaultRowHeight="13.2" x14ac:dyDescent="0.25"/>
  <cols>
    <col min="1" max="1" width="21" style="1" customWidth="1"/>
    <col min="2" max="2" width="11.33203125" style="1" customWidth="1"/>
    <col min="3" max="3" width="60.6640625" style="1" customWidth="1"/>
    <col min="4" max="4" width="24" style="1" customWidth="1"/>
    <col min="5" max="5" width="14.109375" style="3" customWidth="1"/>
    <col min="6" max="6" width="13.5546875" style="2" customWidth="1"/>
    <col min="7" max="7" width="14.88671875" style="4" customWidth="1"/>
    <col min="8" max="8" width="17" style="4" customWidth="1"/>
    <col min="9" max="9" width="17" style="6" customWidth="1"/>
    <col min="10" max="10" width="12" style="5" customWidth="1"/>
    <col min="11" max="11" width="17" style="1" customWidth="1"/>
    <col min="12" max="14" width="9.109375" style="1" customWidth="1"/>
  </cols>
  <sheetData>
    <row r="2" spans="1:11" x14ac:dyDescent="0.25">
      <c r="E2" s="1" t="s">
        <v>7</v>
      </c>
      <c r="F2" s="2" t="s">
        <v>9</v>
      </c>
      <c r="G2" s="4" t="s">
        <v>9</v>
      </c>
      <c r="H2" s="4" t="s">
        <v>10</v>
      </c>
      <c r="I2" s="6" t="s">
        <v>15</v>
      </c>
      <c r="J2" s="5" t="s">
        <v>16</v>
      </c>
    </row>
    <row r="3" spans="1:11" x14ac:dyDescent="0.25">
      <c r="A3" s="1" t="s">
        <v>134</v>
      </c>
      <c r="B3" s="1" t="s">
        <v>133</v>
      </c>
      <c r="C3" s="1" t="s">
        <v>145</v>
      </c>
      <c r="D3" s="1" t="s">
        <v>132</v>
      </c>
      <c r="E3" s="1" t="s">
        <v>8</v>
      </c>
      <c r="F3" s="2" t="s">
        <v>13</v>
      </c>
      <c r="G3" s="4" t="s">
        <v>12</v>
      </c>
      <c r="H3" s="4" t="s">
        <v>14</v>
      </c>
      <c r="I3" s="6" t="s">
        <v>10</v>
      </c>
      <c r="J3" s="5" t="s">
        <v>17</v>
      </c>
      <c r="K3" s="1" t="s">
        <v>93</v>
      </c>
    </row>
    <row r="5" spans="1:11" x14ac:dyDescent="0.25">
      <c r="A5" s="1" t="s">
        <v>0</v>
      </c>
      <c r="B5" s="1" t="s">
        <v>20</v>
      </c>
      <c r="D5" s="1" t="s">
        <v>2</v>
      </c>
      <c r="E5" s="3">
        <v>12138</v>
      </c>
      <c r="F5" s="2">
        <v>13.01</v>
      </c>
      <c r="G5" s="4">
        <f>+E5*F5/100</f>
        <v>1579.1538</v>
      </c>
      <c r="H5" s="4">
        <f>+I5-G5</f>
        <v>0</v>
      </c>
      <c r="I5" s="6">
        <f>+E5*J5/100</f>
        <v>1579.1538</v>
      </c>
      <c r="J5" s="5">
        <v>13.01</v>
      </c>
    </row>
    <row r="6" spans="1:11" x14ac:dyDescent="0.25">
      <c r="A6" s="1" t="s">
        <v>0</v>
      </c>
      <c r="B6" s="1" t="s">
        <v>20</v>
      </c>
      <c r="D6" s="1" t="s">
        <v>3</v>
      </c>
      <c r="E6" s="3">
        <v>2434</v>
      </c>
      <c r="F6" s="2">
        <v>15.16</v>
      </c>
      <c r="G6" s="4">
        <f>+E6*F6/100</f>
        <v>368.99440000000004</v>
      </c>
      <c r="H6" s="4">
        <f t="shared" ref="H6:H11" si="0">+I6-G6</f>
        <v>0</v>
      </c>
      <c r="I6" s="6">
        <f>+E6*J6/100</f>
        <v>368.99440000000004</v>
      </c>
      <c r="J6" s="5">
        <v>15.16</v>
      </c>
    </row>
    <row r="7" spans="1:11" x14ac:dyDescent="0.25">
      <c r="A7" s="1" t="s">
        <v>0</v>
      </c>
      <c r="B7" s="1" t="s">
        <v>20</v>
      </c>
      <c r="D7" s="1" t="s">
        <v>4</v>
      </c>
      <c r="E7" s="3">
        <v>3594</v>
      </c>
      <c r="F7" s="2">
        <v>15.16</v>
      </c>
      <c r="G7" s="4">
        <f>+E7*F7/100</f>
        <v>544.85040000000004</v>
      </c>
      <c r="H7" s="4">
        <f t="shared" si="0"/>
        <v>186.5286000000001</v>
      </c>
      <c r="I7" s="6">
        <f>+E7*J7/100</f>
        <v>731.37900000000013</v>
      </c>
      <c r="J7" s="5">
        <v>20.350000000000001</v>
      </c>
    </row>
    <row r="8" spans="1:11" x14ac:dyDescent="0.25">
      <c r="A8" s="1" t="s">
        <v>0</v>
      </c>
      <c r="B8" s="1" t="s">
        <v>20</v>
      </c>
      <c r="D8" s="1" t="s">
        <v>6</v>
      </c>
      <c r="E8" s="3">
        <v>4200</v>
      </c>
      <c r="F8" s="2">
        <v>15.16</v>
      </c>
      <c r="G8" s="4">
        <f>+E8*F8/100</f>
        <v>636.72</v>
      </c>
      <c r="H8" s="4">
        <f t="shared" si="0"/>
        <v>435.53999999999996</v>
      </c>
      <c r="I8" s="6">
        <f>+E8*J8/100</f>
        <v>1072.26</v>
      </c>
      <c r="J8" s="5">
        <v>25.53</v>
      </c>
    </row>
    <row r="9" spans="1:11" x14ac:dyDescent="0.25">
      <c r="A9" s="1" t="s">
        <v>0</v>
      </c>
      <c r="B9" s="1" t="s">
        <v>20</v>
      </c>
      <c r="D9" s="1" t="s">
        <v>5</v>
      </c>
      <c r="G9" s="4">
        <v>-290.60000000000002</v>
      </c>
      <c r="H9" s="4">
        <f t="shared" si="0"/>
        <v>4.9000000000000341</v>
      </c>
      <c r="I9" s="6">
        <v>-285.7</v>
      </c>
    </row>
    <row r="11" spans="1:11" x14ac:dyDescent="0.25">
      <c r="A11" s="1" t="s">
        <v>11</v>
      </c>
      <c r="E11" s="3">
        <f>SUM(E5:E10)</f>
        <v>22366</v>
      </c>
      <c r="F11" s="2">
        <f>+G11/E11*100</f>
        <v>12.693904140212824</v>
      </c>
      <c r="G11" s="4">
        <f>SUM(G5:G9)</f>
        <v>2839.1186000000002</v>
      </c>
      <c r="H11" s="4">
        <f t="shared" si="0"/>
        <v>626.96860000000061</v>
      </c>
      <c r="I11" s="6">
        <f>SUM(I5:I10)</f>
        <v>3466.0872000000008</v>
      </c>
      <c r="K11" s="7">
        <f>+H11/G11</f>
        <v>0.22083212726653989</v>
      </c>
    </row>
    <row r="14" spans="1:11" x14ac:dyDescent="0.25">
      <c r="A14" s="1" t="s">
        <v>0</v>
      </c>
      <c r="B14" s="1" t="s">
        <v>18</v>
      </c>
      <c r="C14" s="1" t="s">
        <v>146</v>
      </c>
      <c r="D14" s="1" t="s">
        <v>2</v>
      </c>
      <c r="E14" s="3">
        <v>1510</v>
      </c>
      <c r="F14" s="2">
        <v>10.14</v>
      </c>
      <c r="G14" s="4">
        <f>+E14*F14/100</f>
        <v>153.114</v>
      </c>
      <c r="H14" s="4">
        <f>+I14-G14</f>
        <v>0</v>
      </c>
      <c r="I14" s="6">
        <f>+E14*J14/100</f>
        <v>153.114</v>
      </c>
      <c r="J14" s="5">
        <v>10.14</v>
      </c>
    </row>
    <row r="15" spans="1:11" x14ac:dyDescent="0.25">
      <c r="A15" s="1" t="s">
        <v>0</v>
      </c>
      <c r="B15" s="1" t="s">
        <v>18</v>
      </c>
      <c r="C15" s="1" t="s">
        <v>146</v>
      </c>
      <c r="D15" s="1" t="s">
        <v>3</v>
      </c>
      <c r="E15" s="3">
        <v>303</v>
      </c>
      <c r="F15" s="2">
        <v>11.97</v>
      </c>
      <c r="G15" s="4">
        <f>+E15*F15/100</f>
        <v>36.269100000000002</v>
      </c>
      <c r="H15" s="4">
        <f t="shared" ref="H15:H20" si="1">+I15-G15</f>
        <v>0</v>
      </c>
      <c r="I15" s="6">
        <f>+E15*J15/100</f>
        <v>36.269100000000002</v>
      </c>
      <c r="J15" s="5">
        <v>11.97</v>
      </c>
    </row>
    <row r="16" spans="1:11" x14ac:dyDescent="0.25">
      <c r="A16" s="1" t="s">
        <v>0</v>
      </c>
      <c r="B16" s="1" t="s">
        <v>18</v>
      </c>
      <c r="C16" s="1" t="s">
        <v>146</v>
      </c>
      <c r="D16" s="1" t="s">
        <v>4</v>
      </c>
      <c r="E16" s="3">
        <v>447</v>
      </c>
      <c r="F16" s="2">
        <v>11.97</v>
      </c>
      <c r="G16" s="4">
        <f>+E16*F16/100</f>
        <v>53.505900000000004</v>
      </c>
      <c r="H16" s="4">
        <f t="shared" si="1"/>
        <v>0</v>
      </c>
      <c r="I16" s="6">
        <f>+E16*J16/100</f>
        <v>53.505900000000004</v>
      </c>
      <c r="J16" s="5">
        <v>11.97</v>
      </c>
    </row>
    <row r="17" spans="1:11" x14ac:dyDescent="0.25">
      <c r="A17" s="1" t="s">
        <v>0</v>
      </c>
      <c r="B17" s="1" t="s">
        <v>18</v>
      </c>
      <c r="C17" s="1" t="s">
        <v>146</v>
      </c>
      <c r="D17" s="1" t="s">
        <v>6</v>
      </c>
      <c r="E17" s="3">
        <v>523</v>
      </c>
      <c r="F17" s="2">
        <v>11.97</v>
      </c>
      <c r="G17" s="4">
        <f>+E17*F17/100</f>
        <v>62.603100000000005</v>
      </c>
      <c r="H17" s="4">
        <f t="shared" si="1"/>
        <v>36.453099999999999</v>
      </c>
      <c r="I17" s="6">
        <f>+E17*J17/100</f>
        <v>99.056200000000004</v>
      </c>
      <c r="J17" s="5">
        <v>18.940000000000001</v>
      </c>
    </row>
    <row r="18" spans="1:11" x14ac:dyDescent="0.25">
      <c r="A18" s="1" t="s">
        <v>0</v>
      </c>
      <c r="B18" s="1" t="s">
        <v>18</v>
      </c>
      <c r="C18" s="1" t="s">
        <v>146</v>
      </c>
      <c r="D18" s="1" t="s">
        <v>5</v>
      </c>
      <c r="G18" s="4">
        <v>-30.5</v>
      </c>
      <c r="H18" s="4">
        <f t="shared" si="1"/>
        <v>-3.7000000000000028</v>
      </c>
      <c r="I18" s="6">
        <v>-34.200000000000003</v>
      </c>
    </row>
    <row r="20" spans="1:11" x14ac:dyDescent="0.25">
      <c r="A20" s="1" t="s">
        <v>19</v>
      </c>
      <c r="E20" s="3">
        <f>SUM(E14:E19)</f>
        <v>2783</v>
      </c>
      <c r="F20" s="2">
        <f>+G20/E20*100</f>
        <v>9.8811390585698877</v>
      </c>
      <c r="G20" s="4">
        <f>SUM(G14:G18)</f>
        <v>274.99209999999999</v>
      </c>
      <c r="H20" s="4">
        <f t="shared" si="1"/>
        <v>32.753100000000018</v>
      </c>
      <c r="I20" s="6">
        <f>SUM(I14:I19)</f>
        <v>307.74520000000001</v>
      </c>
      <c r="K20" s="7">
        <f>+H20/G20</f>
        <v>0.11910560339733403</v>
      </c>
    </row>
    <row r="23" spans="1:11" x14ac:dyDescent="0.25">
      <c r="A23" s="1" t="s">
        <v>21</v>
      </c>
      <c r="B23" s="1" t="s">
        <v>27</v>
      </c>
      <c r="C23" s="1" t="s">
        <v>163</v>
      </c>
      <c r="D23" s="1" t="s">
        <v>22</v>
      </c>
      <c r="E23" s="3">
        <v>0</v>
      </c>
      <c r="F23" s="2">
        <v>0</v>
      </c>
      <c r="G23" s="4">
        <v>75.099999999999994</v>
      </c>
      <c r="H23" s="4">
        <f>+I23-G23</f>
        <v>0</v>
      </c>
      <c r="I23" s="6">
        <v>75.099999999999994</v>
      </c>
      <c r="J23" s="5">
        <v>0</v>
      </c>
    </row>
    <row r="24" spans="1:11" x14ac:dyDescent="0.25">
      <c r="A24" s="1" t="s">
        <v>21</v>
      </c>
      <c r="B24" s="1" t="s">
        <v>27</v>
      </c>
      <c r="C24" s="1" t="s">
        <v>163</v>
      </c>
      <c r="D24" s="1" t="s">
        <v>23</v>
      </c>
      <c r="E24" s="3">
        <v>989</v>
      </c>
      <c r="F24" s="2">
        <v>11.76</v>
      </c>
      <c r="G24" s="4">
        <f>+E24*F24/100</f>
        <v>116.3064</v>
      </c>
      <c r="H24" s="4">
        <f t="shared" ref="H24:H30" si="2">+I24-G24</f>
        <v>37.087500000000006</v>
      </c>
      <c r="I24" s="6">
        <f>+E24*J24/100</f>
        <v>153.3939</v>
      </c>
      <c r="J24" s="5">
        <v>15.51</v>
      </c>
    </row>
    <row r="25" spans="1:11" x14ac:dyDescent="0.25">
      <c r="A25" s="1" t="s">
        <v>21</v>
      </c>
      <c r="B25" s="1" t="s">
        <v>27</v>
      </c>
      <c r="C25" s="1" t="s">
        <v>163</v>
      </c>
      <c r="D25" s="1" t="s">
        <v>24</v>
      </c>
      <c r="E25" s="3">
        <v>809</v>
      </c>
      <c r="F25" s="2">
        <v>11.76</v>
      </c>
      <c r="G25" s="4">
        <f>+E25*F25/100</f>
        <v>95.138400000000004</v>
      </c>
      <c r="H25" s="4">
        <f t="shared" si="2"/>
        <v>71.596499999999978</v>
      </c>
      <c r="I25" s="6">
        <f>+E25*J25/100</f>
        <v>166.73489999999998</v>
      </c>
      <c r="J25" s="5">
        <v>20.61</v>
      </c>
    </row>
    <row r="26" spans="1:11" x14ac:dyDescent="0.25">
      <c r="A26" s="1" t="s">
        <v>21</v>
      </c>
      <c r="B26" s="1" t="s">
        <v>27</v>
      </c>
      <c r="C26" s="1" t="s">
        <v>163</v>
      </c>
      <c r="D26" s="1" t="s">
        <v>25</v>
      </c>
      <c r="E26" s="3">
        <v>1730</v>
      </c>
      <c r="F26" s="2">
        <v>11.76</v>
      </c>
      <c r="G26" s="4">
        <f>+E26*F26/100</f>
        <v>203.44799999999998</v>
      </c>
      <c r="H26" s="4">
        <f t="shared" si="2"/>
        <v>28.890999999999991</v>
      </c>
      <c r="I26" s="6">
        <f>+E26*J26/100</f>
        <v>232.33899999999997</v>
      </c>
      <c r="J26" s="5">
        <v>13.43</v>
      </c>
    </row>
    <row r="27" spans="1:11" x14ac:dyDescent="0.25">
      <c r="A27" s="1" t="s">
        <v>21</v>
      </c>
      <c r="B27" s="1" t="s">
        <v>27</v>
      </c>
      <c r="C27" s="1" t="s">
        <v>163</v>
      </c>
      <c r="D27" s="1" t="s">
        <v>26</v>
      </c>
      <c r="E27" s="3">
        <v>1416</v>
      </c>
      <c r="F27" s="2">
        <v>11.76</v>
      </c>
      <c r="G27" s="4">
        <f>+E27*F27/100</f>
        <v>166.52160000000001</v>
      </c>
      <c r="H27" s="4">
        <f t="shared" si="2"/>
        <v>41.347200000000015</v>
      </c>
      <c r="I27" s="6">
        <f>+E27*J27/100</f>
        <v>207.86880000000002</v>
      </c>
      <c r="J27" s="5">
        <v>14.68</v>
      </c>
    </row>
    <row r="28" spans="1:11" x14ac:dyDescent="0.25">
      <c r="A28" s="1" t="s">
        <v>21</v>
      </c>
      <c r="B28" s="1" t="s">
        <v>27</v>
      </c>
      <c r="C28" s="1" t="s">
        <v>163</v>
      </c>
      <c r="D28" s="1" t="s">
        <v>5</v>
      </c>
      <c r="G28" s="4">
        <v>-65.599999999999994</v>
      </c>
      <c r="H28" s="4">
        <f t="shared" si="2"/>
        <v>1.7999999999999972</v>
      </c>
      <c r="I28" s="6">
        <v>-63.8</v>
      </c>
    </row>
    <row r="30" spans="1:11" x14ac:dyDescent="0.25">
      <c r="A30" s="1" t="s">
        <v>48</v>
      </c>
      <c r="E30" s="3">
        <f>SUM(E23:E29)</f>
        <v>4944</v>
      </c>
      <c r="F30" s="2">
        <f>+G30/E30*100</f>
        <v>11.952152103559872</v>
      </c>
      <c r="G30" s="4">
        <f>SUM(G23:G28)</f>
        <v>590.9144</v>
      </c>
      <c r="H30" s="4">
        <f t="shared" si="2"/>
        <v>180.72220000000004</v>
      </c>
      <c r="I30" s="6">
        <f>SUM(I23:I29)</f>
        <v>771.63660000000004</v>
      </c>
      <c r="K30" s="7">
        <f>+H30/G30</f>
        <v>0.3058348214225276</v>
      </c>
    </row>
    <row r="33" spans="1:11" x14ac:dyDescent="0.25">
      <c r="A33" s="1" t="s">
        <v>21</v>
      </c>
      <c r="B33" s="1" t="s">
        <v>28</v>
      </c>
      <c r="C33" s="1" t="s">
        <v>164</v>
      </c>
      <c r="D33" s="1" t="s">
        <v>22</v>
      </c>
      <c r="E33" s="3">
        <v>0</v>
      </c>
      <c r="F33" s="2">
        <v>0</v>
      </c>
      <c r="G33" s="4">
        <v>579.5</v>
      </c>
      <c r="H33" s="4">
        <f>+I33-G33</f>
        <v>0</v>
      </c>
      <c r="I33" s="6">
        <v>579.5</v>
      </c>
      <c r="J33" s="5">
        <v>0</v>
      </c>
    </row>
    <row r="34" spans="1:11" x14ac:dyDescent="0.25">
      <c r="A34" s="1" t="s">
        <v>21</v>
      </c>
      <c r="B34" s="1" t="s">
        <v>28</v>
      </c>
      <c r="C34" s="1" t="s">
        <v>164</v>
      </c>
      <c r="D34" s="1" t="s">
        <v>29</v>
      </c>
      <c r="E34" s="3">
        <v>6988</v>
      </c>
      <c r="F34" s="2">
        <v>7.69</v>
      </c>
      <c r="G34" s="4">
        <f>+E34*F34/100</f>
        <v>537.37720000000002</v>
      </c>
      <c r="H34" s="4">
        <f t="shared" ref="H34:H39" si="3">+I34-G34</f>
        <v>204.74839999999995</v>
      </c>
      <c r="I34" s="6">
        <f>+E34*J34/100</f>
        <v>742.12559999999996</v>
      </c>
      <c r="J34" s="5">
        <v>10.62</v>
      </c>
    </row>
    <row r="35" spans="1:11" x14ac:dyDescent="0.25">
      <c r="A35" s="1" t="s">
        <v>21</v>
      </c>
      <c r="B35" s="1" t="s">
        <v>28</v>
      </c>
      <c r="C35" s="1" t="s">
        <v>164</v>
      </c>
      <c r="D35" s="1" t="s">
        <v>30</v>
      </c>
      <c r="E35" s="3">
        <v>1842</v>
      </c>
      <c r="F35" s="2">
        <v>4.3899999999999997</v>
      </c>
      <c r="G35" s="4">
        <f>+E35*F35/100</f>
        <v>80.863799999999998</v>
      </c>
      <c r="H35" s="4">
        <f t="shared" si="3"/>
        <v>331.92840000000001</v>
      </c>
      <c r="I35" s="6">
        <f>+E35*J35/100</f>
        <v>412.79220000000004</v>
      </c>
      <c r="J35" s="5">
        <v>22.41</v>
      </c>
    </row>
    <row r="36" spans="1:11" x14ac:dyDescent="0.25">
      <c r="A36" s="1" t="s">
        <v>21</v>
      </c>
      <c r="B36" s="1" t="s">
        <v>28</v>
      </c>
      <c r="C36" s="1" t="s">
        <v>164</v>
      </c>
      <c r="D36" s="1" t="s">
        <v>31</v>
      </c>
      <c r="E36" s="3">
        <v>12542</v>
      </c>
      <c r="F36" s="2">
        <v>7.69</v>
      </c>
      <c r="G36" s="4">
        <f>+E36*F36/100</f>
        <v>964.47980000000007</v>
      </c>
      <c r="H36" s="4">
        <f t="shared" si="3"/>
        <v>183.11320000000001</v>
      </c>
      <c r="I36" s="6">
        <f>+E36*J36/100</f>
        <v>1147.5930000000001</v>
      </c>
      <c r="J36" s="5">
        <v>9.15</v>
      </c>
    </row>
    <row r="37" spans="1:11" x14ac:dyDescent="0.25">
      <c r="A37" s="1" t="s">
        <v>21</v>
      </c>
      <c r="B37" s="1" t="s">
        <v>28</v>
      </c>
      <c r="C37" s="1" t="s">
        <v>164</v>
      </c>
      <c r="D37" s="1" t="s">
        <v>32</v>
      </c>
      <c r="E37" s="3">
        <v>3054</v>
      </c>
      <c r="F37" s="2">
        <v>4.3899999999999997</v>
      </c>
      <c r="G37" s="4">
        <f>+E37*F37/100</f>
        <v>134.07059999999998</v>
      </c>
      <c r="H37" s="4">
        <f t="shared" si="3"/>
        <v>164.91599999999997</v>
      </c>
      <c r="I37" s="6">
        <f>+E37*J37/100</f>
        <v>298.98659999999995</v>
      </c>
      <c r="J37" s="5">
        <v>9.7899999999999991</v>
      </c>
    </row>
    <row r="39" spans="1:11" x14ac:dyDescent="0.25">
      <c r="A39" s="1" t="s">
        <v>49</v>
      </c>
      <c r="E39" s="3">
        <f>SUM(E33:E38)</f>
        <v>24426</v>
      </c>
      <c r="F39" s="2">
        <f>+G39/E39*100</f>
        <v>9.4010128551543435</v>
      </c>
      <c r="G39" s="4">
        <f>SUM(G33:G37)</f>
        <v>2296.2914000000001</v>
      </c>
      <c r="H39" s="4">
        <f t="shared" si="3"/>
        <v>884.70600000000013</v>
      </c>
      <c r="I39" s="6">
        <f>SUM(I33:I38)</f>
        <v>3180.9974000000002</v>
      </c>
      <c r="K39" s="7">
        <f>+H39/G39</f>
        <v>0.38527601505627729</v>
      </c>
    </row>
    <row r="42" spans="1:11" x14ac:dyDescent="0.25">
      <c r="A42" s="1" t="s">
        <v>21</v>
      </c>
      <c r="B42" s="1" t="s">
        <v>33</v>
      </c>
      <c r="C42" s="1" t="s">
        <v>165</v>
      </c>
      <c r="D42" s="1" t="s">
        <v>22</v>
      </c>
      <c r="E42" s="3">
        <v>0</v>
      </c>
      <c r="F42" s="2">
        <v>0</v>
      </c>
      <c r="G42" s="4">
        <v>19.7</v>
      </c>
      <c r="H42" s="4">
        <f>+I42-G42</f>
        <v>0</v>
      </c>
      <c r="I42" s="6">
        <v>19.7</v>
      </c>
      <c r="J42" s="5">
        <v>0</v>
      </c>
    </row>
    <row r="43" spans="1:11" x14ac:dyDescent="0.25">
      <c r="A43" s="1" t="s">
        <v>21</v>
      </c>
      <c r="B43" s="1" t="s">
        <v>33</v>
      </c>
      <c r="C43" s="1" t="s">
        <v>165</v>
      </c>
      <c r="D43" s="1" t="s">
        <v>34</v>
      </c>
      <c r="E43" s="3">
        <v>723</v>
      </c>
      <c r="F43" s="2">
        <v>8.26</v>
      </c>
      <c r="G43" s="4">
        <f>+E43*F43/100</f>
        <v>59.719799999999992</v>
      </c>
      <c r="H43" s="4">
        <f>+I43-G43</f>
        <v>28.92</v>
      </c>
      <c r="I43" s="6">
        <f>+E43*J43/100</f>
        <v>88.639799999999994</v>
      </c>
      <c r="J43" s="5">
        <v>12.26</v>
      </c>
    </row>
    <row r="44" spans="1:11" x14ac:dyDescent="0.25">
      <c r="A44" s="1" t="s">
        <v>21</v>
      </c>
      <c r="B44" s="1" t="s">
        <v>33</v>
      </c>
      <c r="C44" s="1" t="s">
        <v>165</v>
      </c>
      <c r="D44" s="1" t="s">
        <v>35</v>
      </c>
      <c r="E44" s="3">
        <v>41</v>
      </c>
      <c r="F44" s="2">
        <v>11.55</v>
      </c>
      <c r="G44" s="4">
        <f>+E44*F44/100</f>
        <v>4.7355</v>
      </c>
      <c r="H44" s="4">
        <f>+I44-G44</f>
        <v>2.0500000000000007</v>
      </c>
      <c r="I44" s="6">
        <f>+E44*J44/100</f>
        <v>6.7855000000000008</v>
      </c>
      <c r="J44" s="5">
        <v>16.55</v>
      </c>
    </row>
    <row r="46" spans="1:11" x14ac:dyDescent="0.25">
      <c r="A46" s="1" t="s">
        <v>50</v>
      </c>
      <c r="E46" s="3">
        <f>SUM(E42:E45)</f>
        <v>764</v>
      </c>
      <c r="F46" s="2">
        <f>+G46/E46*100</f>
        <v>11.01509162303665</v>
      </c>
      <c r="G46" s="4">
        <f>SUM(G42:G44)</f>
        <v>84.155299999999997</v>
      </c>
      <c r="H46" s="4">
        <f>+I46-G46</f>
        <v>30.97</v>
      </c>
      <c r="I46" s="6">
        <f>SUM(I42:I45)</f>
        <v>115.1253</v>
      </c>
      <c r="K46" s="7">
        <f>+H46/G46</f>
        <v>0.36801009562083437</v>
      </c>
    </row>
    <row r="49" spans="1:11" x14ac:dyDescent="0.25">
      <c r="A49" s="1" t="s">
        <v>104</v>
      </c>
      <c r="B49" s="1" t="s">
        <v>36</v>
      </c>
      <c r="C49" s="1" t="s">
        <v>161</v>
      </c>
      <c r="D49" s="1" t="s">
        <v>22</v>
      </c>
      <c r="E49" s="3">
        <v>0</v>
      </c>
      <c r="F49" s="2">
        <v>0</v>
      </c>
      <c r="G49" s="4">
        <v>131.1</v>
      </c>
      <c r="H49" s="4">
        <f>+I49-G49</f>
        <v>0</v>
      </c>
      <c r="I49" s="6">
        <v>131.1</v>
      </c>
      <c r="J49" s="5">
        <v>0</v>
      </c>
    </row>
    <row r="50" spans="1:11" x14ac:dyDescent="0.25">
      <c r="A50" s="1" t="s">
        <v>104</v>
      </c>
      <c r="B50" s="1" t="s">
        <v>36</v>
      </c>
      <c r="C50" s="1" t="s">
        <v>161</v>
      </c>
      <c r="D50" s="1" t="s">
        <v>34</v>
      </c>
      <c r="E50" s="3">
        <v>7889</v>
      </c>
      <c r="F50" s="2">
        <v>8.17</v>
      </c>
      <c r="G50" s="4">
        <f>+E50*F50/100</f>
        <v>644.53129999999999</v>
      </c>
      <c r="H50" s="4">
        <f>+I50-G50</f>
        <v>315.56000000000006</v>
      </c>
      <c r="I50" s="6">
        <f>+E50*J50/100</f>
        <v>960.09130000000005</v>
      </c>
      <c r="J50" s="5">
        <v>12.17</v>
      </c>
    </row>
    <row r="51" spans="1:11" x14ac:dyDescent="0.25">
      <c r="A51" s="1" t="s">
        <v>104</v>
      </c>
      <c r="B51" s="1" t="s">
        <v>36</v>
      </c>
      <c r="C51" s="1" t="s">
        <v>161</v>
      </c>
      <c r="D51" s="1" t="s">
        <v>35</v>
      </c>
      <c r="E51" s="3">
        <v>694</v>
      </c>
      <c r="F51" s="2">
        <v>9.49</v>
      </c>
      <c r="G51" s="4">
        <f>+E51*F51/100</f>
        <v>65.860600000000005</v>
      </c>
      <c r="H51" s="4">
        <f>+I51-G51</f>
        <v>34.699999999999989</v>
      </c>
      <c r="I51" s="6">
        <f>+E51*J51/100</f>
        <v>100.56059999999999</v>
      </c>
      <c r="J51" s="5">
        <v>14.49</v>
      </c>
    </row>
    <row r="53" spans="1:11" x14ac:dyDescent="0.25">
      <c r="A53" s="1" t="s">
        <v>51</v>
      </c>
      <c r="E53" s="3">
        <f>SUM(E49:E52)</f>
        <v>8583</v>
      </c>
      <c r="F53" s="2">
        <f>+G53/E53*100</f>
        <v>9.8041698706745901</v>
      </c>
      <c r="G53" s="4">
        <f>SUM(G49:G51)</f>
        <v>841.49189999999999</v>
      </c>
      <c r="H53" s="4">
        <f>+I53-G53</f>
        <v>350.26</v>
      </c>
      <c r="I53" s="6">
        <f>SUM(I49:I52)</f>
        <v>1191.7519</v>
      </c>
      <c r="K53" s="7">
        <f>+H53/G53</f>
        <v>0.41623692396801443</v>
      </c>
    </row>
    <row r="56" spans="1:11" x14ac:dyDescent="0.25">
      <c r="A56" s="1" t="s">
        <v>104</v>
      </c>
      <c r="B56" s="1" t="s">
        <v>37</v>
      </c>
      <c r="C56" s="1" t="s">
        <v>162</v>
      </c>
      <c r="D56" s="1" t="s">
        <v>22</v>
      </c>
      <c r="E56" s="3">
        <v>0</v>
      </c>
      <c r="F56" s="2">
        <v>0</v>
      </c>
      <c r="G56" s="4">
        <v>123</v>
      </c>
      <c r="H56" s="4">
        <f>+I56-G56</f>
        <v>0</v>
      </c>
      <c r="I56" s="6">
        <v>123</v>
      </c>
      <c r="J56" s="5">
        <v>0</v>
      </c>
    </row>
    <row r="57" spans="1:11" x14ac:dyDescent="0.25">
      <c r="A57" s="1" t="s">
        <v>104</v>
      </c>
      <c r="B57" s="1" t="s">
        <v>37</v>
      </c>
      <c r="C57" s="1" t="s">
        <v>162</v>
      </c>
      <c r="D57" s="1" t="s">
        <v>34</v>
      </c>
      <c r="E57" s="3">
        <v>6847</v>
      </c>
      <c r="F57" s="2">
        <v>7.01</v>
      </c>
      <c r="G57" s="4">
        <f>+E57*F57/100</f>
        <v>479.97469999999998</v>
      </c>
      <c r="H57" s="4">
        <f>+I57-G57</f>
        <v>273.88</v>
      </c>
      <c r="I57" s="6">
        <f>+E57*J57/100</f>
        <v>753.85469999999998</v>
      </c>
      <c r="J57" s="5">
        <v>11.01</v>
      </c>
    </row>
    <row r="58" spans="1:11" x14ac:dyDescent="0.25">
      <c r="A58" s="1" t="s">
        <v>104</v>
      </c>
      <c r="B58" s="1" t="s">
        <v>37</v>
      </c>
      <c r="C58" s="1" t="s">
        <v>162</v>
      </c>
      <c r="D58" s="1" t="s">
        <v>35</v>
      </c>
      <c r="E58" s="3">
        <v>513</v>
      </c>
      <c r="F58" s="2">
        <v>9.42</v>
      </c>
      <c r="G58" s="4">
        <f>+E58*F58/100</f>
        <v>48.324600000000004</v>
      </c>
      <c r="H58" s="4">
        <f>+I58-G58</f>
        <v>25.701300000000003</v>
      </c>
      <c r="I58" s="6">
        <f>+E58*J58/100</f>
        <v>74.025900000000007</v>
      </c>
      <c r="J58" s="5">
        <v>14.43</v>
      </c>
    </row>
    <row r="60" spans="1:11" x14ac:dyDescent="0.25">
      <c r="A60" s="1" t="s">
        <v>52</v>
      </c>
      <c r="E60" s="3">
        <f>SUM(E56:E59)</f>
        <v>7360</v>
      </c>
      <c r="F60" s="2">
        <f>+G60/E60*100</f>
        <v>8.8491752717391314</v>
      </c>
      <c r="G60" s="4">
        <f>SUM(G56:G58)</f>
        <v>651.29930000000002</v>
      </c>
      <c r="H60" s="4">
        <f>+I60-G60</f>
        <v>299.58129999999994</v>
      </c>
      <c r="I60" s="6">
        <f>SUM(I56:I59)</f>
        <v>950.88059999999996</v>
      </c>
      <c r="K60" s="7">
        <f>+H60/G60</f>
        <v>0.45997485334315563</v>
      </c>
    </row>
    <row r="63" spans="1:11" x14ac:dyDescent="0.25">
      <c r="A63" s="1" t="s">
        <v>104</v>
      </c>
      <c r="B63" s="1" t="s">
        <v>38</v>
      </c>
      <c r="C63" s="1" t="s">
        <v>162</v>
      </c>
      <c r="D63" s="1" t="s">
        <v>22</v>
      </c>
      <c r="E63" s="3">
        <v>0</v>
      </c>
      <c r="F63" s="2">
        <v>0</v>
      </c>
      <c r="G63" s="4">
        <v>46.8</v>
      </c>
      <c r="H63" s="4">
        <f>+I63-G63</f>
        <v>0</v>
      </c>
      <c r="I63" s="6">
        <v>46.8</v>
      </c>
      <c r="J63" s="5">
        <v>0</v>
      </c>
    </row>
    <row r="64" spans="1:11" x14ac:dyDescent="0.25">
      <c r="A64" s="1" t="s">
        <v>104</v>
      </c>
      <c r="B64" s="1" t="s">
        <v>38</v>
      </c>
      <c r="C64" s="1" t="s">
        <v>162</v>
      </c>
      <c r="D64" s="1" t="s">
        <v>34</v>
      </c>
      <c r="E64" s="3">
        <v>7618</v>
      </c>
      <c r="F64" s="2">
        <v>5.0599999999999996</v>
      </c>
      <c r="G64" s="4">
        <f>+E64*F64/100</f>
        <v>385.47079999999994</v>
      </c>
      <c r="H64" s="4">
        <f>+I64-G64</f>
        <v>303.19639999999993</v>
      </c>
      <c r="I64" s="6">
        <f>+E64*J64/100</f>
        <v>688.66719999999987</v>
      </c>
      <c r="J64" s="5">
        <v>9.0399999999999991</v>
      </c>
    </row>
    <row r="65" spans="1:11" x14ac:dyDescent="0.25">
      <c r="A65" s="1" t="s">
        <v>104</v>
      </c>
      <c r="B65" s="1" t="s">
        <v>38</v>
      </c>
      <c r="C65" s="1" t="s">
        <v>162</v>
      </c>
      <c r="D65" s="1" t="s">
        <v>35</v>
      </c>
      <c r="E65" s="3">
        <v>425</v>
      </c>
      <c r="F65" s="2">
        <v>7.4</v>
      </c>
      <c r="G65" s="4">
        <f>+E65*F65/100</f>
        <v>31.45</v>
      </c>
      <c r="H65" s="4">
        <f>+I65-G65</f>
        <v>23.12</v>
      </c>
      <c r="I65" s="6">
        <f>+E65*J65/100</f>
        <v>54.57</v>
      </c>
      <c r="J65" s="5">
        <v>12.84</v>
      </c>
    </row>
    <row r="67" spans="1:11" x14ac:dyDescent="0.25">
      <c r="A67" s="1" t="s">
        <v>138</v>
      </c>
      <c r="E67" s="3">
        <f>SUM(E63:E66)</f>
        <v>8043</v>
      </c>
      <c r="F67" s="2">
        <f>+G67/E67*100</f>
        <v>5.7655203282357324</v>
      </c>
      <c r="G67" s="4">
        <f>SUM(G63:G65)</f>
        <v>463.72079999999994</v>
      </c>
      <c r="H67" s="4">
        <f>+I67-G67</f>
        <v>326.31639999999993</v>
      </c>
      <c r="I67" s="6">
        <f>SUM(I63:I66)</f>
        <v>790.03719999999987</v>
      </c>
      <c r="K67" s="7">
        <f>+H67/G67</f>
        <v>0.70369153162851439</v>
      </c>
    </row>
    <row r="70" spans="1:11" x14ac:dyDescent="0.25">
      <c r="A70" s="1" t="s">
        <v>39</v>
      </c>
      <c r="B70" s="1" t="s">
        <v>40</v>
      </c>
      <c r="D70" s="1" t="s">
        <v>22</v>
      </c>
      <c r="E70" s="3">
        <v>0</v>
      </c>
      <c r="F70" s="2">
        <v>0</v>
      </c>
      <c r="G70" s="4">
        <v>30.6</v>
      </c>
      <c r="H70" s="4">
        <f>+I70-G70</f>
        <v>0</v>
      </c>
      <c r="I70" s="6">
        <v>30.6</v>
      </c>
      <c r="J70" s="5">
        <v>0</v>
      </c>
    </row>
    <row r="71" spans="1:11" x14ac:dyDescent="0.25">
      <c r="A71" s="1" t="s">
        <v>39</v>
      </c>
      <c r="B71" s="1" t="s">
        <v>40</v>
      </c>
      <c r="D71" s="1" t="s">
        <v>23</v>
      </c>
      <c r="E71" s="3">
        <v>176</v>
      </c>
      <c r="F71" s="2">
        <v>9.17</v>
      </c>
      <c r="G71" s="4">
        <f>+E71*F71/100</f>
        <v>16.139200000000002</v>
      </c>
      <c r="H71" s="4">
        <f t="shared" ref="H71:H76" si="4">+I71-G71</f>
        <v>6.3711999999999982</v>
      </c>
      <c r="I71" s="6">
        <f>+E71*J71/100</f>
        <v>22.510400000000001</v>
      </c>
      <c r="J71" s="5">
        <v>12.79</v>
      </c>
    </row>
    <row r="72" spans="1:11" x14ac:dyDescent="0.25">
      <c r="A72" s="1" t="s">
        <v>39</v>
      </c>
      <c r="B72" s="1" t="s">
        <v>40</v>
      </c>
      <c r="D72" s="1" t="s">
        <v>24</v>
      </c>
      <c r="E72" s="3">
        <v>144</v>
      </c>
      <c r="F72" s="2">
        <v>9.17</v>
      </c>
      <c r="G72" s="4">
        <f>+E72*F72/100</f>
        <v>13.204800000000001</v>
      </c>
      <c r="H72" s="4">
        <f t="shared" si="4"/>
        <v>5.2127999999999961</v>
      </c>
      <c r="I72" s="6">
        <f>+E72*J72/100</f>
        <v>18.417599999999997</v>
      </c>
      <c r="J72" s="5">
        <v>12.79</v>
      </c>
    </row>
    <row r="73" spans="1:11" x14ac:dyDescent="0.25">
      <c r="A73" s="1" t="s">
        <v>39</v>
      </c>
      <c r="B73" s="1" t="s">
        <v>40</v>
      </c>
      <c r="D73" s="1" t="s">
        <v>25</v>
      </c>
      <c r="E73" s="3">
        <v>177</v>
      </c>
      <c r="F73" s="2">
        <v>9.17</v>
      </c>
      <c r="G73" s="4">
        <f>+E73*F73/100</f>
        <v>16.230899999999998</v>
      </c>
      <c r="H73" s="4">
        <f t="shared" si="4"/>
        <v>6.4074000000000026</v>
      </c>
      <c r="I73" s="6">
        <f>+E73*J73/100</f>
        <v>22.638300000000001</v>
      </c>
      <c r="J73" s="5">
        <v>12.79</v>
      </c>
    </row>
    <row r="74" spans="1:11" x14ac:dyDescent="0.25">
      <c r="A74" s="1" t="s">
        <v>39</v>
      </c>
      <c r="B74" s="1" t="s">
        <v>40</v>
      </c>
      <c r="D74" s="1" t="s">
        <v>26</v>
      </c>
      <c r="E74" s="3">
        <v>145</v>
      </c>
      <c r="F74" s="2">
        <v>9.17</v>
      </c>
      <c r="G74" s="4">
        <f>+E74*F74/100</f>
        <v>13.296500000000002</v>
      </c>
      <c r="H74" s="4">
        <f t="shared" si="4"/>
        <v>5.2489999999999988</v>
      </c>
      <c r="I74" s="6">
        <f>+E74*J74/100</f>
        <v>18.545500000000001</v>
      </c>
      <c r="J74" s="5">
        <v>12.79</v>
      </c>
    </row>
    <row r="76" spans="1:11" x14ac:dyDescent="0.25">
      <c r="A76" s="1" t="s">
        <v>53</v>
      </c>
      <c r="E76" s="3">
        <f>SUM(E70:E75)</f>
        <v>642</v>
      </c>
      <c r="F76" s="2">
        <f>+G76/E76*100</f>
        <v>13.936355140186919</v>
      </c>
      <c r="G76" s="4">
        <f>SUM(G70:G74)</f>
        <v>89.471400000000017</v>
      </c>
      <c r="H76" s="4">
        <f t="shared" si="4"/>
        <v>23.24039999999998</v>
      </c>
      <c r="I76" s="6">
        <f>SUM(I70:I75)</f>
        <v>112.7118</v>
      </c>
      <c r="K76" s="7">
        <f>+H76/G76</f>
        <v>0.2597522783816949</v>
      </c>
    </row>
    <row r="79" spans="1:11" x14ac:dyDescent="0.25">
      <c r="A79" s="1" t="s">
        <v>39</v>
      </c>
      <c r="B79" s="1" t="s">
        <v>41</v>
      </c>
      <c r="D79" s="1" t="s">
        <v>22</v>
      </c>
      <c r="E79" s="3">
        <v>0</v>
      </c>
      <c r="F79" s="2">
        <v>0</v>
      </c>
      <c r="G79" s="4">
        <v>12.7</v>
      </c>
      <c r="H79" s="4">
        <f>+I79-G79</f>
        <v>0</v>
      </c>
      <c r="I79" s="6">
        <v>12.7</v>
      </c>
      <c r="J79" s="5">
        <v>0</v>
      </c>
    </row>
    <row r="80" spans="1:11" x14ac:dyDescent="0.25">
      <c r="A80" s="1" t="s">
        <v>39</v>
      </c>
      <c r="B80" s="1" t="s">
        <v>41</v>
      </c>
      <c r="D80" s="1" t="s">
        <v>29</v>
      </c>
      <c r="E80" s="3">
        <v>171</v>
      </c>
      <c r="F80" s="2">
        <v>8.1199999999999992</v>
      </c>
      <c r="G80" s="4">
        <f>+E80*F80/100</f>
        <v>13.885199999999998</v>
      </c>
      <c r="H80" s="4">
        <f t="shared" ref="H80:H85" si="5">+I80-G80</f>
        <v>5.4036000000000008</v>
      </c>
      <c r="I80" s="6">
        <f>+E80*J80/100</f>
        <v>19.288799999999998</v>
      </c>
      <c r="J80" s="5">
        <v>11.28</v>
      </c>
    </row>
    <row r="81" spans="1:11" x14ac:dyDescent="0.25">
      <c r="A81" s="1" t="s">
        <v>39</v>
      </c>
      <c r="B81" s="1" t="s">
        <v>41</v>
      </c>
      <c r="D81" s="1" t="s">
        <v>30</v>
      </c>
      <c r="E81" s="3">
        <v>114</v>
      </c>
      <c r="F81" s="2">
        <v>5.09</v>
      </c>
      <c r="G81" s="4">
        <f>+E81*F81/100</f>
        <v>5.8026</v>
      </c>
      <c r="H81" s="4">
        <f t="shared" si="5"/>
        <v>9.724199999999998</v>
      </c>
      <c r="I81" s="6">
        <f>+E81*J81/100</f>
        <v>15.526799999999998</v>
      </c>
      <c r="J81" s="5">
        <v>13.62</v>
      </c>
    </row>
    <row r="82" spans="1:11" x14ac:dyDescent="0.25">
      <c r="A82" s="1" t="s">
        <v>39</v>
      </c>
      <c r="B82" s="1" t="s">
        <v>41</v>
      </c>
      <c r="D82" s="1" t="s">
        <v>31</v>
      </c>
      <c r="E82" s="3">
        <v>257</v>
      </c>
      <c r="F82" s="2">
        <v>8.1199999999999992</v>
      </c>
      <c r="G82" s="4">
        <f>+E82*F82/100</f>
        <v>20.868399999999998</v>
      </c>
      <c r="H82" s="4">
        <f t="shared" si="5"/>
        <v>4.1633999999999993</v>
      </c>
      <c r="I82" s="6">
        <f>+E82*J82/100</f>
        <v>25.031799999999997</v>
      </c>
      <c r="J82" s="5">
        <v>9.74</v>
      </c>
    </row>
    <row r="83" spans="1:11" x14ac:dyDescent="0.25">
      <c r="A83" s="1" t="s">
        <v>39</v>
      </c>
      <c r="B83" s="1" t="s">
        <v>41</v>
      </c>
      <c r="D83" s="1" t="s">
        <v>32</v>
      </c>
      <c r="E83" s="3">
        <v>129</v>
      </c>
      <c r="F83" s="2">
        <v>5.09</v>
      </c>
      <c r="G83" s="4">
        <f>+E83*F83/100</f>
        <v>6.5661000000000005</v>
      </c>
      <c r="H83" s="4">
        <f t="shared" si="5"/>
        <v>4.9793999999999983</v>
      </c>
      <c r="I83" s="6">
        <f>+E83*J83/100</f>
        <v>11.545499999999999</v>
      </c>
      <c r="J83" s="5">
        <v>8.9499999999999993</v>
      </c>
    </row>
    <row r="85" spans="1:11" x14ac:dyDescent="0.25">
      <c r="A85" s="1" t="s">
        <v>54</v>
      </c>
      <c r="E85" s="3">
        <f>SUM(E79:E84)</f>
        <v>671</v>
      </c>
      <c r="F85" s="2">
        <f>+G85/E85*100</f>
        <v>8.9153949329359143</v>
      </c>
      <c r="G85" s="4">
        <f>SUM(G79:G83)</f>
        <v>59.822299999999991</v>
      </c>
      <c r="H85" s="4">
        <f t="shared" si="5"/>
        <v>24.270599999999995</v>
      </c>
      <c r="I85" s="6">
        <f>SUM(I79:I84)</f>
        <v>84.092899999999986</v>
      </c>
      <c r="K85" s="7">
        <f>+H85/G85</f>
        <v>0.40571158247008221</v>
      </c>
    </row>
    <row r="88" spans="1:11" x14ac:dyDescent="0.25">
      <c r="A88" s="1" t="s">
        <v>39</v>
      </c>
      <c r="B88" s="1" t="s">
        <v>42</v>
      </c>
      <c r="D88" s="1" t="s">
        <v>22</v>
      </c>
      <c r="E88" s="3">
        <v>0</v>
      </c>
      <c r="F88" s="2">
        <v>0</v>
      </c>
      <c r="G88" s="4">
        <v>21.9</v>
      </c>
      <c r="H88" s="4">
        <f>+I88-G88</f>
        <v>0</v>
      </c>
      <c r="I88" s="6">
        <v>21.9</v>
      </c>
      <c r="J88" s="5">
        <v>0</v>
      </c>
    </row>
    <row r="89" spans="1:11" x14ac:dyDescent="0.25">
      <c r="A89" s="1" t="s">
        <v>39</v>
      </c>
      <c r="B89" s="1" t="s">
        <v>42</v>
      </c>
      <c r="D89" s="1" t="s">
        <v>34</v>
      </c>
      <c r="E89" s="3">
        <v>941</v>
      </c>
      <c r="F89" s="2">
        <v>6.89</v>
      </c>
      <c r="G89" s="4">
        <f>+E89*F89/100</f>
        <v>64.834900000000005</v>
      </c>
      <c r="H89" s="4">
        <f>+I89-G89</f>
        <v>24.654199999999989</v>
      </c>
      <c r="I89" s="6">
        <f>+E89*J89/100</f>
        <v>89.489099999999993</v>
      </c>
      <c r="J89" s="5">
        <v>9.51</v>
      </c>
    </row>
    <row r="90" spans="1:11" x14ac:dyDescent="0.25">
      <c r="A90" s="1" t="s">
        <v>39</v>
      </c>
      <c r="B90" s="1" t="s">
        <v>42</v>
      </c>
      <c r="D90" s="1" t="s">
        <v>35</v>
      </c>
      <c r="E90" s="3">
        <v>111</v>
      </c>
      <c r="F90" s="2">
        <v>13.09</v>
      </c>
      <c r="G90" s="4">
        <f>+E90*F90/100</f>
        <v>14.5299</v>
      </c>
      <c r="H90" s="4">
        <f>+I90-G90</f>
        <v>2.9082000000000026</v>
      </c>
      <c r="I90" s="6">
        <f>+E90*J90/100</f>
        <v>17.438100000000002</v>
      </c>
      <c r="J90" s="5">
        <v>15.71</v>
      </c>
    </row>
    <row r="92" spans="1:11" x14ac:dyDescent="0.25">
      <c r="A92" s="1" t="s">
        <v>55</v>
      </c>
      <c r="E92" s="3">
        <f>SUM(E88:E91)</f>
        <v>1052</v>
      </c>
      <c r="F92" s="2">
        <f>+G92/E92*100</f>
        <v>9.6259315589353616</v>
      </c>
      <c r="G92" s="4">
        <f>SUM(G88:G90)</f>
        <v>101.26480000000001</v>
      </c>
      <c r="H92" s="4">
        <f>+I92-G92</f>
        <v>27.562399999999968</v>
      </c>
      <c r="I92" s="6">
        <f>SUM(I88:I91)</f>
        <v>128.82719999999998</v>
      </c>
      <c r="K92" s="7">
        <f>+H92/G92</f>
        <v>0.27218144903263491</v>
      </c>
    </row>
    <row r="95" spans="1:11" x14ac:dyDescent="0.25">
      <c r="A95" s="1" t="s">
        <v>39</v>
      </c>
      <c r="B95" s="1" t="s">
        <v>43</v>
      </c>
      <c r="D95" s="1" t="s">
        <v>22</v>
      </c>
      <c r="E95" s="3">
        <v>0</v>
      </c>
      <c r="F95" s="2">
        <v>0</v>
      </c>
      <c r="G95" s="4">
        <v>8.4</v>
      </c>
      <c r="H95" s="4">
        <f>+I95-G95</f>
        <v>0</v>
      </c>
      <c r="I95" s="6">
        <v>8.4</v>
      </c>
      <c r="J95" s="5">
        <v>0</v>
      </c>
    </row>
    <row r="96" spans="1:11" x14ac:dyDescent="0.25">
      <c r="A96" s="1" t="s">
        <v>39</v>
      </c>
      <c r="B96" s="1" t="s">
        <v>43</v>
      </c>
      <c r="D96" s="1" t="s">
        <v>34</v>
      </c>
      <c r="E96" s="3">
        <v>537</v>
      </c>
      <c r="F96" s="2">
        <v>7.02</v>
      </c>
      <c r="G96" s="4">
        <f>+E96*F96/100</f>
        <v>37.697399999999995</v>
      </c>
      <c r="H96" s="4">
        <f>+I96-G96</f>
        <v>19.439400000000006</v>
      </c>
      <c r="I96" s="6">
        <f>+E96*J96/100</f>
        <v>57.136800000000001</v>
      </c>
      <c r="J96" s="5">
        <v>10.64</v>
      </c>
    </row>
    <row r="97" spans="1:11" x14ac:dyDescent="0.25">
      <c r="A97" s="1" t="s">
        <v>39</v>
      </c>
      <c r="B97" s="1" t="s">
        <v>43</v>
      </c>
      <c r="D97" s="1" t="s">
        <v>35</v>
      </c>
      <c r="E97" s="3">
        <v>44</v>
      </c>
      <c r="F97" s="2">
        <v>7.95</v>
      </c>
      <c r="G97" s="4">
        <f>+E97*F97/100</f>
        <v>3.4980000000000002</v>
      </c>
      <c r="H97" s="4">
        <f>+I97-G97</f>
        <v>9.1828000000000003</v>
      </c>
      <c r="I97" s="6">
        <f>+E97*J97/100</f>
        <v>12.6808</v>
      </c>
      <c r="J97" s="5">
        <v>28.82</v>
      </c>
    </row>
    <row r="99" spans="1:11" x14ac:dyDescent="0.25">
      <c r="A99" s="1" t="s">
        <v>56</v>
      </c>
      <c r="E99" s="3">
        <f>SUM(E95:E98)</f>
        <v>581</v>
      </c>
      <c r="F99" s="2">
        <f>+G99/E99*100</f>
        <v>8.5362134251290858</v>
      </c>
      <c r="G99" s="4">
        <f>SUM(G95:G97)</f>
        <v>49.595399999999991</v>
      </c>
      <c r="H99" s="4">
        <f>+I99-G99</f>
        <v>28.622200000000014</v>
      </c>
      <c r="I99" s="6">
        <f>SUM(I95:I98)</f>
        <v>78.217600000000004</v>
      </c>
      <c r="K99" s="7">
        <f>+H99/G99</f>
        <v>0.57711400654092959</v>
      </c>
    </row>
    <row r="102" spans="1:11" x14ac:dyDescent="0.25">
      <c r="A102" s="1" t="s">
        <v>44</v>
      </c>
      <c r="B102" s="1" t="s">
        <v>46</v>
      </c>
      <c r="D102" s="1" t="s">
        <v>22</v>
      </c>
      <c r="E102" s="3">
        <v>0</v>
      </c>
      <c r="F102" s="2">
        <v>0</v>
      </c>
      <c r="G102" s="4">
        <v>2.6</v>
      </c>
      <c r="H102" s="4">
        <f>+I102-G102</f>
        <v>0</v>
      </c>
      <c r="I102" s="6">
        <v>2.6</v>
      </c>
      <c r="J102" s="5">
        <v>0</v>
      </c>
    </row>
    <row r="103" spans="1:11" x14ac:dyDescent="0.25">
      <c r="A103" s="1" t="s">
        <v>44</v>
      </c>
      <c r="B103" s="1" t="s">
        <v>46</v>
      </c>
      <c r="D103" s="1" t="s">
        <v>23</v>
      </c>
      <c r="E103" s="3">
        <v>34</v>
      </c>
      <c r="F103" s="2">
        <v>6.49</v>
      </c>
      <c r="G103" s="4">
        <f>+E103*F103/100</f>
        <v>2.2065999999999999</v>
      </c>
      <c r="H103" s="4">
        <f t="shared" ref="H103:H108" si="6">+I103-G103</f>
        <v>1.3735999999999997</v>
      </c>
      <c r="I103" s="6">
        <f>+E103*J103/100</f>
        <v>3.5801999999999996</v>
      </c>
      <c r="J103" s="5">
        <v>10.53</v>
      </c>
    </row>
    <row r="104" spans="1:11" x14ac:dyDescent="0.25">
      <c r="A104" s="1" t="s">
        <v>44</v>
      </c>
      <c r="B104" s="1" t="s">
        <v>46</v>
      </c>
      <c r="D104" s="1" t="s">
        <v>24</v>
      </c>
      <c r="E104" s="3">
        <v>28</v>
      </c>
      <c r="F104" s="2">
        <v>6.49</v>
      </c>
      <c r="G104" s="4">
        <f>+E104*F104/100</f>
        <v>1.8171999999999999</v>
      </c>
      <c r="H104" s="4">
        <f t="shared" si="6"/>
        <v>1.1312</v>
      </c>
      <c r="I104" s="6">
        <f>+E104*J104/100</f>
        <v>2.9483999999999999</v>
      </c>
      <c r="J104" s="5">
        <v>10.53</v>
      </c>
    </row>
    <row r="105" spans="1:11" x14ac:dyDescent="0.25">
      <c r="A105" s="1" t="s">
        <v>44</v>
      </c>
      <c r="B105" s="1" t="s">
        <v>46</v>
      </c>
      <c r="D105" s="1" t="s">
        <v>25</v>
      </c>
      <c r="E105" s="3">
        <v>68</v>
      </c>
      <c r="F105" s="2">
        <v>6.49</v>
      </c>
      <c r="G105" s="4">
        <f>+E105*F105/100</f>
        <v>4.4131999999999998</v>
      </c>
      <c r="H105" s="4">
        <f t="shared" si="6"/>
        <v>2.7471999999999994</v>
      </c>
      <c r="I105" s="6">
        <f>+E105*J105/100</f>
        <v>7.1603999999999992</v>
      </c>
      <c r="J105" s="5">
        <v>10.53</v>
      </c>
    </row>
    <row r="106" spans="1:11" x14ac:dyDescent="0.25">
      <c r="A106" s="1" t="s">
        <v>44</v>
      </c>
      <c r="B106" s="1" t="s">
        <v>46</v>
      </c>
      <c r="D106" s="1" t="s">
        <v>26</v>
      </c>
      <c r="E106" s="3">
        <v>56</v>
      </c>
      <c r="F106" s="2">
        <v>6.49</v>
      </c>
      <c r="G106" s="4">
        <f>+E106*F106/100</f>
        <v>3.6343999999999999</v>
      </c>
      <c r="H106" s="4">
        <f t="shared" si="6"/>
        <v>2.2624</v>
      </c>
      <c r="I106" s="6">
        <f>+E106*J106/100</f>
        <v>5.8967999999999998</v>
      </c>
      <c r="J106" s="5">
        <v>10.53</v>
      </c>
    </row>
    <row r="108" spans="1:11" x14ac:dyDescent="0.25">
      <c r="A108" s="1" t="s">
        <v>57</v>
      </c>
      <c r="E108" s="3">
        <f>SUM(E102:E107)</f>
        <v>186</v>
      </c>
      <c r="F108" s="2">
        <f>+G108/E108*100</f>
        <v>7.8878494623655913</v>
      </c>
      <c r="G108" s="4">
        <f>SUM(G102:G106)</f>
        <v>14.671399999999998</v>
      </c>
      <c r="H108" s="4">
        <f t="shared" si="6"/>
        <v>7.5143999999999984</v>
      </c>
      <c r="I108" s="6">
        <f>SUM(I102:I107)</f>
        <v>22.185799999999997</v>
      </c>
      <c r="K108" s="7">
        <f>+H108/G108</f>
        <v>0.51218016003926004</v>
      </c>
    </row>
    <row r="111" spans="1:11" x14ac:dyDescent="0.25">
      <c r="A111" s="1" t="s">
        <v>45</v>
      </c>
      <c r="D111" s="1" t="s">
        <v>22</v>
      </c>
      <c r="E111" s="3">
        <v>0</v>
      </c>
      <c r="F111" s="2">
        <v>0</v>
      </c>
      <c r="G111" s="4">
        <v>5.9</v>
      </c>
      <c r="H111" s="4">
        <f>+I111-G111</f>
        <v>0</v>
      </c>
      <c r="I111" s="6">
        <v>5.9</v>
      </c>
      <c r="J111" s="5">
        <v>0</v>
      </c>
    </row>
    <row r="112" spans="1:11" x14ac:dyDescent="0.25">
      <c r="A112" s="1" t="s">
        <v>45</v>
      </c>
      <c r="D112" s="1" t="s">
        <v>23</v>
      </c>
      <c r="E112" s="3">
        <v>89</v>
      </c>
      <c r="F112" s="2">
        <v>5.04</v>
      </c>
      <c r="G112" s="4">
        <f>+E112*F112/100</f>
        <v>4.4855999999999998</v>
      </c>
      <c r="H112" s="4">
        <f t="shared" ref="H112:H117" si="7">+I112-G112</f>
        <v>4.1118000000000006</v>
      </c>
      <c r="I112" s="6">
        <f>+E112*J112/100</f>
        <v>8.5974000000000004</v>
      </c>
      <c r="J112" s="5">
        <v>9.66</v>
      </c>
    </row>
    <row r="113" spans="1:14" x14ac:dyDescent="0.25">
      <c r="A113" s="1" t="s">
        <v>45</v>
      </c>
      <c r="D113" s="1" t="s">
        <v>24</v>
      </c>
      <c r="E113" s="3">
        <v>72</v>
      </c>
      <c r="F113" s="2">
        <v>5.04</v>
      </c>
      <c r="G113" s="4">
        <f>+E113*F113/100</f>
        <v>3.6288</v>
      </c>
      <c r="H113" s="4">
        <f t="shared" si="7"/>
        <v>3.3263999999999996</v>
      </c>
      <c r="I113" s="6">
        <f>+E113*J113/100</f>
        <v>6.9551999999999996</v>
      </c>
      <c r="J113" s="5">
        <v>9.66</v>
      </c>
    </row>
    <row r="114" spans="1:14" x14ac:dyDescent="0.25">
      <c r="A114" s="1" t="s">
        <v>45</v>
      </c>
      <c r="D114" s="1" t="s">
        <v>25</v>
      </c>
      <c r="E114" s="3">
        <v>187</v>
      </c>
      <c r="F114" s="2">
        <v>5.04</v>
      </c>
      <c r="G114" s="4">
        <f>+E114*F114/100</f>
        <v>9.4247999999999994</v>
      </c>
      <c r="H114" s="4">
        <f t="shared" si="7"/>
        <v>8.6394000000000002</v>
      </c>
      <c r="I114" s="6">
        <f>+E114*J114/100</f>
        <v>18.0642</v>
      </c>
      <c r="J114" s="5">
        <v>9.66</v>
      </c>
    </row>
    <row r="115" spans="1:14" x14ac:dyDescent="0.25">
      <c r="A115" s="1" t="s">
        <v>45</v>
      </c>
      <c r="D115" s="1" t="s">
        <v>26</v>
      </c>
      <c r="E115" s="3">
        <v>153</v>
      </c>
      <c r="F115" s="2">
        <v>5.04</v>
      </c>
      <c r="G115" s="4">
        <f>+E115*F115/100</f>
        <v>7.7111999999999998</v>
      </c>
      <c r="H115" s="4">
        <f t="shared" si="7"/>
        <v>7.0686</v>
      </c>
      <c r="I115" s="6">
        <f>+E115*J115/100</f>
        <v>14.7798</v>
      </c>
      <c r="J115" s="5">
        <v>9.66</v>
      </c>
    </row>
    <row r="117" spans="1:14" x14ac:dyDescent="0.25">
      <c r="A117" s="1" t="s">
        <v>47</v>
      </c>
      <c r="E117" s="3">
        <f>SUM(E111:E116)</f>
        <v>501</v>
      </c>
      <c r="F117" s="2">
        <f>+G117/E117*100</f>
        <v>6.2176447105788419</v>
      </c>
      <c r="G117" s="4">
        <f>SUM(G111:G115)</f>
        <v>31.150399999999998</v>
      </c>
      <c r="H117" s="4">
        <f t="shared" si="7"/>
        <v>23.146200000000007</v>
      </c>
      <c r="I117" s="6">
        <f>SUM(I111:I116)</f>
        <v>54.296600000000005</v>
      </c>
    </row>
    <row r="120" spans="1:14" s="14" customFormat="1" x14ac:dyDescent="0.25">
      <c r="A120" s="9"/>
      <c r="B120" s="9"/>
      <c r="C120" s="9"/>
      <c r="D120" s="9" t="s">
        <v>47</v>
      </c>
      <c r="E120" s="10">
        <f>+E11+E20+E30+E39+E46+E53+E60+E67+E76+E85+E92+E99+E108+E117</f>
        <v>82902</v>
      </c>
      <c r="F120" s="11">
        <f>+G120/E120*100</f>
        <v>10.117921763045524</v>
      </c>
      <c r="G120" s="10">
        <f>+G11+G20+G30+G39+G46+G53+G60+G67+G76+G85+G92+G99+G108+G117</f>
        <v>8387.9595000000008</v>
      </c>
      <c r="H120" s="10">
        <f>+H11+H20+H30+H39+H46+H53+H60+H67+H76+H85+H92+H99+H108+H117</f>
        <v>2866.6338000000001</v>
      </c>
      <c r="I120" s="10">
        <f>+I11+I20+I30+I39+I46+I53+I60+I67+I76+I85+I92+I99+I108+I117</f>
        <v>11254.593299999999</v>
      </c>
      <c r="J120" s="12"/>
      <c r="K120" s="13">
        <f>+H120/G120</f>
        <v>0.34175579889244811</v>
      </c>
      <c r="L120" s="9"/>
      <c r="M120" s="9"/>
      <c r="N120" s="9"/>
    </row>
    <row r="123" spans="1:14" x14ac:dyDescent="0.25">
      <c r="E123" s="1" t="s">
        <v>7</v>
      </c>
      <c r="F123" s="2" t="s">
        <v>9</v>
      </c>
      <c r="G123" s="4" t="s">
        <v>9</v>
      </c>
      <c r="H123" s="4" t="s">
        <v>10</v>
      </c>
      <c r="I123" s="6" t="s">
        <v>15</v>
      </c>
      <c r="J123" s="5" t="s">
        <v>16</v>
      </c>
    </row>
    <row r="124" spans="1:14" x14ac:dyDescent="0.25">
      <c r="D124" s="1" t="s">
        <v>132</v>
      </c>
      <c r="E124" s="1" t="s">
        <v>8</v>
      </c>
      <c r="F124" s="2" t="s">
        <v>13</v>
      </c>
      <c r="G124" s="4" t="s">
        <v>12</v>
      </c>
      <c r="H124" s="4" t="s">
        <v>14</v>
      </c>
      <c r="I124" s="6" t="s">
        <v>10</v>
      </c>
      <c r="J124" s="5" t="s">
        <v>17</v>
      </c>
      <c r="K124" s="1" t="s">
        <v>93</v>
      </c>
    </row>
    <row r="126" spans="1:14" x14ac:dyDescent="0.25">
      <c r="D126" s="1" t="s">
        <v>0</v>
      </c>
      <c r="E126" s="3">
        <f>+E11+E20</f>
        <v>25149</v>
      </c>
      <c r="F126" s="2">
        <f t="shared" ref="F126:F132" si="8">+G126/E126*100</f>
        <v>12.382642252177027</v>
      </c>
      <c r="G126" s="3">
        <f>+G11+G20</f>
        <v>3114.1107000000002</v>
      </c>
      <c r="H126" s="3">
        <f>+H11+H20</f>
        <v>659.72170000000062</v>
      </c>
      <c r="I126" s="3">
        <f>+I11+I20</f>
        <v>3773.8324000000007</v>
      </c>
      <c r="J126" s="5">
        <f>I126/E126*100</f>
        <v>15.005894468964973</v>
      </c>
      <c r="K126" s="7">
        <f>(J126-F126)/F126</f>
        <v>0.21184914845833855</v>
      </c>
    </row>
    <row r="127" spans="1:14" x14ac:dyDescent="0.25">
      <c r="D127" s="1" t="s">
        <v>136</v>
      </c>
      <c r="E127" s="3">
        <f>+E30+E39+E46</f>
        <v>30134</v>
      </c>
      <c r="F127" s="2">
        <f t="shared" si="8"/>
        <v>9.8604934625340146</v>
      </c>
      <c r="G127" s="3">
        <f>+G30+G39+G46</f>
        <v>2971.3611000000001</v>
      </c>
      <c r="H127" s="3">
        <f>+H30+H39+H46</f>
        <v>1096.3982000000003</v>
      </c>
      <c r="I127" s="3">
        <f>+I30+I39+I46</f>
        <v>4067.7593000000002</v>
      </c>
      <c r="J127" s="5">
        <f>I127/E127*100</f>
        <v>13.498902568527246</v>
      </c>
      <c r="K127" s="7">
        <f>(J127-F127)/F127</f>
        <v>0.36898854198501835</v>
      </c>
    </row>
    <row r="128" spans="1:14" x14ac:dyDescent="0.25">
      <c r="D128" s="1" t="s">
        <v>82</v>
      </c>
      <c r="E128" s="3">
        <f>+E76+E85+E92+E99</f>
        <v>2946</v>
      </c>
      <c r="F128" s="2">
        <f t="shared" si="8"/>
        <v>10.188523421588595</v>
      </c>
      <c r="G128" s="3">
        <f>+G76+G85+G92+G99</f>
        <v>300.15390000000002</v>
      </c>
      <c r="H128" s="3">
        <f>+H76+H85+H92+H99</f>
        <v>103.69559999999996</v>
      </c>
      <c r="I128" s="3">
        <f>+I76+I85+I92+I99</f>
        <v>403.84949999999998</v>
      </c>
      <c r="J128" s="5">
        <f>I128/E128*100</f>
        <v>13.708401221995924</v>
      </c>
      <c r="K128" s="7">
        <f>(J128-F128)/F128</f>
        <v>0.34547477144224981</v>
      </c>
    </row>
    <row r="129" spans="4:11" x14ac:dyDescent="0.25">
      <c r="D129" s="1" t="s">
        <v>137</v>
      </c>
      <c r="E129" s="3">
        <f>+E108+E117</f>
        <v>687</v>
      </c>
      <c r="F129" s="2">
        <f t="shared" si="8"/>
        <v>6.6698398835516732</v>
      </c>
      <c r="G129" s="3">
        <f>+G108+G117</f>
        <v>45.821799999999996</v>
      </c>
      <c r="H129" s="3">
        <f>+H108+H117</f>
        <v>30.660600000000006</v>
      </c>
      <c r="I129" s="3">
        <f>+I108+I117</f>
        <v>76.482399999999998</v>
      </c>
      <c r="J129" s="5">
        <f>I129/E129*100</f>
        <v>11.132809315866083</v>
      </c>
      <c r="K129" s="7">
        <f>(J129-F129)/F129</f>
        <v>0.66912692212003899</v>
      </c>
    </row>
    <row r="130" spans="4:11" x14ac:dyDescent="0.25">
      <c r="D130" s="1" t="s">
        <v>104</v>
      </c>
      <c r="E130" s="3">
        <f>+E53+E60+E67</f>
        <v>23986</v>
      </c>
      <c r="F130" s="2">
        <f t="shared" si="8"/>
        <v>8.1568915200533656</v>
      </c>
      <c r="G130" s="3">
        <f>+G53+G60+G67</f>
        <v>1956.5120000000002</v>
      </c>
      <c r="H130" s="3">
        <f>+H53+H60+H67</f>
        <v>976.15769999999986</v>
      </c>
      <c r="I130" s="3">
        <f>+I53+I60+I67</f>
        <v>2932.6696999999995</v>
      </c>
      <c r="J130" s="5">
        <f>I130/E130*100</f>
        <v>12.226589260401898</v>
      </c>
      <c r="K130" s="7">
        <f>(J130-F130)/F130</f>
        <v>0.49892753021703873</v>
      </c>
    </row>
    <row r="131" spans="4:11" x14ac:dyDescent="0.25">
      <c r="G131" s="3"/>
      <c r="H131" s="3"/>
      <c r="I131" s="3"/>
      <c r="K131" s="7"/>
    </row>
    <row r="132" spans="4:11" x14ac:dyDescent="0.25">
      <c r="D132" s="1" t="s">
        <v>47</v>
      </c>
      <c r="E132" s="3">
        <f>SUM(E126:E131)</f>
        <v>82902</v>
      </c>
      <c r="F132" s="2">
        <f t="shared" si="8"/>
        <v>10.117921763045524</v>
      </c>
      <c r="G132" s="3">
        <f>SUM(G126:G131)</f>
        <v>8387.9595000000008</v>
      </c>
      <c r="H132" s="3">
        <f>SUM(H126:H131)</f>
        <v>2866.633800000001</v>
      </c>
      <c r="I132" s="3">
        <f>SUM(I126:I131)</f>
        <v>11254.5933</v>
      </c>
      <c r="J132" s="5">
        <f>I132/E132*100</f>
        <v>13.575780198306434</v>
      </c>
      <c r="K132" s="7">
        <f>(J132-F132)/F132</f>
        <v>0.34175579889244806</v>
      </c>
    </row>
    <row r="133" spans="4:11" x14ac:dyDescent="0.25">
      <c r="K133" s="7"/>
    </row>
    <row r="134" spans="4:11" x14ac:dyDescent="0.25">
      <c r="K134" s="7"/>
    </row>
  </sheetData>
  <pageMargins left="0.75" right="0.75" top="1" bottom="1" header="0.5" footer="0.5"/>
  <pageSetup scale="57" fitToHeight="2" orientation="landscape" horizontalDpi="0" verticalDpi="196" copies="0" r:id="rId1"/>
  <headerFooter alignWithMargins="0">
    <oddFooter>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Q102"/>
  <sheetViews>
    <sheetView zoomScale="80" workbookViewId="0">
      <selection activeCell="C15" sqref="C15"/>
    </sheetView>
  </sheetViews>
  <sheetFormatPr defaultRowHeight="13.2" x14ac:dyDescent="0.25"/>
  <cols>
    <col min="1" max="1" width="26.44140625" style="1" customWidth="1"/>
    <col min="2" max="2" width="36" style="1" customWidth="1"/>
    <col min="3" max="3" width="60.6640625" style="1" customWidth="1"/>
    <col min="4" max="4" width="34.88671875" style="1" customWidth="1"/>
    <col min="5" max="5" width="12.88671875" style="3" bestFit="1" customWidth="1"/>
    <col min="6" max="6" width="12.33203125" style="2" bestFit="1" customWidth="1"/>
    <col min="7" max="8" width="14" style="4" bestFit="1" customWidth="1"/>
    <col min="9" max="9" width="10.88671875" style="4" bestFit="1" customWidth="1"/>
    <col min="10" max="10" width="12.33203125" style="2" bestFit="1" customWidth="1"/>
    <col min="11" max="11" width="10.33203125" style="7" bestFit="1" customWidth="1"/>
    <col min="12" max="17" width="9.109375" style="1" customWidth="1"/>
  </cols>
  <sheetData>
    <row r="3" spans="1:11" x14ac:dyDescent="0.25">
      <c r="E3" s="3" t="s">
        <v>7</v>
      </c>
      <c r="F3" s="2" t="s">
        <v>9</v>
      </c>
      <c r="G3" s="4" t="s">
        <v>9</v>
      </c>
      <c r="H3" s="4" t="s">
        <v>10</v>
      </c>
      <c r="I3" s="4" t="s">
        <v>15</v>
      </c>
      <c r="J3" s="2" t="s">
        <v>16</v>
      </c>
    </row>
    <row r="4" spans="1:11" x14ac:dyDescent="0.25">
      <c r="A4" s="1" t="s">
        <v>134</v>
      </c>
      <c r="B4" s="1" t="s">
        <v>133</v>
      </c>
      <c r="C4" s="1" t="s">
        <v>145</v>
      </c>
      <c r="D4" s="1" t="s">
        <v>132</v>
      </c>
      <c r="E4" s="3" t="s">
        <v>8</v>
      </c>
      <c r="F4" s="2" t="s">
        <v>13</v>
      </c>
      <c r="G4" s="4" t="s">
        <v>12</v>
      </c>
      <c r="H4" s="4" t="s">
        <v>14</v>
      </c>
      <c r="I4" s="4" t="s">
        <v>10</v>
      </c>
      <c r="J4" s="2" t="s">
        <v>17</v>
      </c>
      <c r="K4" s="7" t="s">
        <v>93</v>
      </c>
    </row>
    <row r="6" spans="1:11" x14ac:dyDescent="0.25">
      <c r="D6" s="1" t="s">
        <v>105</v>
      </c>
    </row>
    <row r="7" spans="1:11" x14ac:dyDescent="0.25">
      <c r="A7" s="1" t="s">
        <v>0</v>
      </c>
      <c r="B7" s="1" t="s">
        <v>135</v>
      </c>
      <c r="D7" s="1" t="s">
        <v>58</v>
      </c>
      <c r="E7" s="3">
        <v>2916</v>
      </c>
      <c r="F7" s="2">
        <v>12.8</v>
      </c>
      <c r="G7" s="4">
        <v>374</v>
      </c>
      <c r="I7" s="4">
        <v>374</v>
      </c>
      <c r="J7" s="2">
        <v>12.8</v>
      </c>
    </row>
    <row r="8" spans="1:11" x14ac:dyDescent="0.25">
      <c r="A8" s="1" t="s">
        <v>0</v>
      </c>
      <c r="B8" s="1" t="s">
        <v>135</v>
      </c>
      <c r="D8" s="1" t="s">
        <v>59</v>
      </c>
      <c r="E8" s="3">
        <v>583</v>
      </c>
      <c r="F8" s="2">
        <v>14.9</v>
      </c>
      <c r="G8" s="4">
        <v>87.1</v>
      </c>
      <c r="I8" s="4">
        <v>87.1</v>
      </c>
      <c r="J8" s="2">
        <v>14.9</v>
      </c>
    </row>
    <row r="9" spans="1:11" x14ac:dyDescent="0.25">
      <c r="A9" s="1" t="s">
        <v>0</v>
      </c>
      <c r="B9" s="1" t="s">
        <v>135</v>
      </c>
      <c r="D9" s="1" t="s">
        <v>60</v>
      </c>
      <c r="E9" s="3">
        <v>1019</v>
      </c>
      <c r="F9" s="2">
        <v>14.9</v>
      </c>
      <c r="G9" s="4">
        <v>152.1</v>
      </c>
      <c r="H9" s="4">
        <v>39.200000000000003</v>
      </c>
      <c r="I9" s="4">
        <v>191.4</v>
      </c>
      <c r="J9" s="2">
        <v>18.8</v>
      </c>
    </row>
    <row r="10" spans="1:11" x14ac:dyDescent="0.25">
      <c r="A10" s="1" t="s">
        <v>0</v>
      </c>
      <c r="B10" s="1" t="s">
        <v>135</v>
      </c>
      <c r="D10" s="1" t="s">
        <v>61</v>
      </c>
      <c r="E10" s="3">
        <v>1284</v>
      </c>
      <c r="F10" s="2">
        <v>14.9</v>
      </c>
      <c r="G10" s="4">
        <v>191.6</v>
      </c>
      <c r="H10" s="4">
        <v>117.7</v>
      </c>
      <c r="I10" s="4">
        <v>309.2</v>
      </c>
      <c r="J10" s="2">
        <v>24.1</v>
      </c>
    </row>
    <row r="12" spans="1:11" x14ac:dyDescent="0.25">
      <c r="E12" s="3">
        <f>SUM(E7:E11)</f>
        <v>5802</v>
      </c>
      <c r="F12" s="2">
        <f>+G12/E12*100</f>
        <v>13.87107893829714</v>
      </c>
      <c r="G12" s="4">
        <f>SUM(G7:G11)</f>
        <v>804.80000000000007</v>
      </c>
      <c r="H12" s="4">
        <f>SUM(H7:H10)</f>
        <v>156.9</v>
      </c>
      <c r="I12" s="4">
        <f>SUM(I7:I10)</f>
        <v>961.7</v>
      </c>
      <c r="J12" s="2">
        <f>+I12/E12*100</f>
        <v>16.575318855567048</v>
      </c>
    </row>
    <row r="15" spans="1:11" x14ac:dyDescent="0.25">
      <c r="A15" s="1" t="s">
        <v>0</v>
      </c>
      <c r="B15" s="1" t="s">
        <v>129</v>
      </c>
      <c r="C15" s="1" t="s">
        <v>146</v>
      </c>
      <c r="D15" s="1" t="s">
        <v>106</v>
      </c>
      <c r="E15" s="3">
        <v>332</v>
      </c>
      <c r="F15" s="2">
        <v>10.9</v>
      </c>
      <c r="G15" s="4">
        <v>36.200000000000003</v>
      </c>
      <c r="I15" s="4">
        <v>36.200000000000003</v>
      </c>
      <c r="J15" s="2">
        <v>10.9</v>
      </c>
    </row>
    <row r="16" spans="1:11" x14ac:dyDescent="0.25">
      <c r="A16" s="1" t="s">
        <v>0</v>
      </c>
      <c r="B16" s="1" t="s">
        <v>129</v>
      </c>
      <c r="C16" s="1" t="s">
        <v>146</v>
      </c>
      <c r="D16" s="1" t="s">
        <v>59</v>
      </c>
      <c r="E16" s="3">
        <v>25</v>
      </c>
      <c r="F16" s="2">
        <v>12.7</v>
      </c>
      <c r="G16" s="4">
        <v>3.2</v>
      </c>
      <c r="I16" s="4">
        <v>3.2</v>
      </c>
      <c r="J16" s="2">
        <v>12.7</v>
      </c>
    </row>
    <row r="17" spans="1:11" x14ac:dyDescent="0.25">
      <c r="A17" s="1" t="s">
        <v>0</v>
      </c>
      <c r="B17" s="1" t="s">
        <v>129</v>
      </c>
      <c r="C17" s="1" t="s">
        <v>146</v>
      </c>
      <c r="D17" s="1" t="s">
        <v>60</v>
      </c>
      <c r="E17" s="3">
        <v>44</v>
      </c>
      <c r="F17" s="2">
        <v>12.7</v>
      </c>
      <c r="G17" s="4">
        <v>5.6</v>
      </c>
      <c r="I17" s="4">
        <v>5.6</v>
      </c>
      <c r="J17" s="2">
        <v>12.7</v>
      </c>
    </row>
    <row r="18" spans="1:11" x14ac:dyDescent="0.25">
      <c r="A18" s="1" t="s">
        <v>0</v>
      </c>
      <c r="B18" s="1" t="s">
        <v>129</v>
      </c>
      <c r="C18" s="1" t="s">
        <v>146</v>
      </c>
      <c r="D18" s="1" t="s">
        <v>61</v>
      </c>
      <c r="E18" s="3">
        <v>56</v>
      </c>
      <c r="F18" s="2">
        <v>12.7</v>
      </c>
      <c r="G18" s="4">
        <v>7.1</v>
      </c>
      <c r="H18" s="4">
        <v>1.9</v>
      </c>
      <c r="I18" s="4">
        <v>8.9</v>
      </c>
      <c r="J18" s="2">
        <v>16</v>
      </c>
    </row>
    <row r="19" spans="1:11" x14ac:dyDescent="0.25">
      <c r="A19" s="1" t="s">
        <v>0</v>
      </c>
    </row>
    <row r="20" spans="1:11" x14ac:dyDescent="0.25">
      <c r="A20" s="1" t="s">
        <v>0</v>
      </c>
      <c r="B20" s="1" t="s">
        <v>129</v>
      </c>
      <c r="D20" s="1" t="s">
        <v>130</v>
      </c>
      <c r="E20" s="3">
        <f>SUM(E15:E19)</f>
        <v>457</v>
      </c>
      <c r="F20" s="2">
        <f>+G20/E20*100</f>
        <v>11.40043763676149</v>
      </c>
      <c r="G20" s="4">
        <f>SUM(G15:G19)</f>
        <v>52.100000000000009</v>
      </c>
      <c r="H20" s="4">
        <f>SUM(H15:H18)</f>
        <v>1.9</v>
      </c>
      <c r="I20" s="4">
        <f>SUM(I15:I18)</f>
        <v>53.900000000000006</v>
      </c>
      <c r="J20" s="2">
        <f>+I20/E20*100</f>
        <v>11.794310722100658</v>
      </c>
      <c r="K20" s="7">
        <f>(J20-F20)/F20</f>
        <v>3.4548944337811839E-2</v>
      </c>
    </row>
    <row r="23" spans="1:11" x14ac:dyDescent="0.25">
      <c r="D23" s="1" t="s">
        <v>107</v>
      </c>
    </row>
    <row r="24" spans="1:11" x14ac:dyDescent="0.25">
      <c r="D24" s="1" t="s">
        <v>108</v>
      </c>
    </row>
    <row r="25" spans="1:11" x14ac:dyDescent="0.25">
      <c r="A25" s="1" t="s">
        <v>131</v>
      </c>
      <c r="D25" s="1" t="s">
        <v>22</v>
      </c>
      <c r="G25" s="4">
        <v>10.4</v>
      </c>
      <c r="I25" s="4">
        <v>10.4</v>
      </c>
    </row>
    <row r="26" spans="1:11" x14ac:dyDescent="0.25">
      <c r="A26" s="1" t="s">
        <v>131</v>
      </c>
      <c r="D26" s="1" t="s">
        <v>109</v>
      </c>
    </row>
    <row r="27" spans="1:11" x14ac:dyDescent="0.25">
      <c r="A27" s="1" t="s">
        <v>131</v>
      </c>
      <c r="B27" s="1" t="s">
        <v>144</v>
      </c>
      <c r="D27" s="1" t="s">
        <v>110</v>
      </c>
      <c r="E27" s="3">
        <v>1135</v>
      </c>
      <c r="F27" s="2">
        <v>13.6</v>
      </c>
      <c r="G27" s="4">
        <v>154.5</v>
      </c>
      <c r="H27" s="4">
        <v>18.600000000000001</v>
      </c>
      <c r="I27" s="4">
        <v>173.1</v>
      </c>
      <c r="J27" s="2">
        <v>15.3</v>
      </c>
    </row>
    <row r="28" spans="1:11" x14ac:dyDescent="0.25">
      <c r="A28" s="1" t="s">
        <v>131</v>
      </c>
      <c r="B28" s="1" t="s">
        <v>144</v>
      </c>
      <c r="D28" s="1" t="s">
        <v>111</v>
      </c>
      <c r="E28" s="3">
        <v>929</v>
      </c>
      <c r="F28" s="2">
        <v>13.6</v>
      </c>
      <c r="G28" s="4">
        <v>126.4</v>
      </c>
      <c r="H28" s="4">
        <v>43.4</v>
      </c>
      <c r="I28" s="4">
        <v>169.8</v>
      </c>
      <c r="J28" s="2">
        <v>18.3</v>
      </c>
    </row>
    <row r="29" spans="1:11" x14ac:dyDescent="0.25">
      <c r="A29" s="1" t="s">
        <v>131</v>
      </c>
      <c r="B29" s="1" t="s">
        <v>144</v>
      </c>
      <c r="D29" s="1" t="s">
        <v>112</v>
      </c>
    </row>
    <row r="30" spans="1:11" x14ac:dyDescent="0.25">
      <c r="A30" s="1" t="s">
        <v>131</v>
      </c>
      <c r="B30" s="1" t="s">
        <v>144</v>
      </c>
      <c r="D30" s="1" t="s">
        <v>110</v>
      </c>
      <c r="E30" s="3">
        <v>3</v>
      </c>
      <c r="F30" s="2">
        <v>13.2</v>
      </c>
      <c r="G30" s="4">
        <v>0.3</v>
      </c>
      <c r="H30" s="4">
        <v>0</v>
      </c>
      <c r="I30" s="4">
        <v>0.4</v>
      </c>
      <c r="J30" s="2">
        <v>14.9</v>
      </c>
    </row>
    <row r="31" spans="1:11" x14ac:dyDescent="0.25">
      <c r="A31" s="1" t="s">
        <v>131</v>
      </c>
      <c r="B31" s="1" t="s">
        <v>144</v>
      </c>
      <c r="D31" s="1" t="s">
        <v>111</v>
      </c>
      <c r="E31" s="3">
        <v>2</v>
      </c>
      <c r="F31" s="2">
        <v>13.2</v>
      </c>
      <c r="G31" s="4">
        <v>0.3</v>
      </c>
      <c r="H31" s="4">
        <v>0.1</v>
      </c>
      <c r="I31" s="4">
        <v>0.4</v>
      </c>
      <c r="J31" s="2">
        <v>17.899999999999999</v>
      </c>
    </row>
    <row r="33" spans="1:11" x14ac:dyDescent="0.25">
      <c r="D33" s="1" t="s">
        <v>113</v>
      </c>
      <c r="E33" s="3">
        <f>SUM(E24:E31)</f>
        <v>2069</v>
      </c>
      <c r="F33" s="2">
        <f>100*G33/E33</f>
        <v>14.108264862252298</v>
      </c>
      <c r="G33" s="4">
        <f>SUM(G24:G31)</f>
        <v>291.90000000000003</v>
      </c>
      <c r="H33" s="4">
        <f>SUM(H24:H31)</f>
        <v>62.1</v>
      </c>
      <c r="I33" s="4">
        <f>SUM(I24:I31)</f>
        <v>354.09999999999997</v>
      </c>
      <c r="J33" s="2">
        <f>I33/E33*100</f>
        <v>17.114548090865149</v>
      </c>
      <c r="K33" s="7">
        <f>(J33-F33)/F33</f>
        <v>0.21308667351832777</v>
      </c>
    </row>
    <row r="37" spans="1:11" x14ac:dyDescent="0.25">
      <c r="D37" s="1" t="s">
        <v>114</v>
      </c>
    </row>
    <row r="38" spans="1:11" x14ac:dyDescent="0.25">
      <c r="A38" s="1" t="s">
        <v>104</v>
      </c>
      <c r="D38" s="1" t="s">
        <v>22</v>
      </c>
      <c r="G38" s="4">
        <v>278.5</v>
      </c>
      <c r="I38" s="4">
        <v>278.5</v>
      </c>
    </row>
    <row r="39" spans="1:11" x14ac:dyDescent="0.25">
      <c r="A39" s="1" t="s">
        <v>104</v>
      </c>
      <c r="D39" s="1" t="s">
        <v>115</v>
      </c>
    </row>
    <row r="40" spans="1:11" x14ac:dyDescent="0.25">
      <c r="A40" s="1" t="s">
        <v>104</v>
      </c>
      <c r="D40" s="1" t="s">
        <v>116</v>
      </c>
      <c r="E40" s="3">
        <v>757</v>
      </c>
      <c r="F40" s="2">
        <v>8.3000000000000007</v>
      </c>
      <c r="G40" s="4">
        <v>62.8</v>
      </c>
      <c r="H40" s="4">
        <v>41.2</v>
      </c>
      <c r="I40" s="4">
        <v>104</v>
      </c>
      <c r="J40" s="2">
        <v>13.7</v>
      </c>
    </row>
    <row r="41" spans="1:11" x14ac:dyDescent="0.25">
      <c r="A41" s="1" t="s">
        <v>104</v>
      </c>
      <c r="D41" s="1" t="s">
        <v>112</v>
      </c>
      <c r="E41" s="3">
        <v>165</v>
      </c>
      <c r="F41" s="2">
        <v>8.3000000000000007</v>
      </c>
      <c r="G41" s="4">
        <v>13.6</v>
      </c>
      <c r="H41" s="4">
        <v>8.6</v>
      </c>
      <c r="I41" s="4">
        <v>22.2</v>
      </c>
      <c r="J41" s="2">
        <v>13.5</v>
      </c>
    </row>
    <row r="42" spans="1:11" x14ac:dyDescent="0.25">
      <c r="A42" s="1" t="s">
        <v>104</v>
      </c>
      <c r="D42" s="1" t="s">
        <v>117</v>
      </c>
    </row>
    <row r="43" spans="1:11" x14ac:dyDescent="0.25">
      <c r="A43" s="1" t="s">
        <v>104</v>
      </c>
      <c r="D43" s="1" t="s">
        <v>116</v>
      </c>
      <c r="E43" s="3">
        <v>823</v>
      </c>
      <c r="F43" s="2">
        <v>8.8000000000000007</v>
      </c>
      <c r="G43" s="4">
        <v>72.7</v>
      </c>
      <c r="H43" s="4">
        <v>31.3</v>
      </c>
      <c r="I43" s="4">
        <v>104</v>
      </c>
      <c r="J43" s="2">
        <v>12.6</v>
      </c>
    </row>
    <row r="44" spans="1:11" x14ac:dyDescent="0.25">
      <c r="A44" s="1" t="s">
        <v>104</v>
      </c>
      <c r="D44" s="1" t="s">
        <v>112</v>
      </c>
      <c r="E44" s="3">
        <v>212</v>
      </c>
      <c r="F44" s="2">
        <v>8</v>
      </c>
      <c r="G44" s="4">
        <v>16.899999999999999</v>
      </c>
      <c r="H44" s="4">
        <v>8.8000000000000007</v>
      </c>
      <c r="I44" s="4">
        <v>25.7</v>
      </c>
      <c r="J44" s="2">
        <v>12.1</v>
      </c>
    </row>
    <row r="45" spans="1:11" x14ac:dyDescent="0.25">
      <c r="A45" s="1" t="s">
        <v>104</v>
      </c>
      <c r="D45" s="1" t="s">
        <v>118</v>
      </c>
    </row>
    <row r="46" spans="1:11" x14ac:dyDescent="0.25">
      <c r="A46" s="1" t="s">
        <v>104</v>
      </c>
      <c r="D46" s="1" t="s">
        <v>116</v>
      </c>
      <c r="E46" s="3">
        <v>1241</v>
      </c>
      <c r="F46" s="2">
        <v>8.6</v>
      </c>
      <c r="G46" s="4">
        <v>106.3</v>
      </c>
      <c r="H46" s="4">
        <v>35.299999999999997</v>
      </c>
      <c r="I46" s="4">
        <v>141.6</v>
      </c>
      <c r="J46" s="2">
        <v>11.4</v>
      </c>
    </row>
    <row r="47" spans="1:11" x14ac:dyDescent="0.25">
      <c r="A47" s="1" t="s">
        <v>104</v>
      </c>
      <c r="D47" s="1" t="s">
        <v>112</v>
      </c>
      <c r="E47" s="3">
        <v>325</v>
      </c>
      <c r="F47" s="2">
        <v>7.7</v>
      </c>
      <c r="G47" s="4">
        <v>25</v>
      </c>
      <c r="H47" s="4">
        <v>9.9</v>
      </c>
      <c r="I47" s="4">
        <v>34.9</v>
      </c>
      <c r="J47" s="2">
        <v>10.7</v>
      </c>
    </row>
    <row r="49" spans="1:11" x14ac:dyDescent="0.25">
      <c r="A49" s="1" t="s">
        <v>104</v>
      </c>
      <c r="D49" s="1" t="s">
        <v>115</v>
      </c>
    </row>
    <row r="50" spans="1:11" x14ac:dyDescent="0.25">
      <c r="A50" s="1" t="s">
        <v>104</v>
      </c>
      <c r="D50" s="1" t="s">
        <v>116</v>
      </c>
      <c r="E50" s="3">
        <v>361</v>
      </c>
      <c r="F50" s="2">
        <v>9.3000000000000007</v>
      </c>
      <c r="G50" s="4">
        <v>33.5</v>
      </c>
      <c r="H50" s="4">
        <v>11.4</v>
      </c>
      <c r="I50" s="4">
        <v>44.8</v>
      </c>
      <c r="J50" s="2">
        <v>12.4</v>
      </c>
    </row>
    <row r="51" spans="1:11" x14ac:dyDescent="0.25">
      <c r="A51" s="1" t="s">
        <v>104</v>
      </c>
      <c r="D51" s="1" t="s">
        <v>112</v>
      </c>
      <c r="E51" s="3">
        <v>81</v>
      </c>
      <c r="F51" s="2">
        <v>8.1999999999999993</v>
      </c>
      <c r="G51" s="4">
        <v>6.6</v>
      </c>
      <c r="H51" s="4">
        <v>2.7</v>
      </c>
      <c r="I51" s="4">
        <v>9.4</v>
      </c>
      <c r="J51" s="2">
        <v>11.6</v>
      </c>
    </row>
    <row r="52" spans="1:11" x14ac:dyDescent="0.25">
      <c r="A52" s="1" t="s">
        <v>104</v>
      </c>
      <c r="D52" s="1" t="s">
        <v>117</v>
      </c>
    </row>
    <row r="53" spans="1:11" x14ac:dyDescent="0.25">
      <c r="A53" s="1" t="s">
        <v>104</v>
      </c>
      <c r="D53" s="1" t="s">
        <v>116</v>
      </c>
      <c r="E53" s="3">
        <v>1613</v>
      </c>
      <c r="F53" s="2">
        <v>8.8000000000000007</v>
      </c>
      <c r="G53" s="4">
        <v>141.4</v>
      </c>
      <c r="H53" s="4">
        <v>50.7</v>
      </c>
      <c r="I53" s="4">
        <v>192.1</v>
      </c>
      <c r="J53" s="2">
        <v>11.9</v>
      </c>
    </row>
    <row r="54" spans="1:11" x14ac:dyDescent="0.25">
      <c r="A54" s="1" t="s">
        <v>104</v>
      </c>
      <c r="D54" s="1" t="s">
        <v>112</v>
      </c>
      <c r="E54" s="3">
        <v>389</v>
      </c>
      <c r="F54" s="2">
        <v>7.9</v>
      </c>
      <c r="G54" s="4">
        <v>30.7</v>
      </c>
      <c r="H54" s="4">
        <v>11.8</v>
      </c>
      <c r="I54" s="4">
        <v>42.6</v>
      </c>
      <c r="J54" s="2">
        <v>10.9</v>
      </c>
    </row>
    <row r="55" spans="1:11" x14ac:dyDescent="0.25">
      <c r="A55" s="1" t="s">
        <v>104</v>
      </c>
      <c r="D55" s="1" t="s">
        <v>118</v>
      </c>
    </row>
    <row r="56" spans="1:11" x14ac:dyDescent="0.25">
      <c r="A56" s="1" t="s">
        <v>104</v>
      </c>
      <c r="D56" s="1" t="s">
        <v>116</v>
      </c>
      <c r="E56" s="3">
        <v>1616</v>
      </c>
      <c r="F56" s="2">
        <v>8.6</v>
      </c>
      <c r="G56" s="4">
        <v>138.5</v>
      </c>
      <c r="H56" s="4">
        <v>46.3</v>
      </c>
      <c r="I56" s="4">
        <v>184.8</v>
      </c>
      <c r="J56" s="2">
        <v>11.4</v>
      </c>
    </row>
    <row r="57" spans="1:11" x14ac:dyDescent="0.25">
      <c r="A57" s="1" t="s">
        <v>104</v>
      </c>
      <c r="D57" s="1" t="s">
        <v>112</v>
      </c>
      <c r="E57" s="3">
        <v>423</v>
      </c>
      <c r="F57" s="2">
        <v>7.7</v>
      </c>
      <c r="G57" s="4">
        <v>32.5</v>
      </c>
      <c r="H57" s="4">
        <v>13</v>
      </c>
      <c r="I57" s="4">
        <v>45.5</v>
      </c>
      <c r="J57" s="2">
        <v>10.8</v>
      </c>
    </row>
    <row r="59" spans="1:11" x14ac:dyDescent="0.25">
      <c r="D59" s="1" t="s">
        <v>119</v>
      </c>
      <c r="E59" s="3">
        <f>SUM(E38:E57)</f>
        <v>8006</v>
      </c>
      <c r="F59" s="2">
        <f>100*G59/E59</f>
        <v>11.978516112915313</v>
      </c>
      <c r="G59" s="4">
        <f>SUM(G38:G57)</f>
        <v>959</v>
      </c>
      <c r="H59" s="4">
        <f>SUM(H38:H57)</f>
        <v>271</v>
      </c>
      <c r="I59" s="4">
        <f>SUM(I38:I57)</f>
        <v>1230.0999999999999</v>
      </c>
      <c r="J59" s="2">
        <f>I59/E59*100</f>
        <v>15.364726455158632</v>
      </c>
      <c r="K59" s="7">
        <f>(J59-F59)/F59</f>
        <v>0.28269030239833165</v>
      </c>
    </row>
    <row r="62" spans="1:11" x14ac:dyDescent="0.25">
      <c r="D62" s="1" t="s">
        <v>120</v>
      </c>
    </row>
    <row r="63" spans="1:11" x14ac:dyDescent="0.25">
      <c r="A63" s="1" t="s">
        <v>104</v>
      </c>
      <c r="B63" s="1" t="s">
        <v>143</v>
      </c>
      <c r="D63" s="1" t="s">
        <v>22</v>
      </c>
      <c r="G63" s="4">
        <v>6.5</v>
      </c>
      <c r="I63" s="4">
        <v>6.5</v>
      </c>
    </row>
    <row r="64" spans="1:11" x14ac:dyDescent="0.25">
      <c r="A64" s="1" t="s">
        <v>104</v>
      </c>
      <c r="B64" s="1" t="s">
        <v>143</v>
      </c>
      <c r="D64" s="1" t="s">
        <v>115</v>
      </c>
      <c r="E64" s="3">
        <v>63</v>
      </c>
      <c r="F64" s="2">
        <v>7.5</v>
      </c>
      <c r="G64" s="4">
        <v>4.7</v>
      </c>
      <c r="H64" s="4">
        <v>12.5</v>
      </c>
      <c r="I64" s="4">
        <v>17.2</v>
      </c>
      <c r="J64" s="2">
        <v>27.3</v>
      </c>
    </row>
    <row r="65" spans="1:11" x14ac:dyDescent="0.25">
      <c r="A65" s="1" t="s">
        <v>104</v>
      </c>
      <c r="B65" s="1" t="s">
        <v>143</v>
      </c>
      <c r="D65" s="1" t="s">
        <v>121</v>
      </c>
      <c r="E65" s="3">
        <v>594</v>
      </c>
      <c r="F65" s="2">
        <v>7.2</v>
      </c>
      <c r="G65" s="4">
        <v>42.5</v>
      </c>
      <c r="H65" s="4">
        <v>12.5</v>
      </c>
      <c r="I65" s="4">
        <v>55.1</v>
      </c>
      <c r="J65" s="2">
        <v>9.3000000000000007</v>
      </c>
    </row>
    <row r="67" spans="1:11" x14ac:dyDescent="0.25">
      <c r="D67" s="1" t="s">
        <v>122</v>
      </c>
      <c r="E67" s="3">
        <f>SUM(E62:E66)</f>
        <v>657</v>
      </c>
      <c r="F67" s="2">
        <f>+G67/E67*100</f>
        <v>8.1735159817351608</v>
      </c>
      <c r="G67" s="4">
        <f>SUM(G62:G66)</f>
        <v>53.7</v>
      </c>
      <c r="H67" s="4">
        <f>SUM(H62:H65)</f>
        <v>25</v>
      </c>
      <c r="I67" s="4">
        <f>SUM(I62:I65)</f>
        <v>78.8</v>
      </c>
      <c r="J67" s="2">
        <f>+I67/E67*100</f>
        <v>11.993911719939117</v>
      </c>
      <c r="K67" s="7">
        <f>(J67-F67)/F67</f>
        <v>0.46741154562383591</v>
      </c>
    </row>
    <row r="70" spans="1:11" x14ac:dyDescent="0.25">
      <c r="D70" s="1" t="s">
        <v>123</v>
      </c>
    </row>
    <row r="71" spans="1:11" x14ac:dyDescent="0.25">
      <c r="D71" s="1" t="s">
        <v>124</v>
      </c>
    </row>
    <row r="72" spans="1:11" x14ac:dyDescent="0.25">
      <c r="A72" s="1" t="s">
        <v>82</v>
      </c>
      <c r="D72" s="1" t="s">
        <v>125</v>
      </c>
      <c r="E72" s="3">
        <v>0</v>
      </c>
      <c r="F72" s="2">
        <v>13.8</v>
      </c>
      <c r="G72" s="4">
        <v>0</v>
      </c>
      <c r="H72" s="4">
        <v>0</v>
      </c>
      <c r="I72" s="4">
        <v>0</v>
      </c>
      <c r="J72" s="2">
        <v>18</v>
      </c>
    </row>
    <row r="73" spans="1:11" x14ac:dyDescent="0.25">
      <c r="A73" s="1" t="s">
        <v>82</v>
      </c>
      <c r="D73" s="1" t="s">
        <v>126</v>
      </c>
      <c r="E73" s="3">
        <v>1</v>
      </c>
      <c r="F73" s="2">
        <v>12.9</v>
      </c>
      <c r="G73" s="4">
        <v>0.1</v>
      </c>
      <c r="H73" s="4">
        <v>0</v>
      </c>
      <c r="I73" s="4">
        <v>0.1</v>
      </c>
      <c r="J73" s="2">
        <v>15</v>
      </c>
    </row>
    <row r="74" spans="1:11" x14ac:dyDescent="0.25">
      <c r="A74" s="1" t="s">
        <v>82</v>
      </c>
      <c r="D74" s="1" t="s">
        <v>127</v>
      </c>
    </row>
    <row r="75" spans="1:11" x14ac:dyDescent="0.25">
      <c r="A75" s="1" t="s">
        <v>82</v>
      </c>
      <c r="D75" s="1" t="s">
        <v>110</v>
      </c>
      <c r="E75" s="3">
        <v>70</v>
      </c>
      <c r="F75" s="2">
        <v>12.7</v>
      </c>
      <c r="G75" s="4">
        <v>8.9</v>
      </c>
      <c r="H75" s="4">
        <v>1.4</v>
      </c>
      <c r="I75" s="4">
        <v>10.3</v>
      </c>
      <c r="J75" s="2">
        <v>14.8</v>
      </c>
    </row>
    <row r="76" spans="1:11" x14ac:dyDescent="0.25">
      <c r="A76" s="1" t="s">
        <v>82</v>
      </c>
      <c r="D76" s="1" t="s">
        <v>111</v>
      </c>
      <c r="E76" s="3">
        <v>57</v>
      </c>
      <c r="F76" s="2">
        <v>12.7</v>
      </c>
      <c r="G76" s="4">
        <v>7.3</v>
      </c>
      <c r="H76" s="4">
        <v>2.4</v>
      </c>
      <c r="I76" s="4">
        <v>9.6</v>
      </c>
      <c r="J76" s="2">
        <v>16.899999999999999</v>
      </c>
    </row>
    <row r="78" spans="1:11" x14ac:dyDescent="0.25">
      <c r="D78" s="1" t="s">
        <v>128</v>
      </c>
      <c r="E78" s="3">
        <f>SUM(E73:E77)</f>
        <v>128</v>
      </c>
      <c r="F78" s="2">
        <f>+G78/E78*100</f>
        <v>12.734375</v>
      </c>
      <c r="G78" s="4">
        <f>SUM(G73:G77)</f>
        <v>16.3</v>
      </c>
      <c r="H78" s="4">
        <f>SUM(H73:H76)</f>
        <v>3.8</v>
      </c>
      <c r="I78" s="4">
        <f>SUM(I73:I76)</f>
        <v>20</v>
      </c>
      <c r="J78" s="2">
        <f>+I78/E78*100</f>
        <v>15.625</v>
      </c>
      <c r="K78" s="7">
        <f>(J78-F78)/F78</f>
        <v>0.22699386503067484</v>
      </c>
    </row>
    <row r="79" spans="1:11" x14ac:dyDescent="0.25">
      <c r="J79" s="2">
        <v>15.8</v>
      </c>
      <c r="K79" s="7">
        <v>0.24</v>
      </c>
    </row>
    <row r="81" spans="1:11" x14ac:dyDescent="0.25">
      <c r="D81" s="1" t="s">
        <v>78</v>
      </c>
    </row>
    <row r="82" spans="1:11" x14ac:dyDescent="0.25">
      <c r="A82" s="1" t="s">
        <v>78</v>
      </c>
      <c r="D82" s="1" t="s">
        <v>22</v>
      </c>
      <c r="G82" s="4">
        <v>9.9</v>
      </c>
      <c r="I82" s="4">
        <v>9.9</v>
      </c>
    </row>
    <row r="83" spans="1:11" x14ac:dyDescent="0.25">
      <c r="A83" s="1" t="s">
        <v>78</v>
      </c>
      <c r="D83" s="1" t="s">
        <v>110</v>
      </c>
      <c r="E83" s="3">
        <v>47</v>
      </c>
      <c r="F83" s="2">
        <v>3.1</v>
      </c>
      <c r="G83" s="4">
        <v>1.5</v>
      </c>
      <c r="I83" s="4">
        <v>1.5</v>
      </c>
      <c r="J83" s="2">
        <v>3.1</v>
      </c>
    </row>
    <row r="84" spans="1:11" x14ac:dyDescent="0.25">
      <c r="A84" s="1" t="s">
        <v>78</v>
      </c>
      <c r="D84" s="1" t="s">
        <v>111</v>
      </c>
      <c r="E84" s="3">
        <v>39</v>
      </c>
      <c r="F84" s="2">
        <v>3.1</v>
      </c>
      <c r="G84" s="4">
        <v>1.2</v>
      </c>
      <c r="H84" s="4">
        <v>2.6</v>
      </c>
      <c r="I84" s="4">
        <v>3.8</v>
      </c>
      <c r="J84" s="2">
        <v>9.6999999999999993</v>
      </c>
    </row>
    <row r="86" spans="1:11" x14ac:dyDescent="0.25">
      <c r="D86" s="1" t="s">
        <v>79</v>
      </c>
      <c r="E86" s="3">
        <f>SUM(E82:E84)</f>
        <v>86</v>
      </c>
      <c r="F86" s="2">
        <f>+G86/E86*100</f>
        <v>14.651162790697676</v>
      </c>
      <c r="G86" s="4">
        <f>SUM(G82:G84)</f>
        <v>12.6</v>
      </c>
      <c r="H86" s="4">
        <f>SUM(H82:H84)</f>
        <v>2.6</v>
      </c>
      <c r="I86" s="4">
        <f>SUM(I82:I84)</f>
        <v>15.2</v>
      </c>
      <c r="J86" s="2">
        <f>AVERAGE(J83:J84)</f>
        <v>6.3999999999999995</v>
      </c>
      <c r="K86" s="7">
        <f>(J86-F86)/F86</f>
        <v>-0.56317460317460333</v>
      </c>
    </row>
    <row r="87" spans="1:11" x14ac:dyDescent="0.25">
      <c r="F87" s="2">
        <v>3.1</v>
      </c>
      <c r="K87" s="7">
        <v>0.21</v>
      </c>
    </row>
    <row r="89" spans="1:11" x14ac:dyDescent="0.25">
      <c r="D89" s="1" t="s">
        <v>90</v>
      </c>
      <c r="E89" s="3">
        <f>E86+E78+E67+E59+E33+E20+E12</f>
        <v>17205</v>
      </c>
      <c r="F89" s="2">
        <f>G89/E89*100</f>
        <v>12.731182795698926</v>
      </c>
      <c r="G89" s="4">
        <f>G86+G78+G67+G59+G33+G20+G12</f>
        <v>2190.4</v>
      </c>
      <c r="H89" s="4">
        <f>H86+H78+H67+H59+H33+H20+H12</f>
        <v>523.29999999999995</v>
      </c>
      <c r="I89" s="4">
        <f>I86+I78+I67+I59+I33+I20+I12</f>
        <v>2713.8</v>
      </c>
      <c r="J89" s="2">
        <f>I89/E89*100</f>
        <v>15.773321708805582</v>
      </c>
      <c r="K89" s="7">
        <f>(J89-F89)/F89</f>
        <v>0.23895178962746541</v>
      </c>
    </row>
    <row r="92" spans="1:11" x14ac:dyDescent="0.25">
      <c r="E92" s="3" t="s">
        <v>7</v>
      </c>
      <c r="F92" s="2" t="s">
        <v>9</v>
      </c>
      <c r="G92" s="4" t="s">
        <v>9</v>
      </c>
      <c r="H92" s="4" t="s">
        <v>10</v>
      </c>
      <c r="I92" s="4" t="s">
        <v>15</v>
      </c>
      <c r="J92" s="2" t="s">
        <v>16</v>
      </c>
    </row>
    <row r="93" spans="1:11" x14ac:dyDescent="0.25">
      <c r="D93" s="1" t="s">
        <v>132</v>
      </c>
      <c r="E93" s="3" t="s">
        <v>8</v>
      </c>
      <c r="F93" s="2" t="s">
        <v>13</v>
      </c>
      <c r="G93" s="4" t="s">
        <v>12</v>
      </c>
      <c r="H93" s="4" t="s">
        <v>14</v>
      </c>
      <c r="I93" s="4" t="s">
        <v>10</v>
      </c>
      <c r="J93" s="2" t="s">
        <v>17</v>
      </c>
      <c r="K93" s="7" t="s">
        <v>93</v>
      </c>
    </row>
    <row r="95" spans="1:11" x14ac:dyDescent="0.25">
      <c r="D95" s="1" t="s">
        <v>0</v>
      </c>
      <c r="E95" s="3">
        <f>+E12+E20</f>
        <v>6259</v>
      </c>
      <c r="F95" s="2">
        <f t="shared" ref="F95:F101" si="0">+G95/E95*100</f>
        <v>13.690685413005275</v>
      </c>
      <c r="G95" s="4">
        <f>+G12+G20</f>
        <v>856.90000000000009</v>
      </c>
      <c r="H95" s="4">
        <f>+H12+H20</f>
        <v>158.80000000000001</v>
      </c>
      <c r="I95" s="4">
        <f>+I12+I20</f>
        <v>1015.6</v>
      </c>
      <c r="J95" s="2">
        <f>I95/E95*100</f>
        <v>16.226234222719285</v>
      </c>
      <c r="K95" s="7">
        <f>(J95-F95)/F95</f>
        <v>0.18520247403430956</v>
      </c>
    </row>
    <row r="96" spans="1:11" x14ac:dyDescent="0.25">
      <c r="D96" s="1" t="s">
        <v>136</v>
      </c>
      <c r="E96" s="3">
        <f>+E33</f>
        <v>2069</v>
      </c>
      <c r="F96" s="2">
        <f t="shared" si="0"/>
        <v>14.108264862252298</v>
      </c>
      <c r="G96" s="4">
        <f>+G33</f>
        <v>291.90000000000003</v>
      </c>
      <c r="H96" s="4">
        <f>+H33</f>
        <v>62.1</v>
      </c>
      <c r="I96" s="4">
        <f>+I33</f>
        <v>354.09999999999997</v>
      </c>
      <c r="J96" s="2">
        <f>I96/E96*100</f>
        <v>17.114548090865149</v>
      </c>
      <c r="K96" s="7">
        <f>(J96-F96)/F96</f>
        <v>0.21308667351832777</v>
      </c>
    </row>
    <row r="97" spans="4:11" x14ac:dyDescent="0.25">
      <c r="D97" s="1" t="s">
        <v>82</v>
      </c>
      <c r="E97" s="3">
        <f>+E78</f>
        <v>128</v>
      </c>
      <c r="F97" s="2">
        <f t="shared" si="0"/>
        <v>12.734375</v>
      </c>
      <c r="G97" s="4">
        <f>+G78</f>
        <v>16.3</v>
      </c>
      <c r="H97" s="4">
        <f>+H78</f>
        <v>3.8</v>
      </c>
      <c r="I97" s="4">
        <f>+I78</f>
        <v>20</v>
      </c>
      <c r="J97" s="2">
        <f>I97/E97*100</f>
        <v>15.625</v>
      </c>
      <c r="K97" s="7">
        <f>(J97-F97)/F97</f>
        <v>0.22699386503067484</v>
      </c>
    </row>
    <row r="98" spans="4:11" x14ac:dyDescent="0.25">
      <c r="D98" s="1" t="s">
        <v>137</v>
      </c>
      <c r="E98" s="3">
        <f>+E86</f>
        <v>86</v>
      </c>
      <c r="F98" s="2">
        <f t="shared" si="0"/>
        <v>14.651162790697676</v>
      </c>
      <c r="G98" s="4">
        <f>+G86</f>
        <v>12.6</v>
      </c>
      <c r="H98" s="4">
        <f>+H86</f>
        <v>2.6</v>
      </c>
      <c r="I98" s="4">
        <f>+I86</f>
        <v>15.2</v>
      </c>
      <c r="J98" s="2">
        <f>I98/E98*100</f>
        <v>17.674418604651162</v>
      </c>
      <c r="K98" s="7">
        <f>(J98-F98)/F98</f>
        <v>0.20634920634920623</v>
      </c>
    </row>
    <row r="99" spans="4:11" x14ac:dyDescent="0.25">
      <c r="D99" s="1" t="s">
        <v>104</v>
      </c>
      <c r="E99" s="3">
        <f>+E59+E67</f>
        <v>8663</v>
      </c>
      <c r="F99" s="2">
        <f t="shared" si="0"/>
        <v>11.689945746277273</v>
      </c>
      <c r="G99" s="4">
        <f>+G59+G67</f>
        <v>1012.7</v>
      </c>
      <c r="H99" s="4">
        <f>+H59+H67</f>
        <v>296</v>
      </c>
      <c r="I99" s="4">
        <f>+I59+I67</f>
        <v>1308.8999999999999</v>
      </c>
      <c r="J99" s="2">
        <f>I99/E99*100</f>
        <v>15.109084612720766</v>
      </c>
      <c r="K99" s="7">
        <f>(J99-F99)/F99</f>
        <v>0.29248543497580703</v>
      </c>
    </row>
    <row r="100" spans="4:11" x14ac:dyDescent="0.25">
      <c r="K100" s="8"/>
    </row>
    <row r="101" spans="4:11" x14ac:dyDescent="0.25">
      <c r="D101" s="1" t="s">
        <v>47</v>
      </c>
      <c r="E101" s="3">
        <f>SUM(E95:E100)</f>
        <v>17205</v>
      </c>
      <c r="F101" s="2">
        <f t="shared" si="0"/>
        <v>12.731182795698926</v>
      </c>
      <c r="G101" s="4">
        <f>SUM(G95:G100)</f>
        <v>2190.4</v>
      </c>
      <c r="H101" s="4">
        <f>SUM(H95:H100)</f>
        <v>523.29999999999995</v>
      </c>
      <c r="I101" s="4">
        <f>SUM(I95:I100)</f>
        <v>2713.8</v>
      </c>
      <c r="J101" s="2">
        <f>I101/E101*100</f>
        <v>15.773321708805582</v>
      </c>
      <c r="K101" s="7">
        <f>(J101-F101)/F101</f>
        <v>0.23895178962746541</v>
      </c>
    </row>
    <row r="102" spans="4:11" x14ac:dyDescent="0.25">
      <c r="K102" s="8"/>
    </row>
  </sheetData>
  <pageMargins left="0.75" right="0.75" top="1" bottom="1" header="0.5" footer="0.5"/>
  <pageSetup scale="63" fitToHeight="2" orientation="landscape" horizontalDpi="0" verticalDpi="196" copies="0" r:id="rId1"/>
  <headerFooter alignWithMargins="0">
    <oddFooter>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H61"/>
  <sheetViews>
    <sheetView topLeftCell="A36" workbookViewId="0">
      <selection activeCell="H59" sqref="H59"/>
    </sheetView>
  </sheetViews>
  <sheetFormatPr defaultRowHeight="13.2" x14ac:dyDescent="0.25"/>
  <cols>
    <col min="1" max="1" width="11.33203125" bestFit="1" customWidth="1"/>
    <col min="2" max="2" width="13" style="3" bestFit="1" customWidth="1"/>
    <col min="3" max="3" width="12.44140625" style="15" bestFit="1" customWidth="1"/>
    <col min="4" max="4" width="16.44140625" style="4" bestFit="1" customWidth="1"/>
    <col min="5" max="5" width="16" style="4" bestFit="1" customWidth="1"/>
    <col min="6" max="6" width="13" style="4" bestFit="1" customWidth="1"/>
    <col min="7" max="7" width="12.33203125" style="15" bestFit="1" customWidth="1"/>
    <col min="8" max="8" width="10.5546875" style="44" bestFit="1" customWidth="1"/>
  </cols>
  <sheetData>
    <row r="5" spans="1:8" x14ac:dyDescent="0.25">
      <c r="D5" s="43" t="s">
        <v>140</v>
      </c>
    </row>
    <row r="7" spans="1:8" x14ac:dyDescent="0.25">
      <c r="B7" s="3" t="str">
        <f>+PGE!E130</f>
        <v>Annual</v>
      </c>
      <c r="C7" s="15" t="str">
        <f>+PGE!F130</f>
        <v>Current</v>
      </c>
      <c r="D7" s="4" t="str">
        <f>+PGE!G130</f>
        <v>Current</v>
      </c>
      <c r="E7" s="4" t="str">
        <f>+PGE!H130</f>
        <v>Revenue</v>
      </c>
      <c r="F7" s="4" t="str">
        <f>+PGE!I130</f>
        <v xml:space="preserve">New Total </v>
      </c>
      <c r="G7" s="15" t="str">
        <f>+PGE!J130</f>
        <v>New Rates</v>
      </c>
    </row>
    <row r="8" spans="1:8" x14ac:dyDescent="0.25">
      <c r="A8" t="str">
        <f>+PGE!D131</f>
        <v>Description</v>
      </c>
      <c r="B8" s="3" t="str">
        <f>+PGE!E131</f>
        <v>Sales (GWh)</v>
      </c>
      <c r="C8" s="15" t="str">
        <f>+PGE!F131</f>
        <v>Rate (cents)</v>
      </c>
      <c r="D8" s="4" t="str">
        <f>+PGE!G131</f>
        <v>Revenue (MM)</v>
      </c>
      <c r="E8" s="4" t="str">
        <f>+PGE!H131</f>
        <v>Increase (MM)</v>
      </c>
      <c r="F8" s="4" t="str">
        <f>+PGE!I131</f>
        <v>Revenue</v>
      </c>
      <c r="G8" s="15" t="str">
        <f>+PGE!J131</f>
        <v>(cents/kWh)</v>
      </c>
      <c r="H8" s="44" t="str">
        <f>+PGE!K131</f>
        <v>Increase %</v>
      </c>
    </row>
    <row r="10" spans="1:8" x14ac:dyDescent="0.25">
      <c r="A10" t="str">
        <f>+PGE!D133</f>
        <v>Residential</v>
      </c>
      <c r="B10" s="3">
        <f>+PGE!E133</f>
        <v>28846</v>
      </c>
      <c r="C10" s="15">
        <f>+PGE!F133</f>
        <v>11.512168064896349</v>
      </c>
      <c r="D10" s="4">
        <f>+PGE!G133</f>
        <v>3320.8000000000006</v>
      </c>
      <c r="E10" s="4">
        <f>+PGE!H133</f>
        <v>691.1</v>
      </c>
      <c r="F10" s="4">
        <f>+PGE!I133</f>
        <v>4023.5000000000005</v>
      </c>
      <c r="G10" s="15">
        <f>+PGE!J133</f>
        <v>13.948207723774528</v>
      </c>
      <c r="H10" s="44">
        <f>+PGE!K133</f>
        <v>0.21160563719585629</v>
      </c>
    </row>
    <row r="11" spans="1:8" x14ac:dyDescent="0.25">
      <c r="A11" t="str">
        <f>+PGE!D134</f>
        <v>Commercial</v>
      </c>
      <c r="B11" s="3">
        <f>+PGE!E134</f>
        <v>20815</v>
      </c>
      <c r="C11" s="15">
        <f>+PGE!F134</f>
        <v>10.795099687725198</v>
      </c>
      <c r="D11" s="4">
        <f>+PGE!G134</f>
        <v>2247</v>
      </c>
      <c r="E11" s="4">
        <f>+PGE!H134</f>
        <v>453.79999999999995</v>
      </c>
      <c r="F11" s="4">
        <f>+PGE!I134</f>
        <v>2677</v>
      </c>
      <c r="G11" s="15">
        <f>+PGE!J134</f>
        <v>12.860917607494596</v>
      </c>
      <c r="H11" s="44">
        <f>+PGE!K134</f>
        <v>0.19136626613262131</v>
      </c>
    </row>
    <row r="12" spans="1:8" x14ac:dyDescent="0.25">
      <c r="A12" t="str">
        <f>+PGE!D135</f>
        <v>Agricultural</v>
      </c>
      <c r="B12" s="3">
        <f>+PGE!E135</f>
        <v>19216</v>
      </c>
      <c r="C12" s="15">
        <f>+PGE!F135</f>
        <v>6.8208784346378017</v>
      </c>
      <c r="D12" s="4">
        <f>+PGE!G135</f>
        <v>1310.7</v>
      </c>
      <c r="E12" s="4">
        <f>+PGE!H135</f>
        <v>717.8</v>
      </c>
      <c r="F12" s="4">
        <f>+PGE!I135</f>
        <v>2028.6000000000001</v>
      </c>
      <c r="G12" s="15">
        <f>+PGE!J135</f>
        <v>10.55682764363031</v>
      </c>
      <c r="H12" s="44">
        <f>+PGE!K135</f>
        <v>0.54772259098191833</v>
      </c>
    </row>
    <row r="13" spans="1:8" x14ac:dyDescent="0.25">
      <c r="A13" t="str">
        <f>+PGE!D136</f>
        <v>Other</v>
      </c>
      <c r="B13" s="3">
        <f>+PGE!E136</f>
        <v>489</v>
      </c>
      <c r="C13" s="15">
        <f>+PGE!F136</f>
        <v>8.4662576687116555</v>
      </c>
      <c r="D13" s="4">
        <f>+PGE!G136</f>
        <v>41.4</v>
      </c>
      <c r="E13" s="4">
        <f>+PGE!H136</f>
        <v>7.9</v>
      </c>
      <c r="F13" s="4">
        <f>+PGE!I136</f>
        <v>49.3</v>
      </c>
      <c r="G13" s="15">
        <f>+PGE!J136</f>
        <v>10.081799591002044</v>
      </c>
      <c r="H13" s="44">
        <f>+PGE!K136</f>
        <v>0.19082125603864736</v>
      </c>
    </row>
    <row r="14" spans="1:8" x14ac:dyDescent="0.25">
      <c r="A14" t="str">
        <f>+PGE!D137</f>
        <v>Industrial</v>
      </c>
      <c r="B14" s="3">
        <f>+PGE!E137</f>
        <v>10969</v>
      </c>
      <c r="C14" s="15">
        <f>+PGE!F137</f>
        <v>9.5633147962439597</v>
      </c>
      <c r="D14" s="4">
        <f>+PGE!G137</f>
        <v>1049</v>
      </c>
      <c r="E14" s="4">
        <f>+PGE!H137</f>
        <v>438.8</v>
      </c>
      <c r="F14" s="4">
        <f>+PGE!I137</f>
        <v>1487.8999999999999</v>
      </c>
      <c r="G14" s="15">
        <f>+PGE!J137</f>
        <v>13.564591120430302</v>
      </c>
      <c r="H14" s="44">
        <f>+PGE!K137</f>
        <v>0.41839847473784553</v>
      </c>
    </row>
    <row r="16" spans="1:8" x14ac:dyDescent="0.25">
      <c r="A16" t="str">
        <f>+PGE!D139</f>
        <v>Total</v>
      </c>
      <c r="B16" s="3">
        <f>+PGE!E139</f>
        <v>80335</v>
      </c>
      <c r="C16" s="15">
        <f>+PGE!F139</f>
        <v>9.9195867305657561</v>
      </c>
      <c r="D16" s="4">
        <f>+PGE!G139</f>
        <v>7968.9000000000005</v>
      </c>
      <c r="E16" s="4">
        <f>+PGE!H139</f>
        <v>2309.4</v>
      </c>
      <c r="F16" s="4">
        <f>+PGE!I139</f>
        <v>10266.299999999999</v>
      </c>
      <c r="G16" s="15">
        <f>+PGE!J139</f>
        <v>12.779361424036844</v>
      </c>
      <c r="H16" s="44">
        <f>+PGE!K139</f>
        <v>0.28829574972706379</v>
      </c>
    </row>
    <row r="20" spans="1:8" x14ac:dyDescent="0.25">
      <c r="D20" s="43" t="s">
        <v>141</v>
      </c>
    </row>
    <row r="22" spans="1:8" x14ac:dyDescent="0.25">
      <c r="B22" s="3" t="str">
        <f>+SCE!E123</f>
        <v>Annual</v>
      </c>
      <c r="C22" s="15" t="str">
        <f>+SCE!F123</f>
        <v>Current</v>
      </c>
      <c r="D22" s="4" t="str">
        <f>+SCE!G123</f>
        <v>Current</v>
      </c>
      <c r="E22" s="4" t="str">
        <f>+SCE!H123</f>
        <v>Revenue</v>
      </c>
      <c r="F22" s="4" t="str">
        <f>+SCE!I123</f>
        <v xml:space="preserve">New Total </v>
      </c>
      <c r="G22" s="15" t="str">
        <f>+SCE!J123</f>
        <v>New Rates</v>
      </c>
    </row>
    <row r="23" spans="1:8" x14ac:dyDescent="0.25">
      <c r="A23" t="str">
        <f>+SCE!D124</f>
        <v>Description</v>
      </c>
      <c r="B23" s="3" t="str">
        <f>+SCE!E124</f>
        <v>Sales (GWh)</v>
      </c>
      <c r="C23" s="15" t="str">
        <f>+SCE!F124</f>
        <v>Rate (cents)</v>
      </c>
      <c r="D23" s="4" t="str">
        <f>+SCE!G124</f>
        <v>Revenue (MM)</v>
      </c>
      <c r="E23" s="4" t="str">
        <f>+SCE!H124</f>
        <v>Increase (MM)</v>
      </c>
      <c r="F23" s="4" t="str">
        <f>+SCE!I124</f>
        <v>Revenue</v>
      </c>
      <c r="G23" s="15" t="str">
        <f>+SCE!J124</f>
        <v>(cents/kWh)</v>
      </c>
      <c r="H23" s="44" t="str">
        <f>+SCE!K124</f>
        <v>Increase %</v>
      </c>
    </row>
    <row r="25" spans="1:8" x14ac:dyDescent="0.25">
      <c r="A25" t="str">
        <f>+SCE!D126</f>
        <v>Residential</v>
      </c>
      <c r="B25" s="3">
        <f>+SCE!E126</f>
        <v>25149</v>
      </c>
      <c r="C25" s="15">
        <f>+SCE!F126</f>
        <v>12.382642252177027</v>
      </c>
      <c r="D25" s="4">
        <f>+SCE!G126</f>
        <v>3114.1107000000002</v>
      </c>
      <c r="E25" s="4">
        <f>+SCE!H126</f>
        <v>659.72170000000062</v>
      </c>
      <c r="F25" s="4">
        <f>+SCE!I126</f>
        <v>3773.8324000000007</v>
      </c>
      <c r="G25" s="15">
        <f>+SCE!J126</f>
        <v>15.005894468964973</v>
      </c>
      <c r="H25" s="44">
        <f>+SCE!K126</f>
        <v>0.21184914845833855</v>
      </c>
    </row>
    <row r="26" spans="1:8" x14ac:dyDescent="0.25">
      <c r="A26" t="str">
        <f>+SCE!D127</f>
        <v>Commercial</v>
      </c>
      <c r="B26" s="3">
        <f>+SCE!E127</f>
        <v>30134</v>
      </c>
      <c r="C26" s="15">
        <f>+SCE!F127</f>
        <v>9.8604934625340146</v>
      </c>
      <c r="D26" s="4">
        <f>+SCE!G127</f>
        <v>2971.3611000000001</v>
      </c>
      <c r="E26" s="4">
        <f>+SCE!H127</f>
        <v>1096.3982000000003</v>
      </c>
      <c r="F26" s="4">
        <f>+SCE!I127</f>
        <v>4067.7593000000002</v>
      </c>
      <c r="G26" s="15">
        <f>+SCE!J127</f>
        <v>13.498902568527246</v>
      </c>
      <c r="H26" s="44">
        <f>+SCE!K127</f>
        <v>0.36898854198501835</v>
      </c>
    </row>
    <row r="27" spans="1:8" x14ac:dyDescent="0.25">
      <c r="A27" t="str">
        <f>+SCE!D128</f>
        <v>Agricultural</v>
      </c>
      <c r="B27" s="3">
        <f>+SCE!E128</f>
        <v>2946</v>
      </c>
      <c r="C27" s="15">
        <f>+SCE!F128</f>
        <v>10.188523421588595</v>
      </c>
      <c r="D27" s="4">
        <f>+SCE!G128</f>
        <v>300.15390000000002</v>
      </c>
      <c r="E27" s="4">
        <f>+SCE!H128</f>
        <v>103.69559999999996</v>
      </c>
      <c r="F27" s="4">
        <f>+SCE!I128</f>
        <v>403.84949999999998</v>
      </c>
      <c r="G27" s="15">
        <f>+SCE!J128</f>
        <v>13.708401221995924</v>
      </c>
      <c r="H27" s="44">
        <f>+SCE!K128</f>
        <v>0.34547477144224981</v>
      </c>
    </row>
    <row r="28" spans="1:8" x14ac:dyDescent="0.25">
      <c r="A28" t="str">
        <f>+SCE!D129</f>
        <v>Other</v>
      </c>
      <c r="B28" s="3">
        <f>+SCE!E129</f>
        <v>687</v>
      </c>
      <c r="C28" s="15">
        <f>+SCE!F129</f>
        <v>6.6698398835516732</v>
      </c>
      <c r="D28" s="4">
        <f>+SCE!G129</f>
        <v>45.821799999999996</v>
      </c>
      <c r="E28" s="4">
        <f>+SCE!H129</f>
        <v>30.660600000000006</v>
      </c>
      <c r="F28" s="4">
        <f>+SCE!I129</f>
        <v>76.482399999999998</v>
      </c>
      <c r="G28" s="15">
        <f>+SCE!J129</f>
        <v>11.132809315866083</v>
      </c>
      <c r="H28" s="44">
        <f>+SCE!K129</f>
        <v>0.66912692212003899</v>
      </c>
    </row>
    <row r="29" spans="1:8" x14ac:dyDescent="0.25">
      <c r="A29" t="str">
        <f>+SCE!D130</f>
        <v>Industrial</v>
      </c>
      <c r="B29" s="3">
        <f>+SCE!E130</f>
        <v>23986</v>
      </c>
      <c r="C29" s="15">
        <f>+SCE!F130</f>
        <v>8.1568915200533656</v>
      </c>
      <c r="D29" s="4">
        <f>+SCE!G130</f>
        <v>1956.5120000000002</v>
      </c>
      <c r="E29" s="4">
        <f>+SCE!H130</f>
        <v>976.15769999999986</v>
      </c>
      <c r="F29" s="4">
        <f>+SCE!I130</f>
        <v>2932.6696999999995</v>
      </c>
      <c r="G29" s="15">
        <f>+SCE!J130</f>
        <v>12.226589260401898</v>
      </c>
      <c r="H29" s="44">
        <f>+SCE!K130</f>
        <v>0.49892753021703873</v>
      </c>
    </row>
    <row r="31" spans="1:8" x14ac:dyDescent="0.25">
      <c r="A31" t="str">
        <f>+SCE!D132</f>
        <v>Total</v>
      </c>
      <c r="B31" s="3">
        <f>+SCE!E132</f>
        <v>82902</v>
      </c>
      <c r="C31" s="15">
        <f>+SCE!F132</f>
        <v>10.117921763045524</v>
      </c>
      <c r="D31" s="4">
        <f>+SCE!G132</f>
        <v>8387.9595000000008</v>
      </c>
      <c r="E31" s="4">
        <f>+SCE!H132</f>
        <v>2866.633800000001</v>
      </c>
      <c r="F31" s="4">
        <f>+SCE!I132</f>
        <v>11254.5933</v>
      </c>
      <c r="G31" s="15">
        <f>+SCE!J132</f>
        <v>13.575780198306434</v>
      </c>
      <c r="H31" s="44">
        <f>+SCE!K132</f>
        <v>0.34175579889244806</v>
      </c>
    </row>
    <row r="35" spans="1:8" x14ac:dyDescent="0.25">
      <c r="D35" s="43" t="s">
        <v>142</v>
      </c>
    </row>
    <row r="37" spans="1:8" x14ac:dyDescent="0.25">
      <c r="B37" s="3" t="str">
        <f>+SDGE!E92</f>
        <v>Annual</v>
      </c>
      <c r="C37" s="15" t="str">
        <f>+SDGE!F92</f>
        <v>Current</v>
      </c>
      <c r="D37" s="4" t="str">
        <f>+SDGE!G92</f>
        <v>Current</v>
      </c>
      <c r="E37" s="4" t="str">
        <f>+SDGE!H92</f>
        <v>Revenue</v>
      </c>
      <c r="F37" s="4" t="str">
        <f>+SDGE!I92</f>
        <v xml:space="preserve">New Total </v>
      </c>
      <c r="G37" s="15" t="str">
        <f>+SDGE!J92</f>
        <v>New Rates</v>
      </c>
    </row>
    <row r="38" spans="1:8" x14ac:dyDescent="0.25">
      <c r="A38" t="str">
        <f>+SDGE!D93</f>
        <v>Description</v>
      </c>
      <c r="B38" s="3" t="str">
        <f>+SDGE!E93</f>
        <v>Sales (GWh)</v>
      </c>
      <c r="C38" s="15" t="str">
        <f>+SDGE!F93</f>
        <v>Rate (cents)</v>
      </c>
      <c r="D38" s="4" t="str">
        <f>+SDGE!G93</f>
        <v>Revenue (MM)</v>
      </c>
      <c r="E38" s="4" t="str">
        <f>+SDGE!H93</f>
        <v>Increase (MM)</v>
      </c>
      <c r="F38" s="4" t="str">
        <f>+SDGE!I93</f>
        <v>Revenue</v>
      </c>
      <c r="G38" s="15" t="str">
        <f>+SDGE!J93</f>
        <v>(cents/kWh)</v>
      </c>
      <c r="H38" s="44" t="str">
        <f>+SDGE!K93</f>
        <v>Increase %</v>
      </c>
    </row>
    <row r="40" spans="1:8" x14ac:dyDescent="0.25">
      <c r="A40" t="str">
        <f>+SDGE!D95</f>
        <v>Residential</v>
      </c>
      <c r="B40" s="3">
        <f>+SDGE!E95</f>
        <v>6259</v>
      </c>
      <c r="C40" s="15">
        <f>+SDGE!F95</f>
        <v>13.690685413005275</v>
      </c>
      <c r="D40" s="4">
        <f>+SDGE!G95</f>
        <v>856.90000000000009</v>
      </c>
      <c r="E40" s="4">
        <f>+SDGE!H95</f>
        <v>158.80000000000001</v>
      </c>
      <c r="F40" s="4">
        <f>+SDGE!I95</f>
        <v>1015.6</v>
      </c>
      <c r="G40" s="15">
        <f>+SDGE!J95</f>
        <v>16.226234222719285</v>
      </c>
      <c r="H40" s="44">
        <f>+SDGE!K95</f>
        <v>0.18520247403430956</v>
      </c>
    </row>
    <row r="41" spans="1:8" x14ac:dyDescent="0.25">
      <c r="A41" t="str">
        <f>+SDGE!D96</f>
        <v>Commercial</v>
      </c>
      <c r="B41" s="3">
        <f>+SDGE!E96</f>
        <v>2069</v>
      </c>
      <c r="C41" s="15">
        <f>+SDGE!F96</f>
        <v>14.108264862252298</v>
      </c>
      <c r="D41" s="4">
        <f>+SDGE!G96</f>
        <v>291.90000000000003</v>
      </c>
      <c r="E41" s="4">
        <f>+SDGE!H96</f>
        <v>62.1</v>
      </c>
      <c r="F41" s="4">
        <f>+SDGE!I96</f>
        <v>354.09999999999997</v>
      </c>
      <c r="G41" s="15">
        <f>+SDGE!J96</f>
        <v>17.114548090865149</v>
      </c>
      <c r="H41" s="44">
        <f>+SDGE!K96</f>
        <v>0.21308667351832777</v>
      </c>
    </row>
    <row r="42" spans="1:8" x14ac:dyDescent="0.25">
      <c r="A42" t="str">
        <f>+SDGE!D97</f>
        <v>Agricultural</v>
      </c>
      <c r="B42" s="3">
        <f>+SDGE!E97</f>
        <v>128</v>
      </c>
      <c r="C42" s="15">
        <f>+SDGE!F97</f>
        <v>12.734375</v>
      </c>
      <c r="D42" s="4">
        <f>+SDGE!G97</f>
        <v>16.3</v>
      </c>
      <c r="E42" s="4">
        <f>+SDGE!H97</f>
        <v>3.8</v>
      </c>
      <c r="F42" s="4">
        <f>+SDGE!I97</f>
        <v>20</v>
      </c>
      <c r="G42" s="15">
        <f>+SDGE!J97</f>
        <v>15.625</v>
      </c>
      <c r="H42" s="44">
        <f>+SDGE!K97</f>
        <v>0.22699386503067484</v>
      </c>
    </row>
    <row r="43" spans="1:8" x14ac:dyDescent="0.25">
      <c r="A43" t="str">
        <f>+SDGE!D98</f>
        <v>Other</v>
      </c>
      <c r="B43" s="3">
        <f>+SDGE!E98</f>
        <v>86</v>
      </c>
      <c r="C43" s="15">
        <f>+SDGE!F98</f>
        <v>14.651162790697676</v>
      </c>
      <c r="D43" s="4">
        <f>+SDGE!G98</f>
        <v>12.6</v>
      </c>
      <c r="E43" s="4">
        <f>+SDGE!H98</f>
        <v>2.6</v>
      </c>
      <c r="F43" s="4">
        <f>+SDGE!I98</f>
        <v>15.2</v>
      </c>
      <c r="G43" s="15">
        <f>+SDGE!J98</f>
        <v>17.674418604651162</v>
      </c>
      <c r="H43" s="44">
        <f>+SDGE!K98</f>
        <v>0.20634920634920623</v>
      </c>
    </row>
    <row r="44" spans="1:8" x14ac:dyDescent="0.25">
      <c r="A44" t="str">
        <f>+SDGE!D99</f>
        <v>Industrial</v>
      </c>
      <c r="B44" s="3">
        <f>+SDGE!E99</f>
        <v>8663</v>
      </c>
      <c r="C44" s="15">
        <f>+SDGE!F99</f>
        <v>11.689945746277273</v>
      </c>
      <c r="D44" s="4">
        <f>+SDGE!G99</f>
        <v>1012.7</v>
      </c>
      <c r="E44" s="4">
        <f>+SDGE!H99</f>
        <v>296</v>
      </c>
      <c r="F44" s="4">
        <f>+SDGE!I99</f>
        <v>1308.8999999999999</v>
      </c>
      <c r="G44" s="15">
        <f>+SDGE!J99</f>
        <v>15.109084612720766</v>
      </c>
      <c r="H44" s="44">
        <f>+SDGE!K99</f>
        <v>0.29248543497580703</v>
      </c>
    </row>
    <row r="46" spans="1:8" x14ac:dyDescent="0.25">
      <c r="A46" t="str">
        <f>+SDGE!D101</f>
        <v>Total</v>
      </c>
      <c r="B46" s="3">
        <f>+SDGE!E101</f>
        <v>17205</v>
      </c>
      <c r="C46" s="15">
        <f>+SDGE!F101</f>
        <v>12.731182795698926</v>
      </c>
      <c r="D46" s="4">
        <f>+SDGE!G101</f>
        <v>2190.4</v>
      </c>
      <c r="E46" s="4">
        <f>+SDGE!H101</f>
        <v>523.29999999999995</v>
      </c>
      <c r="F46" s="4">
        <f>+SDGE!I101</f>
        <v>2713.8</v>
      </c>
      <c r="G46" s="15">
        <f>+SDGE!J101</f>
        <v>15.773321708805582</v>
      </c>
      <c r="H46" s="44">
        <f>+SDGE!K101</f>
        <v>0.23895178962746541</v>
      </c>
    </row>
    <row r="50" spans="1:8" x14ac:dyDescent="0.25">
      <c r="D50" s="43" t="s">
        <v>157</v>
      </c>
    </row>
    <row r="52" spans="1:8" x14ac:dyDescent="0.25">
      <c r="B52" s="3" t="str">
        <f>+B37</f>
        <v>Annual</v>
      </c>
      <c r="C52" s="3" t="str">
        <f t="shared" ref="C52:G52" si="0">+C37</f>
        <v>Current</v>
      </c>
      <c r="D52" s="3" t="str">
        <f t="shared" si="0"/>
        <v>Current</v>
      </c>
      <c r="E52" s="3" t="str">
        <f t="shared" si="0"/>
        <v>Revenue</v>
      </c>
      <c r="F52" s="3" t="str">
        <f t="shared" si="0"/>
        <v xml:space="preserve">New Total </v>
      </c>
      <c r="G52" s="3" t="str">
        <f t="shared" si="0"/>
        <v>New Rates</v>
      </c>
      <c r="H52" s="3"/>
    </row>
    <row r="53" spans="1:8" x14ac:dyDescent="0.25">
      <c r="A53" s="3" t="str">
        <f>+A38</f>
        <v>Description</v>
      </c>
      <c r="B53" s="3" t="str">
        <f>+B38</f>
        <v>Sales (GWh)</v>
      </c>
      <c r="C53" s="3" t="str">
        <f t="shared" ref="C53:H53" si="1">+C38</f>
        <v>Rate (cents)</v>
      </c>
      <c r="D53" s="3" t="str">
        <f t="shared" si="1"/>
        <v>Revenue (MM)</v>
      </c>
      <c r="E53" s="3" t="str">
        <f t="shared" si="1"/>
        <v>Increase (MM)</v>
      </c>
      <c r="F53" s="3" t="str">
        <f t="shared" si="1"/>
        <v>Revenue</v>
      </c>
      <c r="G53" s="3" t="str">
        <f t="shared" si="1"/>
        <v>(cents/kWh)</v>
      </c>
      <c r="H53" s="3" t="str">
        <f t="shared" si="1"/>
        <v>Increase %</v>
      </c>
    </row>
    <row r="55" spans="1:8" x14ac:dyDescent="0.25">
      <c r="A55" t="str">
        <f>+A40</f>
        <v>Residential</v>
      </c>
      <c r="B55" s="3">
        <f>+B10+B25+B40</f>
        <v>60254</v>
      </c>
      <c r="C55" s="15">
        <f>+D55/B55*100</f>
        <v>12.101786935307199</v>
      </c>
      <c r="D55" s="4">
        <f>+D10+D25+D40</f>
        <v>7291.8107</v>
      </c>
      <c r="E55" s="4">
        <f>+E10+E25+E40</f>
        <v>1509.6217000000006</v>
      </c>
      <c r="F55" s="4">
        <f>+F10+F25+F40</f>
        <v>8812.9324000000015</v>
      </c>
      <c r="G55" s="15">
        <f>+F55/B55*100</f>
        <v>14.626302652106087</v>
      </c>
      <c r="H55" s="44">
        <f>+E55/D55</f>
        <v>0.20702974365475513</v>
      </c>
    </row>
    <row r="56" spans="1:8" x14ac:dyDescent="0.25">
      <c r="A56" t="str">
        <f>+A41</f>
        <v>Commercial</v>
      </c>
      <c r="B56" s="3">
        <f t="shared" ref="B56:B61" si="2">+B11+B26+B41</f>
        <v>53018</v>
      </c>
      <c r="C56" s="15">
        <f t="shared" ref="C56:C61" si="3">+D56/B56*100</f>
        <v>10.393189294201969</v>
      </c>
      <c r="D56" s="4">
        <f t="shared" ref="D56:F61" si="4">+D11+D26+D41</f>
        <v>5510.2610999999997</v>
      </c>
      <c r="E56" s="4">
        <f t="shared" si="4"/>
        <v>1612.2982000000002</v>
      </c>
      <c r="F56" s="4">
        <f t="shared" si="4"/>
        <v>7098.8593000000001</v>
      </c>
      <c r="G56" s="15">
        <f t="shared" ref="G56:G61" si="5">+F56/B56*100</f>
        <v>13.389526764495077</v>
      </c>
      <c r="H56" s="44">
        <f t="shared" ref="H56:H61" si="6">+E56/D56</f>
        <v>0.29259923817403138</v>
      </c>
    </row>
    <row r="57" spans="1:8" x14ac:dyDescent="0.25">
      <c r="A57" t="str">
        <f>+A42</f>
        <v>Agricultural</v>
      </c>
      <c r="B57" s="3">
        <f t="shared" si="2"/>
        <v>22290</v>
      </c>
      <c r="C57" s="15">
        <f t="shared" si="3"/>
        <v>7.2999277703005836</v>
      </c>
      <c r="D57" s="4">
        <f t="shared" si="4"/>
        <v>1627.1539</v>
      </c>
      <c r="E57" s="4">
        <f t="shared" si="4"/>
        <v>825.29559999999992</v>
      </c>
      <c r="F57" s="4">
        <f t="shared" si="4"/>
        <v>2452.4495000000002</v>
      </c>
      <c r="G57" s="15">
        <f t="shared" si="5"/>
        <v>11.002465231045312</v>
      </c>
      <c r="H57" s="44">
        <f t="shared" si="6"/>
        <v>0.50720193092982779</v>
      </c>
    </row>
    <row r="58" spans="1:8" x14ac:dyDescent="0.25">
      <c r="A58" t="str">
        <f>+A43</f>
        <v>Other</v>
      </c>
      <c r="B58" s="3">
        <f t="shared" si="2"/>
        <v>1262</v>
      </c>
      <c r="C58" s="15">
        <f t="shared" si="3"/>
        <v>7.9098098256735332</v>
      </c>
      <c r="D58" s="4">
        <f t="shared" si="4"/>
        <v>99.821799999999996</v>
      </c>
      <c r="E58" s="4">
        <f t="shared" si="4"/>
        <v>41.160600000000009</v>
      </c>
      <c r="F58" s="4">
        <f t="shared" si="4"/>
        <v>140.98239999999998</v>
      </c>
      <c r="G58" s="15">
        <f t="shared" si="5"/>
        <v>11.171347068145799</v>
      </c>
      <c r="H58" s="44">
        <f t="shared" si="6"/>
        <v>0.41234079129007906</v>
      </c>
    </row>
    <row r="59" spans="1:8" x14ac:dyDescent="0.25">
      <c r="A59" t="str">
        <f>+A44</f>
        <v>Industrial</v>
      </c>
      <c r="B59" s="3">
        <f t="shared" si="2"/>
        <v>43618</v>
      </c>
      <c r="C59" s="15">
        <f t="shared" si="3"/>
        <v>9.2122793342198186</v>
      </c>
      <c r="D59" s="4">
        <f t="shared" si="4"/>
        <v>4018.2120000000004</v>
      </c>
      <c r="E59" s="4">
        <f t="shared" si="4"/>
        <v>1710.9576999999999</v>
      </c>
      <c r="F59" s="4">
        <f t="shared" si="4"/>
        <v>5729.4696999999987</v>
      </c>
      <c r="G59" s="15">
        <f t="shared" si="5"/>
        <v>13.135562611765783</v>
      </c>
      <c r="H59" s="44">
        <f t="shared" si="6"/>
        <v>0.42580075416628088</v>
      </c>
    </row>
    <row r="61" spans="1:8" x14ac:dyDescent="0.25">
      <c r="A61" t="str">
        <f>+A46</f>
        <v>Total</v>
      </c>
      <c r="B61" s="3">
        <f t="shared" si="2"/>
        <v>180442</v>
      </c>
      <c r="C61" s="15">
        <f t="shared" si="3"/>
        <v>10.278792908524625</v>
      </c>
      <c r="D61" s="4">
        <f t="shared" si="4"/>
        <v>18547.259500000004</v>
      </c>
      <c r="E61" s="4">
        <f t="shared" si="4"/>
        <v>5699.3338000000012</v>
      </c>
      <c r="F61" s="4">
        <f t="shared" si="4"/>
        <v>24234.693299999999</v>
      </c>
      <c r="G61" s="15">
        <f t="shared" si="5"/>
        <v>13.430738575276266</v>
      </c>
      <c r="H61" s="44">
        <f t="shared" si="6"/>
        <v>0.30728711160805183</v>
      </c>
    </row>
  </sheetData>
  <pageMargins left="2.35" right="0.75" top="0.64" bottom="0.54" header="0.31" footer="0.16"/>
  <pageSetup scale="70" orientation="landscape" r:id="rId1"/>
  <headerFooter alignWithMargins="0">
    <oddFooter>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7:H66"/>
  <sheetViews>
    <sheetView zoomScaleNormal="100" workbookViewId="0">
      <selection activeCell="D16" sqref="D16"/>
    </sheetView>
  </sheetViews>
  <sheetFormatPr defaultRowHeight="13.2" x14ac:dyDescent="0.25"/>
  <cols>
    <col min="3" max="3" width="23.5546875" customWidth="1"/>
    <col min="4" max="4" width="11.88671875" style="3" bestFit="1" customWidth="1"/>
    <col min="5" max="5" width="12" style="45" bestFit="1" customWidth="1"/>
    <col min="6" max="6" width="13.33203125" style="46" bestFit="1" customWidth="1"/>
    <col min="7" max="7" width="12" style="2" bestFit="1" customWidth="1"/>
    <col min="8" max="8" width="12" style="8" bestFit="1" customWidth="1"/>
  </cols>
  <sheetData>
    <row r="7" spans="3:8" x14ac:dyDescent="0.25">
      <c r="F7" s="47" t="str">
        <f>+'All Summary'!D5</f>
        <v>PGE</v>
      </c>
    </row>
    <row r="9" spans="3:8" x14ac:dyDescent="0.25">
      <c r="D9" s="3" t="str">
        <f>+'All Summary'!B7</f>
        <v>Annual</v>
      </c>
      <c r="E9" s="45" t="str">
        <f>+'All Summary'!C7</f>
        <v>Current</v>
      </c>
      <c r="F9" s="46" t="str">
        <f>+'All Summary'!E7</f>
        <v>Revenue</v>
      </c>
      <c r="G9" s="2" t="str">
        <f>+'All Summary'!G7</f>
        <v>New Rates</v>
      </c>
    </row>
    <row r="10" spans="3:8" x14ac:dyDescent="0.25">
      <c r="C10" t="str">
        <f>+'All Summary'!A8</f>
        <v>Description</v>
      </c>
      <c r="D10" s="3" t="str">
        <f>+'All Summary'!B8</f>
        <v>Sales (GWh)</v>
      </c>
      <c r="E10" s="45" t="str">
        <f>+'All Summary'!C8</f>
        <v>Rate (cents)</v>
      </c>
      <c r="F10" s="46" t="str">
        <f>+'All Summary'!E8</f>
        <v>Increase (MM)</v>
      </c>
      <c r="G10" s="2" t="str">
        <f>+'All Summary'!G8</f>
        <v>(cents/kWh)</v>
      </c>
      <c r="H10" s="8" t="str">
        <f>+'All Summary'!H8</f>
        <v>Increase %</v>
      </c>
    </row>
    <row r="12" spans="3:8" x14ac:dyDescent="0.25">
      <c r="C12" t="str">
        <f>+'All Summary'!A10</f>
        <v>Residential</v>
      </c>
      <c r="D12" s="3">
        <f>+'All Summary'!B10</f>
        <v>28846</v>
      </c>
      <c r="E12" s="45">
        <f>+'All Summary'!C10</f>
        <v>11.512168064896349</v>
      </c>
      <c r="F12" s="46">
        <f>+'All Summary'!E10</f>
        <v>691.1</v>
      </c>
      <c r="G12" s="2">
        <f>+'All Summary'!G10</f>
        <v>13.948207723774528</v>
      </c>
      <c r="H12" s="8">
        <f>+'All Summary'!H10</f>
        <v>0.21160563719585629</v>
      </c>
    </row>
    <row r="13" spans="3:8" x14ac:dyDescent="0.25">
      <c r="C13" t="str">
        <f>+'All Summary'!A11</f>
        <v>Commercial</v>
      </c>
      <c r="D13" s="3">
        <f>+'All Summary'!B11</f>
        <v>20815</v>
      </c>
      <c r="E13" s="45">
        <f>+'All Summary'!C11</f>
        <v>10.795099687725198</v>
      </c>
      <c r="F13" s="46">
        <f>+'All Summary'!E11</f>
        <v>453.79999999999995</v>
      </c>
      <c r="G13" s="2">
        <f>+'All Summary'!G11</f>
        <v>12.860917607494596</v>
      </c>
      <c r="H13" s="8">
        <f>+'All Summary'!H11</f>
        <v>0.19136626613262131</v>
      </c>
    </row>
    <row r="14" spans="3:8" x14ac:dyDescent="0.25">
      <c r="C14" t="str">
        <f>+'All Summary'!A12</f>
        <v>Agricultural</v>
      </c>
      <c r="D14" s="3">
        <f>+'All Summary'!B12</f>
        <v>19216</v>
      </c>
      <c r="E14" s="45">
        <f>+'All Summary'!C12</f>
        <v>6.8208784346378017</v>
      </c>
      <c r="F14" s="46">
        <f>+'All Summary'!E12</f>
        <v>717.8</v>
      </c>
      <c r="G14" s="2">
        <f>+'All Summary'!G12</f>
        <v>10.55682764363031</v>
      </c>
      <c r="H14" s="8">
        <f>+'All Summary'!H12</f>
        <v>0.54772259098191833</v>
      </c>
    </row>
    <row r="15" spans="3:8" x14ac:dyDescent="0.25">
      <c r="C15" t="str">
        <f>+'All Summary'!A13</f>
        <v>Other</v>
      </c>
      <c r="D15" s="3">
        <f>+'All Summary'!B13</f>
        <v>489</v>
      </c>
      <c r="E15" s="45">
        <f>+'All Summary'!C13</f>
        <v>8.4662576687116555</v>
      </c>
      <c r="F15" s="46">
        <f>+'All Summary'!E13</f>
        <v>7.9</v>
      </c>
      <c r="G15" s="2">
        <f>+'All Summary'!G13</f>
        <v>10.081799591002044</v>
      </c>
      <c r="H15" s="8">
        <f>+'All Summary'!H13</f>
        <v>0.19082125603864736</v>
      </c>
    </row>
    <row r="16" spans="3:8" x14ac:dyDescent="0.25">
      <c r="C16" t="str">
        <f>+'All Summary'!A14</f>
        <v>Industrial</v>
      </c>
      <c r="D16" s="3">
        <f>+'All Summary'!B14</f>
        <v>10969</v>
      </c>
      <c r="E16" s="45">
        <f>+'All Summary'!C14</f>
        <v>9.5633147962439597</v>
      </c>
      <c r="F16" s="46">
        <f>+'All Summary'!E14</f>
        <v>438.8</v>
      </c>
      <c r="G16" s="2">
        <f>+'All Summary'!G14</f>
        <v>13.564591120430302</v>
      </c>
      <c r="H16" s="8">
        <f>+'All Summary'!H14</f>
        <v>0.41839847473784553</v>
      </c>
    </row>
    <row r="18" spans="3:8" x14ac:dyDescent="0.25">
      <c r="C18" t="str">
        <f>+'All Summary'!A16</f>
        <v>Total</v>
      </c>
      <c r="D18" s="3">
        <f>+'All Summary'!B16</f>
        <v>80335</v>
      </c>
      <c r="E18" s="45">
        <f>+'All Summary'!C16</f>
        <v>9.9195867305657561</v>
      </c>
      <c r="F18" s="46">
        <f>+'All Summary'!E16</f>
        <v>2309.4</v>
      </c>
      <c r="G18" s="2">
        <f>+'All Summary'!G16</f>
        <v>12.779361424036844</v>
      </c>
      <c r="H18" s="8">
        <f>+'All Summary'!H16</f>
        <v>0.28829574972706379</v>
      </c>
    </row>
    <row r="20" spans="3:8" x14ac:dyDescent="0.25">
      <c r="C20" t="s">
        <v>158</v>
      </c>
      <c r="D20" s="3">
        <f>93000*0.58</f>
        <v>53939.999999999993</v>
      </c>
    </row>
    <row r="23" spans="3:8" x14ac:dyDescent="0.25">
      <c r="F23" s="47" t="str">
        <f>+'All Summary'!D20</f>
        <v>SCE</v>
      </c>
    </row>
    <row r="25" spans="3:8" x14ac:dyDescent="0.25">
      <c r="D25" s="3" t="str">
        <f>+'All Summary'!B22</f>
        <v>Annual</v>
      </c>
      <c r="E25" s="45" t="str">
        <f>+'All Summary'!C22</f>
        <v>Current</v>
      </c>
      <c r="F25" s="46" t="str">
        <f>+'All Summary'!E22</f>
        <v>Revenue</v>
      </c>
      <c r="G25" s="2" t="str">
        <f>+'All Summary'!G22</f>
        <v>New Rates</v>
      </c>
    </row>
    <row r="26" spans="3:8" x14ac:dyDescent="0.25">
      <c r="C26" t="str">
        <f>+'All Summary'!A23</f>
        <v>Description</v>
      </c>
      <c r="D26" s="3" t="str">
        <f>+'All Summary'!B23</f>
        <v>Sales (GWh)</v>
      </c>
      <c r="E26" s="45" t="str">
        <f>+'All Summary'!C23</f>
        <v>Rate (cents)</v>
      </c>
      <c r="F26" s="46" t="str">
        <f>+'All Summary'!E23</f>
        <v>Increase (MM)</v>
      </c>
      <c r="G26" s="2" t="str">
        <f>+'All Summary'!G23</f>
        <v>(cents/kWh)</v>
      </c>
      <c r="H26" s="8" t="str">
        <f>+'All Summary'!H23</f>
        <v>Increase %</v>
      </c>
    </row>
    <row r="28" spans="3:8" x14ac:dyDescent="0.25">
      <c r="C28" t="str">
        <f>+'All Summary'!A25</f>
        <v>Residential</v>
      </c>
      <c r="D28" s="3">
        <f>+'All Summary'!B25</f>
        <v>25149</v>
      </c>
      <c r="E28" s="45">
        <f>+'All Summary'!C25</f>
        <v>12.382642252177027</v>
      </c>
      <c r="F28" s="46">
        <f>+'All Summary'!E25</f>
        <v>659.72170000000062</v>
      </c>
      <c r="G28" s="2">
        <f>+'All Summary'!G25</f>
        <v>15.005894468964973</v>
      </c>
      <c r="H28" s="8">
        <f>+'All Summary'!H25</f>
        <v>0.21184914845833855</v>
      </c>
    </row>
    <row r="29" spans="3:8" x14ac:dyDescent="0.25">
      <c r="C29" t="str">
        <f>+'All Summary'!A26</f>
        <v>Commercial</v>
      </c>
      <c r="D29" s="3">
        <f>+'All Summary'!B26</f>
        <v>30134</v>
      </c>
      <c r="E29" s="45">
        <f>+'All Summary'!C26</f>
        <v>9.8604934625340146</v>
      </c>
      <c r="F29" s="46">
        <f>+'All Summary'!E26</f>
        <v>1096.3982000000003</v>
      </c>
      <c r="G29" s="2">
        <f>+'All Summary'!G26</f>
        <v>13.498902568527246</v>
      </c>
      <c r="H29" s="8">
        <f>+'All Summary'!H26</f>
        <v>0.36898854198501835</v>
      </c>
    </row>
    <row r="30" spans="3:8" x14ac:dyDescent="0.25">
      <c r="C30" t="str">
        <f>+'All Summary'!A27</f>
        <v>Agricultural</v>
      </c>
      <c r="D30" s="3">
        <f>+'All Summary'!B27</f>
        <v>2946</v>
      </c>
      <c r="E30" s="45">
        <f>+'All Summary'!C27</f>
        <v>10.188523421588595</v>
      </c>
      <c r="F30" s="46">
        <f>+'All Summary'!E27</f>
        <v>103.69559999999996</v>
      </c>
      <c r="G30" s="2">
        <f>+'All Summary'!G27</f>
        <v>13.708401221995924</v>
      </c>
      <c r="H30" s="8">
        <f>+'All Summary'!H27</f>
        <v>0.34547477144224981</v>
      </c>
    </row>
    <row r="31" spans="3:8" x14ac:dyDescent="0.25">
      <c r="C31" t="str">
        <f>+'All Summary'!A28</f>
        <v>Other</v>
      </c>
      <c r="D31" s="3">
        <f>+'All Summary'!B28</f>
        <v>687</v>
      </c>
      <c r="E31" s="45">
        <f>+'All Summary'!C28</f>
        <v>6.6698398835516732</v>
      </c>
      <c r="F31" s="46">
        <f>+'All Summary'!E28</f>
        <v>30.660600000000006</v>
      </c>
      <c r="G31" s="2">
        <f>+'All Summary'!G28</f>
        <v>11.132809315866083</v>
      </c>
      <c r="H31" s="8">
        <f>+'All Summary'!H28</f>
        <v>0.66912692212003899</v>
      </c>
    </row>
    <row r="32" spans="3:8" x14ac:dyDescent="0.25">
      <c r="C32" t="str">
        <f>+'All Summary'!A29</f>
        <v>Industrial</v>
      </c>
      <c r="D32" s="3">
        <f>+'All Summary'!B29</f>
        <v>23986</v>
      </c>
      <c r="E32" s="45">
        <f>+'All Summary'!C29</f>
        <v>8.1568915200533656</v>
      </c>
      <c r="F32" s="46">
        <f>+'All Summary'!E29</f>
        <v>976.15769999999986</v>
      </c>
      <c r="G32" s="2">
        <f>+'All Summary'!G29</f>
        <v>12.226589260401898</v>
      </c>
      <c r="H32" s="8">
        <f>+'All Summary'!H29</f>
        <v>0.49892753021703873</v>
      </c>
    </row>
    <row r="34" spans="3:8" x14ac:dyDescent="0.25">
      <c r="C34" t="str">
        <f>+'All Summary'!A31</f>
        <v>Total</v>
      </c>
      <c r="D34" s="3">
        <f>+'All Summary'!B31</f>
        <v>82902</v>
      </c>
      <c r="E34" s="45">
        <f>+'All Summary'!C31</f>
        <v>10.117921763045524</v>
      </c>
      <c r="F34" s="46">
        <f>+'All Summary'!E31</f>
        <v>2866.633800000001</v>
      </c>
      <c r="G34" s="2">
        <f>+'All Summary'!G31</f>
        <v>13.575780198306434</v>
      </c>
      <c r="H34" s="8">
        <f>+'All Summary'!H31</f>
        <v>0.34175579889244806</v>
      </c>
    </row>
    <row r="36" spans="3:8" x14ac:dyDescent="0.25">
      <c r="C36" t="s">
        <v>159</v>
      </c>
      <c r="D36" s="3">
        <f>83000*0.66</f>
        <v>54780</v>
      </c>
    </row>
    <row r="38" spans="3:8" x14ac:dyDescent="0.25">
      <c r="F38" s="47" t="str">
        <f>+'All Summary'!D35</f>
        <v>SDGE</v>
      </c>
    </row>
    <row r="40" spans="3:8" x14ac:dyDescent="0.25">
      <c r="D40" s="3" t="str">
        <f>+'All Summary'!B37</f>
        <v>Annual</v>
      </c>
      <c r="E40" s="45" t="str">
        <f>+'All Summary'!C37</f>
        <v>Current</v>
      </c>
      <c r="F40" s="46" t="str">
        <f>+'All Summary'!E37</f>
        <v>Revenue</v>
      </c>
      <c r="G40" s="2" t="str">
        <f>+'All Summary'!G37</f>
        <v>New Rates</v>
      </c>
    </row>
    <row r="41" spans="3:8" x14ac:dyDescent="0.25">
      <c r="C41" t="str">
        <f>+'All Summary'!A38</f>
        <v>Description</v>
      </c>
      <c r="D41" s="3" t="str">
        <f>+'All Summary'!B38</f>
        <v>Sales (GWh)</v>
      </c>
      <c r="E41" s="45" t="str">
        <f>+'All Summary'!C38</f>
        <v>Rate (cents)</v>
      </c>
      <c r="F41" s="46" t="str">
        <f>+'All Summary'!E38</f>
        <v>Increase (MM)</v>
      </c>
      <c r="G41" s="2" t="str">
        <f>+'All Summary'!G38</f>
        <v>(cents/kWh)</v>
      </c>
      <c r="H41" s="8" t="str">
        <f>+'All Summary'!H38</f>
        <v>Increase %</v>
      </c>
    </row>
    <row r="43" spans="3:8" x14ac:dyDescent="0.25">
      <c r="C43" t="str">
        <f>+'All Summary'!A40</f>
        <v>Residential</v>
      </c>
      <c r="D43" s="3">
        <f>+'All Summary'!B40</f>
        <v>6259</v>
      </c>
      <c r="E43" s="45">
        <f>+'All Summary'!C40</f>
        <v>13.690685413005275</v>
      </c>
      <c r="F43" s="46">
        <f>+'All Summary'!E40</f>
        <v>158.80000000000001</v>
      </c>
      <c r="G43" s="2">
        <f>+'All Summary'!G40</f>
        <v>16.226234222719285</v>
      </c>
      <c r="H43" s="8">
        <f>+'All Summary'!H40</f>
        <v>0.18520247403430956</v>
      </c>
    </row>
    <row r="44" spans="3:8" x14ac:dyDescent="0.25">
      <c r="C44" t="str">
        <f>+'All Summary'!A41</f>
        <v>Commercial</v>
      </c>
      <c r="D44" s="3">
        <f>+'All Summary'!B41</f>
        <v>2069</v>
      </c>
      <c r="E44" s="45">
        <f>+'All Summary'!C41</f>
        <v>14.108264862252298</v>
      </c>
      <c r="F44" s="46">
        <f>+'All Summary'!E41</f>
        <v>62.1</v>
      </c>
      <c r="G44" s="2">
        <f>+'All Summary'!G41</f>
        <v>17.114548090865149</v>
      </c>
      <c r="H44" s="8">
        <f>+'All Summary'!H41</f>
        <v>0.21308667351832777</v>
      </c>
    </row>
    <row r="45" spans="3:8" x14ac:dyDescent="0.25">
      <c r="C45" t="str">
        <f>+'All Summary'!A42</f>
        <v>Agricultural</v>
      </c>
      <c r="D45" s="3">
        <f>+'All Summary'!B42</f>
        <v>128</v>
      </c>
      <c r="E45" s="45">
        <f>+'All Summary'!C42</f>
        <v>12.734375</v>
      </c>
      <c r="F45" s="46">
        <f>+'All Summary'!E42</f>
        <v>3.8</v>
      </c>
      <c r="G45" s="2">
        <f>+'All Summary'!G42</f>
        <v>15.625</v>
      </c>
      <c r="H45" s="8">
        <f>+'All Summary'!H42</f>
        <v>0.22699386503067484</v>
      </c>
    </row>
    <row r="46" spans="3:8" x14ac:dyDescent="0.25">
      <c r="C46" t="str">
        <f>+'All Summary'!A43</f>
        <v>Other</v>
      </c>
      <c r="D46" s="3">
        <f>+'All Summary'!B43</f>
        <v>86</v>
      </c>
      <c r="E46" s="45">
        <f>+'All Summary'!C43</f>
        <v>14.651162790697676</v>
      </c>
      <c r="F46" s="46">
        <f>+'All Summary'!E43</f>
        <v>2.6</v>
      </c>
      <c r="G46" s="2">
        <f>+'All Summary'!G43</f>
        <v>17.674418604651162</v>
      </c>
      <c r="H46" s="8">
        <f>+'All Summary'!H43</f>
        <v>0.20634920634920623</v>
      </c>
    </row>
    <row r="47" spans="3:8" x14ac:dyDescent="0.25">
      <c r="C47" t="str">
        <f>+'All Summary'!A44</f>
        <v>Industrial</v>
      </c>
      <c r="D47" s="3">
        <f>+'All Summary'!B44</f>
        <v>8663</v>
      </c>
      <c r="E47" s="45">
        <f>+'All Summary'!C44</f>
        <v>11.689945746277273</v>
      </c>
      <c r="F47" s="46">
        <f>+'All Summary'!E44</f>
        <v>296</v>
      </c>
      <c r="G47" s="2">
        <f>+'All Summary'!G44</f>
        <v>15.109084612720766</v>
      </c>
      <c r="H47" s="8">
        <f>+'All Summary'!H44</f>
        <v>0.29248543497580703</v>
      </c>
    </row>
    <row r="49" spans="3:8" x14ac:dyDescent="0.25">
      <c r="C49" t="str">
        <f>+'All Summary'!A46</f>
        <v>Total</v>
      </c>
      <c r="D49" s="3">
        <f>+'All Summary'!B46</f>
        <v>17205</v>
      </c>
      <c r="E49" s="45">
        <f>+'All Summary'!C46</f>
        <v>12.731182795698926</v>
      </c>
      <c r="F49" s="46">
        <f>+'All Summary'!E46</f>
        <v>523.29999999999995</v>
      </c>
      <c r="G49" s="2">
        <f>+'All Summary'!G46</f>
        <v>15.773321708805582</v>
      </c>
      <c r="H49" s="8">
        <f>+'All Summary'!H46</f>
        <v>0.23895178962746541</v>
      </c>
    </row>
    <row r="51" spans="3:8" x14ac:dyDescent="0.25">
      <c r="C51" t="s">
        <v>160</v>
      </c>
      <c r="D51" s="3">
        <f>16000*0.33</f>
        <v>5280</v>
      </c>
    </row>
    <row r="53" spans="3:8" x14ac:dyDescent="0.25">
      <c r="F53" s="47" t="str">
        <f>+'All Summary'!D50</f>
        <v>TOTAL</v>
      </c>
    </row>
    <row r="55" spans="3:8" x14ac:dyDescent="0.25">
      <c r="D55" s="3" t="str">
        <f>+'All Summary'!B52</f>
        <v>Annual</v>
      </c>
      <c r="E55" s="45" t="str">
        <f>+'All Summary'!C52</f>
        <v>Current</v>
      </c>
      <c r="F55" s="46" t="str">
        <f>+'All Summary'!E52</f>
        <v>Revenue</v>
      </c>
      <c r="G55" s="2" t="str">
        <f>+'All Summary'!G52</f>
        <v>New Rates</v>
      </c>
    </row>
    <row r="56" spans="3:8" x14ac:dyDescent="0.25">
      <c r="C56" t="str">
        <f>+'All Summary'!A53</f>
        <v>Description</v>
      </c>
      <c r="D56" s="3" t="str">
        <f>+'All Summary'!B53</f>
        <v>Sales (GWh)</v>
      </c>
      <c r="E56" s="45" t="str">
        <f>+'All Summary'!C53</f>
        <v>Rate (cents)</v>
      </c>
      <c r="F56" s="46" t="str">
        <f>+'All Summary'!E53</f>
        <v>Increase (MM)</v>
      </c>
      <c r="G56" s="2" t="str">
        <f>+'All Summary'!G53</f>
        <v>(cents/kWh)</v>
      </c>
      <c r="H56" s="8" t="str">
        <f>+'All Summary'!H53</f>
        <v>Increase %</v>
      </c>
    </row>
    <row r="58" spans="3:8" x14ac:dyDescent="0.25">
      <c r="C58" t="str">
        <f>+'All Summary'!A55</f>
        <v>Residential</v>
      </c>
      <c r="D58" s="3">
        <f>+'All Summary'!B55</f>
        <v>60254</v>
      </c>
      <c r="E58" s="45">
        <f>+'All Summary'!C55</f>
        <v>12.101786935307199</v>
      </c>
      <c r="F58" s="46">
        <f>+'All Summary'!E55</f>
        <v>1509.6217000000006</v>
      </c>
      <c r="G58" s="2">
        <f>+'All Summary'!G55</f>
        <v>14.626302652106087</v>
      </c>
      <c r="H58" s="8">
        <f>+'All Summary'!H55</f>
        <v>0.20702974365475513</v>
      </c>
    </row>
    <row r="59" spans="3:8" x14ac:dyDescent="0.25">
      <c r="C59" t="str">
        <f>+'All Summary'!A56</f>
        <v>Commercial</v>
      </c>
      <c r="D59" s="3">
        <f>+'All Summary'!B56</f>
        <v>53018</v>
      </c>
      <c r="E59" s="45">
        <f>+'All Summary'!C56</f>
        <v>10.393189294201969</v>
      </c>
      <c r="F59" s="46">
        <f>+'All Summary'!E56</f>
        <v>1612.2982000000002</v>
      </c>
      <c r="G59" s="2">
        <f>+'All Summary'!G56</f>
        <v>13.389526764495077</v>
      </c>
      <c r="H59" s="8">
        <f>+'All Summary'!H56</f>
        <v>0.29259923817403138</v>
      </c>
    </row>
    <row r="60" spans="3:8" x14ac:dyDescent="0.25">
      <c r="C60" t="str">
        <f>+'All Summary'!A57</f>
        <v>Agricultural</v>
      </c>
      <c r="D60" s="3">
        <f>+'All Summary'!B57</f>
        <v>22290</v>
      </c>
      <c r="E60" s="45">
        <f>+'All Summary'!C57</f>
        <v>7.2999277703005836</v>
      </c>
      <c r="F60" s="46">
        <f>+'All Summary'!E57</f>
        <v>825.29559999999992</v>
      </c>
      <c r="G60" s="2">
        <f>+'All Summary'!G57</f>
        <v>11.002465231045312</v>
      </c>
      <c r="H60" s="8">
        <f>+'All Summary'!H57</f>
        <v>0.50720193092982779</v>
      </c>
    </row>
    <row r="61" spans="3:8" x14ac:dyDescent="0.25">
      <c r="C61" t="str">
        <f>+'All Summary'!A58</f>
        <v>Other</v>
      </c>
      <c r="D61" s="3">
        <f>+'All Summary'!B58</f>
        <v>1262</v>
      </c>
      <c r="E61" s="45">
        <f>+'All Summary'!C58</f>
        <v>7.9098098256735332</v>
      </c>
      <c r="F61" s="46">
        <f>+'All Summary'!E58</f>
        <v>41.160600000000009</v>
      </c>
      <c r="G61" s="2">
        <f>+'All Summary'!G58</f>
        <v>11.171347068145799</v>
      </c>
      <c r="H61" s="8">
        <f>+'All Summary'!H58</f>
        <v>0.41234079129007906</v>
      </c>
    </row>
    <row r="62" spans="3:8" x14ac:dyDescent="0.25">
      <c r="C62" t="str">
        <f>+'All Summary'!A59</f>
        <v>Industrial</v>
      </c>
      <c r="D62" s="3">
        <f>+'All Summary'!B59</f>
        <v>43618</v>
      </c>
      <c r="E62" s="45">
        <f>+'All Summary'!C59</f>
        <v>9.2122793342198186</v>
      </c>
      <c r="F62" s="46">
        <f>+'All Summary'!E59</f>
        <v>1710.9576999999999</v>
      </c>
      <c r="G62" s="2">
        <f>+'All Summary'!G59</f>
        <v>13.135562611765783</v>
      </c>
      <c r="H62" s="8">
        <f>+'All Summary'!H59</f>
        <v>0.42580075416628088</v>
      </c>
    </row>
    <row r="64" spans="3:8" x14ac:dyDescent="0.25">
      <c r="C64" t="str">
        <f>+'All Summary'!A61</f>
        <v>Total</v>
      </c>
      <c r="D64" s="3">
        <f>+'All Summary'!B61</f>
        <v>180442</v>
      </c>
      <c r="E64" s="45">
        <f>+'All Summary'!C61</f>
        <v>10.278792908524625</v>
      </c>
      <c r="F64" s="46">
        <f>+'All Summary'!E61</f>
        <v>5699.3338000000012</v>
      </c>
      <c r="G64" s="2">
        <f>+'All Summary'!G61</f>
        <v>13.430738575276266</v>
      </c>
      <c r="H64" s="8">
        <f>+'All Summary'!H61</f>
        <v>0.30728711160805183</v>
      </c>
    </row>
    <row r="66" spans="3:4" x14ac:dyDescent="0.25">
      <c r="C66" t="s">
        <v>160</v>
      </c>
      <c r="D66" s="3">
        <f>+D20+D36+D51</f>
        <v>114000</v>
      </c>
    </row>
  </sheetData>
  <pageMargins left="3.22" right="0.75" top="0.43" bottom="0.74" header="0.17" footer="0.2"/>
  <pageSetup scale="67" orientation="landscape" r:id="rId1"/>
  <headerFooter alignWithMargins="0">
    <oddFooter>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N62"/>
  <sheetViews>
    <sheetView tabSelected="1" workbookViewId="0">
      <selection activeCell="K1" sqref="K1"/>
    </sheetView>
  </sheetViews>
  <sheetFormatPr defaultRowHeight="13.2" x14ac:dyDescent="0.25"/>
  <cols>
    <col min="1" max="1" width="9.109375" style="1" customWidth="1"/>
    <col min="2" max="2" width="12.44140625" style="1" bestFit="1" customWidth="1"/>
    <col min="3" max="5" width="14" style="3" customWidth="1"/>
    <col min="6" max="6" width="8" style="3" customWidth="1"/>
    <col min="7" max="8" width="14" style="3" customWidth="1"/>
    <col min="9" max="9" width="14" style="25" customWidth="1"/>
    <col min="10" max="10" width="8" style="25" customWidth="1"/>
    <col min="11" max="11" width="14.44140625" style="52" customWidth="1"/>
    <col min="12" max="12" width="16" style="3" customWidth="1"/>
    <col min="13" max="13" width="16" style="1" customWidth="1"/>
    <col min="14" max="14" width="12" bestFit="1" customWidth="1"/>
  </cols>
  <sheetData>
    <row r="3" spans="1:14" x14ac:dyDescent="0.25">
      <c r="D3" s="49" t="s">
        <v>170</v>
      </c>
      <c r="H3" s="49" t="s">
        <v>175</v>
      </c>
      <c r="L3" s="53" t="s">
        <v>178</v>
      </c>
    </row>
    <row r="5" spans="1:14" x14ac:dyDescent="0.25">
      <c r="C5" s="3" t="s">
        <v>171</v>
      </c>
      <c r="D5" s="3" t="s">
        <v>174</v>
      </c>
      <c r="E5" s="3" t="s">
        <v>173</v>
      </c>
      <c r="G5" s="3" t="s">
        <v>171</v>
      </c>
      <c r="H5" s="3" t="s">
        <v>174</v>
      </c>
      <c r="I5" s="3" t="s">
        <v>173</v>
      </c>
      <c r="K5" s="52" t="s">
        <v>179</v>
      </c>
      <c r="L5" s="3" t="s">
        <v>177</v>
      </c>
      <c r="M5" s="1" t="s">
        <v>176</v>
      </c>
    </row>
    <row r="6" spans="1:14" x14ac:dyDescent="0.25">
      <c r="A6" s="1" t="s">
        <v>166</v>
      </c>
      <c r="B6" s="48">
        <v>2001</v>
      </c>
      <c r="G6" s="3">
        <v>13308090</v>
      </c>
      <c r="H6" s="3">
        <v>3798465</v>
      </c>
      <c r="I6" s="3">
        <f>+H6/G6*1000</f>
        <v>285.42525636661611</v>
      </c>
    </row>
    <row r="7" spans="1:14" x14ac:dyDescent="0.25">
      <c r="A7" s="1" t="s">
        <v>167</v>
      </c>
      <c r="B7" s="48">
        <v>2001</v>
      </c>
      <c r="C7" s="3">
        <v>6835030</v>
      </c>
      <c r="D7" s="3">
        <v>925468</v>
      </c>
      <c r="E7" s="3">
        <f>+D7/C7*1000</f>
        <v>135.40072245476611</v>
      </c>
      <c r="G7" s="3">
        <v>10466630</v>
      </c>
      <c r="H7" s="3">
        <v>3625020</v>
      </c>
      <c r="I7" s="3">
        <f>+H7/G7*1000</f>
        <v>346.3407037413188</v>
      </c>
      <c r="K7" s="52">
        <f>+E7-I7</f>
        <v>-210.93998128655269</v>
      </c>
      <c r="L7" s="3">
        <f>+(C7*(E7-I7))/1000</f>
        <v>-1441781.1002930263</v>
      </c>
      <c r="M7" s="50">
        <f>SUM($J$7:L7)</f>
        <v>-1441992.040274313</v>
      </c>
      <c r="N7" s="51"/>
    </row>
    <row r="8" spans="1:14" x14ac:dyDescent="0.25">
      <c r="A8" s="1" t="s">
        <v>168</v>
      </c>
      <c r="B8" s="48">
        <v>2001</v>
      </c>
      <c r="C8" s="3">
        <v>8241181</v>
      </c>
      <c r="D8" s="3">
        <v>1139357</v>
      </c>
      <c r="E8" s="3">
        <f t="shared" ref="E8:E45" si="0">+D8/C8*1000</f>
        <v>138.25166562899176</v>
      </c>
      <c r="G8" s="3">
        <v>13009708</v>
      </c>
      <c r="H8" s="3">
        <v>2533473</v>
      </c>
      <c r="I8" s="3">
        <f t="shared" ref="I8:I45" si="1">+H8/G8*1000</f>
        <v>194.73711477613486</v>
      </c>
      <c r="K8" s="52">
        <f t="shared" ref="K8:K45" si="2">+E8-I8</f>
        <v>-56.4854491471431</v>
      </c>
      <c r="L8" s="3">
        <f t="shared" ref="L8:L45" si="3">+(C8*(E8-I8))/1000</f>
        <v>-465506.81028790196</v>
      </c>
      <c r="M8" s="50">
        <f>SUM($J$7:L8)</f>
        <v>-1907555.336011362</v>
      </c>
    </row>
    <row r="9" spans="1:14" x14ac:dyDescent="0.25">
      <c r="A9" s="1" t="s">
        <v>169</v>
      </c>
      <c r="B9" s="48">
        <v>2001</v>
      </c>
      <c r="C9" s="3">
        <v>7583534</v>
      </c>
      <c r="D9" s="3">
        <v>943585</v>
      </c>
      <c r="E9" s="3">
        <f t="shared" si="0"/>
        <v>124.42549871867126</v>
      </c>
      <c r="G9" s="3">
        <v>9910986</v>
      </c>
      <c r="H9" s="3">
        <v>2145508</v>
      </c>
      <c r="I9" s="3">
        <f t="shared" si="1"/>
        <v>216.47775508915058</v>
      </c>
      <c r="K9" s="52">
        <f t="shared" si="2"/>
        <v>-92.052256370479313</v>
      </c>
      <c r="L9" s="3">
        <f t="shared" si="3"/>
        <v>-698081.41596224636</v>
      </c>
      <c r="M9" s="50">
        <f>SUM($J$7:L9)</f>
        <v>-2605728.8042299789</v>
      </c>
    </row>
    <row r="10" spans="1:14" x14ac:dyDescent="0.25">
      <c r="A10" s="1" t="s">
        <v>166</v>
      </c>
      <c r="B10" s="48">
        <f>+B6+1</f>
        <v>2002</v>
      </c>
      <c r="C10" s="3">
        <v>8874797</v>
      </c>
      <c r="D10" s="3">
        <v>887776</v>
      </c>
      <c r="E10" s="3">
        <f t="shared" si="0"/>
        <v>100.03338667915448</v>
      </c>
      <c r="G10" s="3">
        <v>4732711</v>
      </c>
      <c r="H10" s="3">
        <v>948103</v>
      </c>
      <c r="I10" s="3">
        <f t="shared" si="1"/>
        <v>200.32978983926972</v>
      </c>
      <c r="K10" s="52">
        <f t="shared" si="2"/>
        <v>-100.29640316011525</v>
      </c>
      <c r="L10" s="3">
        <f t="shared" si="3"/>
        <v>-890110.21787618136</v>
      </c>
      <c r="M10" s="50">
        <f>SUM($J$7:L10)</f>
        <v>-3495939.3185093207</v>
      </c>
    </row>
    <row r="11" spans="1:14" x14ac:dyDescent="0.25">
      <c r="A11" s="1" t="s">
        <v>167</v>
      </c>
      <c r="B11" s="48">
        <f t="shared" ref="B11:B45" si="4">+B7+1</f>
        <v>2002</v>
      </c>
      <c r="C11" s="3">
        <v>9736927</v>
      </c>
      <c r="D11" s="3">
        <v>1036213</v>
      </c>
      <c r="E11" s="3">
        <f t="shared" si="0"/>
        <v>106.42094780006053</v>
      </c>
      <c r="G11" s="3">
        <v>5341672</v>
      </c>
      <c r="H11" s="3">
        <v>885326</v>
      </c>
      <c r="I11" s="3">
        <f t="shared" si="1"/>
        <v>165.7394913053441</v>
      </c>
      <c r="K11" s="52">
        <f t="shared" si="2"/>
        <v>-59.318543505283571</v>
      </c>
      <c r="L11" s="3">
        <f t="shared" si="3"/>
        <v>-577580.32785727025</v>
      </c>
      <c r="M11" s="50">
        <f>SUM($J$7:L11)</f>
        <v>-4073578.9649100965</v>
      </c>
    </row>
    <row r="12" spans="1:14" x14ac:dyDescent="0.25">
      <c r="A12" s="1" t="s">
        <v>168</v>
      </c>
      <c r="B12" s="48">
        <f t="shared" si="4"/>
        <v>2002</v>
      </c>
      <c r="C12" s="3">
        <v>12465863</v>
      </c>
      <c r="D12" s="3">
        <v>1399825</v>
      </c>
      <c r="E12" s="3">
        <f t="shared" si="0"/>
        <v>112.29266678127298</v>
      </c>
      <c r="G12" s="3">
        <v>9081049</v>
      </c>
      <c r="H12" s="3">
        <v>1423856</v>
      </c>
      <c r="I12" s="3">
        <f t="shared" si="1"/>
        <v>156.7942205795828</v>
      </c>
      <c r="K12" s="52">
        <f t="shared" si="2"/>
        <v>-44.501553798309814</v>
      </c>
      <c r="L12" s="3">
        <f t="shared" si="3"/>
        <v>-554750.27293685975</v>
      </c>
      <c r="M12" s="50">
        <f>SUM($J$7:L12)</f>
        <v>-4628373.7394007547</v>
      </c>
    </row>
    <row r="13" spans="1:14" x14ac:dyDescent="0.25">
      <c r="A13" s="1" t="s">
        <v>169</v>
      </c>
      <c r="B13" s="48">
        <f t="shared" si="4"/>
        <v>2002</v>
      </c>
      <c r="C13" s="3">
        <v>11409290</v>
      </c>
      <c r="D13" s="3">
        <v>1059733</v>
      </c>
      <c r="E13" s="3">
        <f t="shared" si="0"/>
        <v>92.883343310582873</v>
      </c>
      <c r="G13" s="3">
        <v>6853444</v>
      </c>
      <c r="H13" s="3">
        <v>1153909</v>
      </c>
      <c r="I13" s="3">
        <f t="shared" si="1"/>
        <v>168.36921699513414</v>
      </c>
      <c r="K13" s="52">
        <f t="shared" si="2"/>
        <v>-75.485873684551265</v>
      </c>
      <c r="L13" s="3">
        <f t="shared" si="3"/>
        <v>-861240.2237704139</v>
      </c>
      <c r="M13" s="50">
        <f>SUM($J$7:L13)</f>
        <v>-5489689.4490448525</v>
      </c>
    </row>
    <row r="14" spans="1:14" x14ac:dyDescent="0.25">
      <c r="A14" s="1" t="s">
        <v>166</v>
      </c>
      <c r="B14" s="48">
        <f t="shared" si="4"/>
        <v>2003</v>
      </c>
      <c r="C14" s="3">
        <v>12528689</v>
      </c>
      <c r="D14" s="3">
        <v>1085230</v>
      </c>
      <c r="E14" s="3">
        <f t="shared" si="0"/>
        <v>86.619597629089526</v>
      </c>
      <c r="G14" s="3">
        <v>3497698</v>
      </c>
      <c r="H14" s="3">
        <v>479487</v>
      </c>
      <c r="I14" s="3">
        <f t="shared" si="1"/>
        <v>137.08644943045397</v>
      </c>
      <c r="K14" s="52">
        <f t="shared" si="2"/>
        <v>-50.466851801364442</v>
      </c>
      <c r="L14" s="3">
        <f t="shared" si="3"/>
        <v>-632283.49102838489</v>
      </c>
      <c r="M14" s="50">
        <f>SUM($J$7:L14)</f>
        <v>-6122023.4069250394</v>
      </c>
    </row>
    <row r="15" spans="1:14" x14ac:dyDescent="0.25">
      <c r="A15" s="1" t="s">
        <v>167</v>
      </c>
      <c r="B15" s="48">
        <f t="shared" si="4"/>
        <v>2003</v>
      </c>
      <c r="C15" s="3">
        <v>13882979</v>
      </c>
      <c r="D15" s="3">
        <v>1211480</v>
      </c>
      <c r="E15" s="3">
        <f t="shared" si="0"/>
        <v>87.263691748003083</v>
      </c>
      <c r="G15" s="3">
        <v>2669802</v>
      </c>
      <c r="H15" s="3">
        <v>313163</v>
      </c>
      <c r="I15" s="3">
        <f t="shared" si="1"/>
        <v>117.29821162767875</v>
      </c>
      <c r="K15" s="52">
        <f t="shared" si="2"/>
        <v>-30.03451987967567</v>
      </c>
      <c r="L15" s="3">
        <f t="shared" si="3"/>
        <v>-416968.60876461992</v>
      </c>
      <c r="M15" s="50">
        <f>SUM($J$7:L15)</f>
        <v>-6539022.050209539</v>
      </c>
    </row>
    <row r="16" spans="1:14" x14ac:dyDescent="0.25">
      <c r="A16" s="1" t="s">
        <v>168</v>
      </c>
      <c r="B16" s="48">
        <f t="shared" si="4"/>
        <v>2003</v>
      </c>
      <c r="C16" s="3">
        <v>18336722</v>
      </c>
      <c r="D16" s="3">
        <v>1681729</v>
      </c>
      <c r="E16" s="3">
        <f t="shared" si="0"/>
        <v>91.713720696643605</v>
      </c>
      <c r="G16" s="3">
        <v>5748729</v>
      </c>
      <c r="H16" s="3">
        <v>689927</v>
      </c>
      <c r="I16" s="3">
        <f t="shared" si="1"/>
        <v>120.01383262282846</v>
      </c>
      <c r="K16" s="52">
        <f t="shared" si="2"/>
        <v>-28.300111926184854</v>
      </c>
      <c r="L16" s="3">
        <f t="shared" si="3"/>
        <v>-518931.28495933622</v>
      </c>
      <c r="M16" s="50">
        <f>SUM($J$7:L16)</f>
        <v>-7057981.635280801</v>
      </c>
    </row>
    <row r="17" spans="1:13" x14ac:dyDescent="0.25">
      <c r="A17" s="1" t="s">
        <v>169</v>
      </c>
      <c r="B17" s="48">
        <f t="shared" si="4"/>
        <v>2003</v>
      </c>
      <c r="C17" s="3">
        <v>19737558</v>
      </c>
      <c r="D17" s="3">
        <v>1593041</v>
      </c>
      <c r="E17" s="3">
        <f t="shared" si="0"/>
        <v>80.71114977850857</v>
      </c>
      <c r="G17" s="3">
        <v>2574043</v>
      </c>
      <c r="H17" s="3">
        <v>264705</v>
      </c>
      <c r="I17" s="3">
        <f t="shared" si="1"/>
        <v>102.83627740484522</v>
      </c>
      <c r="K17" s="52">
        <f t="shared" si="2"/>
        <v>-22.125127626336649</v>
      </c>
      <c r="L17" s="3">
        <f t="shared" si="3"/>
        <v>-436695.98978222191</v>
      </c>
      <c r="M17" s="50">
        <f>SUM($J$7:L17)</f>
        <v>-7494699.7501906492</v>
      </c>
    </row>
    <row r="18" spans="1:13" x14ac:dyDescent="0.25">
      <c r="A18" s="1" t="s">
        <v>166</v>
      </c>
      <c r="B18" s="48">
        <f t="shared" si="4"/>
        <v>2004</v>
      </c>
      <c r="C18" s="3">
        <v>21398531</v>
      </c>
      <c r="D18" s="3">
        <v>1635107</v>
      </c>
      <c r="E18" s="3">
        <f t="shared" si="0"/>
        <v>76.412114457763479</v>
      </c>
      <c r="G18" s="3">
        <v>245274</v>
      </c>
      <c r="H18" s="3">
        <v>22338</v>
      </c>
      <c r="I18" s="3">
        <f t="shared" si="1"/>
        <v>91.073656400596875</v>
      </c>
      <c r="K18" s="52">
        <f t="shared" si="2"/>
        <v>-14.661541942833395</v>
      </c>
      <c r="L18" s="3">
        <f t="shared" si="3"/>
        <v>-313735.45977152063</v>
      </c>
      <c r="M18" s="50">
        <f>SUM($J$7:L18)</f>
        <v>-7808449.8715041121</v>
      </c>
    </row>
    <row r="19" spans="1:13" x14ac:dyDescent="0.25">
      <c r="A19" s="1" t="s">
        <v>167</v>
      </c>
      <c r="B19" s="48">
        <f t="shared" si="4"/>
        <v>2004</v>
      </c>
      <c r="C19" s="3">
        <v>20019949</v>
      </c>
      <c r="D19" s="3">
        <v>1535004</v>
      </c>
      <c r="E19" s="3">
        <f t="shared" si="0"/>
        <v>76.673721796194386</v>
      </c>
      <c r="G19" s="3">
        <v>841694</v>
      </c>
      <c r="H19" s="3">
        <v>76644</v>
      </c>
      <c r="I19" s="3">
        <f t="shared" si="1"/>
        <v>91.059221047078864</v>
      </c>
      <c r="K19" s="52">
        <f t="shared" si="2"/>
        <v>-14.385499250884479</v>
      </c>
      <c r="L19" s="3">
        <f t="shared" si="3"/>
        <v>-287996.96134224546</v>
      </c>
      <c r="M19" s="50">
        <f>SUM($J$7:L19)</f>
        <v>-8096461.2183456086</v>
      </c>
    </row>
    <row r="20" spans="1:13" x14ac:dyDescent="0.25">
      <c r="A20" s="1" t="s">
        <v>168</v>
      </c>
      <c r="B20" s="48">
        <f t="shared" si="4"/>
        <v>2004</v>
      </c>
      <c r="C20" s="3">
        <v>21412396</v>
      </c>
      <c r="D20" s="3">
        <v>1732516</v>
      </c>
      <c r="E20" s="3">
        <f t="shared" si="0"/>
        <v>80.911823226134999</v>
      </c>
      <c r="G20" s="3">
        <v>4951489</v>
      </c>
      <c r="H20" s="3">
        <v>421892</v>
      </c>
      <c r="I20" s="3">
        <f t="shared" si="1"/>
        <v>85.205076695111302</v>
      </c>
      <c r="K20" s="52">
        <f t="shared" si="2"/>
        <v>-4.2932534689763031</v>
      </c>
      <c r="L20" s="3">
        <f t="shared" si="3"/>
        <v>-91928.843406094311</v>
      </c>
      <c r="M20" s="50">
        <f>SUM($J$7:L20)</f>
        <v>-8188394.3550051721</v>
      </c>
    </row>
    <row r="21" spans="1:13" x14ac:dyDescent="0.25">
      <c r="A21" s="1" t="s">
        <v>169</v>
      </c>
      <c r="B21" s="48">
        <f t="shared" si="4"/>
        <v>2004</v>
      </c>
      <c r="C21" s="3">
        <v>23182863</v>
      </c>
      <c r="D21" s="3">
        <v>1704610</v>
      </c>
      <c r="E21" s="3">
        <f t="shared" si="0"/>
        <v>73.528882088463362</v>
      </c>
      <c r="G21" s="3">
        <v>1476640</v>
      </c>
      <c r="H21" s="3">
        <v>98683</v>
      </c>
      <c r="I21" s="3">
        <f t="shared" si="1"/>
        <v>66.829423556181595</v>
      </c>
      <c r="K21" s="52">
        <f t="shared" si="2"/>
        <v>6.699458532281767</v>
      </c>
      <c r="L21" s="3">
        <f t="shared" si="3"/>
        <v>155312.62932806928</v>
      </c>
      <c r="M21" s="50">
        <f>SUM($J$7:L21)</f>
        <v>-8033075.0262185708</v>
      </c>
    </row>
    <row r="22" spans="1:13" x14ac:dyDescent="0.25">
      <c r="A22" s="1" t="s">
        <v>166</v>
      </c>
      <c r="B22" s="48">
        <f t="shared" si="4"/>
        <v>2005</v>
      </c>
      <c r="C22" s="3">
        <v>20750188</v>
      </c>
      <c r="D22" s="3">
        <v>1376546</v>
      </c>
      <c r="E22" s="3">
        <f t="shared" si="0"/>
        <v>66.338965218050078</v>
      </c>
      <c r="G22" s="3">
        <v>384980</v>
      </c>
      <c r="H22" s="3">
        <v>30962</v>
      </c>
      <c r="I22" s="3">
        <f t="shared" si="1"/>
        <v>80.424957140630681</v>
      </c>
      <c r="K22" s="52">
        <f t="shared" si="2"/>
        <v>-14.085991922580604</v>
      </c>
      <c r="L22" s="3">
        <f t="shared" si="3"/>
        <v>-292286.98056002898</v>
      </c>
      <c r="M22" s="50">
        <f>SUM($J$7:L22)</f>
        <v>-8325376.0927705225</v>
      </c>
    </row>
    <row r="23" spans="1:13" x14ac:dyDescent="0.25">
      <c r="A23" s="1" t="s">
        <v>167</v>
      </c>
      <c r="B23" s="48">
        <f t="shared" si="4"/>
        <v>2005</v>
      </c>
      <c r="C23" s="3">
        <v>19542403</v>
      </c>
      <c r="D23" s="3">
        <v>1318901</v>
      </c>
      <c r="E23" s="3">
        <f t="shared" si="0"/>
        <v>67.489192603386599</v>
      </c>
      <c r="G23" s="3">
        <v>924755</v>
      </c>
      <c r="H23" s="3">
        <v>72706</v>
      </c>
      <c r="I23" s="3">
        <f t="shared" si="1"/>
        <v>78.62190526139355</v>
      </c>
      <c r="K23" s="52">
        <f t="shared" si="2"/>
        <v>-11.132712658006952</v>
      </c>
      <c r="L23" s="3">
        <f t="shared" si="3"/>
        <v>-217559.95724597303</v>
      </c>
      <c r="M23" s="50">
        <f>SUM($J$7:L23)</f>
        <v>-8542947.182729153</v>
      </c>
    </row>
    <row r="24" spans="1:13" x14ac:dyDescent="0.25">
      <c r="A24" s="1" t="s">
        <v>168</v>
      </c>
      <c r="B24" s="48">
        <f t="shared" si="4"/>
        <v>2005</v>
      </c>
      <c r="C24" s="3">
        <v>20486838</v>
      </c>
      <c r="D24" s="3">
        <v>1509107</v>
      </c>
      <c r="E24" s="3">
        <f t="shared" si="0"/>
        <v>73.662270380621933</v>
      </c>
      <c r="G24" s="3">
        <v>6592204</v>
      </c>
      <c r="H24" s="3">
        <v>465873</v>
      </c>
      <c r="I24" s="3">
        <f t="shared" si="1"/>
        <v>70.670294790634514</v>
      </c>
      <c r="K24" s="52">
        <f t="shared" si="2"/>
        <v>2.991975589987419</v>
      </c>
      <c r="L24" s="3">
        <f t="shared" si="3"/>
        <v>61296.119212026679</v>
      </c>
      <c r="M24" s="50">
        <f>SUM($J$7:L24)</f>
        <v>-8481648.0715415366</v>
      </c>
    </row>
    <row r="25" spans="1:13" x14ac:dyDescent="0.25">
      <c r="A25" s="1" t="s">
        <v>169</v>
      </c>
      <c r="B25" s="48">
        <f t="shared" si="4"/>
        <v>2005</v>
      </c>
      <c r="C25" s="3">
        <v>21060134</v>
      </c>
      <c r="D25" s="3">
        <v>1371723</v>
      </c>
      <c r="E25" s="3">
        <f t="shared" si="0"/>
        <v>65.133631153533969</v>
      </c>
      <c r="G25" s="3">
        <v>3624725</v>
      </c>
      <c r="H25" s="3">
        <v>245600</v>
      </c>
      <c r="I25" s="3">
        <f t="shared" si="1"/>
        <v>67.756864313844488</v>
      </c>
      <c r="K25" s="52">
        <f t="shared" si="2"/>
        <v>-2.6232331603105195</v>
      </c>
      <c r="L25" s="3">
        <f t="shared" si="3"/>
        <v>-55245.64186938302</v>
      </c>
      <c r="M25" s="50">
        <f>SUM($J$7:L25)</f>
        <v>-8536896.3366440795</v>
      </c>
    </row>
    <row r="26" spans="1:13" x14ac:dyDescent="0.25">
      <c r="A26" s="1" t="s">
        <v>166</v>
      </c>
      <c r="B26" s="48">
        <f t="shared" si="4"/>
        <v>2006</v>
      </c>
      <c r="C26" s="3">
        <v>21151029</v>
      </c>
      <c r="D26" s="3">
        <v>1251999</v>
      </c>
      <c r="E26" s="3">
        <f t="shared" si="0"/>
        <v>59.193290312258569</v>
      </c>
      <c r="G26" s="3">
        <v>798000</v>
      </c>
      <c r="H26" s="3">
        <v>65676</v>
      </c>
      <c r="I26" s="3">
        <f t="shared" si="1"/>
        <v>82.300751879699249</v>
      </c>
      <c r="K26" s="52">
        <f t="shared" si="2"/>
        <v>-23.10746156744068</v>
      </c>
      <c r="L26" s="3">
        <f t="shared" si="3"/>
        <v>-488746.58972932328</v>
      </c>
      <c r="M26" s="50">
        <f>SUM($J$7:L26)</f>
        <v>-9025666.0338349715</v>
      </c>
    </row>
    <row r="27" spans="1:13" x14ac:dyDescent="0.25">
      <c r="A27" s="1" t="s">
        <v>167</v>
      </c>
      <c r="B27" s="48">
        <f t="shared" si="4"/>
        <v>2006</v>
      </c>
      <c r="C27" s="3">
        <v>19575129</v>
      </c>
      <c r="D27" s="3">
        <v>1174242</v>
      </c>
      <c r="E27" s="3">
        <f t="shared" si="0"/>
        <v>59.986424610535131</v>
      </c>
      <c r="G27" s="3">
        <v>1915266</v>
      </c>
      <c r="H27" s="3">
        <v>150629</v>
      </c>
      <c r="I27" s="3">
        <f t="shared" si="1"/>
        <v>78.646516985108079</v>
      </c>
      <c r="K27" s="52">
        <f t="shared" si="2"/>
        <v>-18.660092374572947</v>
      </c>
      <c r="L27" s="3">
        <f t="shared" si="3"/>
        <v>-365273.71538418176</v>
      </c>
      <c r="M27" s="50">
        <f>SUM($J$7:L27)</f>
        <v>-9390958.4093115274</v>
      </c>
    </row>
    <row r="28" spans="1:13" x14ac:dyDescent="0.25">
      <c r="A28" s="1" t="s">
        <v>168</v>
      </c>
      <c r="B28" s="48">
        <f t="shared" si="4"/>
        <v>2006</v>
      </c>
      <c r="C28" s="3">
        <v>19753086</v>
      </c>
      <c r="D28" s="3">
        <v>1322665</v>
      </c>
      <c r="E28" s="3">
        <f t="shared" si="0"/>
        <v>66.95991704789823</v>
      </c>
      <c r="G28" s="3">
        <v>8560415</v>
      </c>
      <c r="H28" s="3">
        <v>609070</v>
      </c>
      <c r="I28" s="3">
        <f t="shared" si="1"/>
        <v>71.149587958060451</v>
      </c>
      <c r="K28" s="52">
        <f t="shared" si="2"/>
        <v>-4.1896709101622207</v>
      </c>
      <c r="L28" s="3">
        <f t="shared" si="3"/>
        <v>-82758.929800132624</v>
      </c>
      <c r="M28" s="50">
        <f>SUM($J$7:L28)</f>
        <v>-9473721.5287825707</v>
      </c>
    </row>
    <row r="29" spans="1:13" x14ac:dyDescent="0.25">
      <c r="A29" s="1" t="s">
        <v>169</v>
      </c>
      <c r="B29" s="48">
        <f t="shared" si="4"/>
        <v>2006</v>
      </c>
      <c r="C29" s="3">
        <v>19795707</v>
      </c>
      <c r="D29" s="3">
        <v>1176044</v>
      </c>
      <c r="E29" s="3">
        <f t="shared" si="0"/>
        <v>59.409042576756669</v>
      </c>
      <c r="I29" s="3" t="e">
        <f t="shared" si="1"/>
        <v>#DIV/0!</v>
      </c>
      <c r="K29" s="52" t="e">
        <f t="shared" si="2"/>
        <v>#DIV/0!</v>
      </c>
      <c r="L29" s="3" t="e">
        <f t="shared" si="3"/>
        <v>#DIV/0!</v>
      </c>
      <c r="M29" s="50" t="e">
        <f>SUM($J$7:L29)</f>
        <v>#DIV/0!</v>
      </c>
    </row>
    <row r="30" spans="1:13" x14ac:dyDescent="0.25">
      <c r="A30" s="1" t="s">
        <v>166</v>
      </c>
      <c r="B30" s="48">
        <f t="shared" si="4"/>
        <v>2007</v>
      </c>
      <c r="C30" s="3">
        <v>19395819</v>
      </c>
      <c r="D30" s="3">
        <v>1127605</v>
      </c>
      <c r="E30" s="3">
        <f t="shared" si="0"/>
        <v>58.136498386585274</v>
      </c>
      <c r="I30" s="3" t="e">
        <f t="shared" si="1"/>
        <v>#DIV/0!</v>
      </c>
      <c r="K30" s="52" t="e">
        <f t="shared" si="2"/>
        <v>#DIV/0!</v>
      </c>
      <c r="L30" s="3" t="e">
        <f t="shared" si="3"/>
        <v>#DIV/0!</v>
      </c>
      <c r="M30" s="50" t="e">
        <f>SUM($J$7:L30)</f>
        <v>#DIV/0!</v>
      </c>
    </row>
    <row r="31" spans="1:13" x14ac:dyDescent="0.25">
      <c r="A31" s="1" t="s">
        <v>167</v>
      </c>
      <c r="B31" s="48">
        <f t="shared" si="4"/>
        <v>2007</v>
      </c>
      <c r="C31" s="3">
        <v>18428604</v>
      </c>
      <c r="D31" s="3">
        <v>1104039</v>
      </c>
      <c r="E31" s="3">
        <f t="shared" si="0"/>
        <v>59.908987137604129</v>
      </c>
      <c r="I31" s="3" t="e">
        <f t="shared" si="1"/>
        <v>#DIV/0!</v>
      </c>
      <c r="K31" s="52" t="e">
        <f t="shared" si="2"/>
        <v>#DIV/0!</v>
      </c>
      <c r="L31" s="3" t="e">
        <f t="shared" si="3"/>
        <v>#DIV/0!</v>
      </c>
      <c r="M31" s="50" t="e">
        <f>SUM($J$7:L31)</f>
        <v>#DIV/0!</v>
      </c>
    </row>
    <row r="32" spans="1:13" x14ac:dyDescent="0.25">
      <c r="A32" s="1" t="s">
        <v>168</v>
      </c>
      <c r="B32" s="48">
        <f t="shared" si="4"/>
        <v>2007</v>
      </c>
      <c r="C32" s="3">
        <v>19684263</v>
      </c>
      <c r="D32" s="3">
        <v>1319151</v>
      </c>
      <c r="E32" s="3">
        <f t="shared" si="0"/>
        <v>67.015513865060626</v>
      </c>
      <c r="I32" s="3" t="e">
        <f t="shared" si="1"/>
        <v>#DIV/0!</v>
      </c>
      <c r="K32" s="52" t="e">
        <f t="shared" si="2"/>
        <v>#DIV/0!</v>
      </c>
      <c r="L32" s="3" t="e">
        <f t="shared" si="3"/>
        <v>#DIV/0!</v>
      </c>
      <c r="M32" s="50" t="e">
        <f>SUM($J$7:L32)</f>
        <v>#DIV/0!</v>
      </c>
    </row>
    <row r="33" spans="1:13" x14ac:dyDescent="0.25">
      <c r="A33" s="1" t="s">
        <v>169</v>
      </c>
      <c r="B33" s="48">
        <f t="shared" si="4"/>
        <v>2007</v>
      </c>
      <c r="C33" s="3">
        <v>19591520</v>
      </c>
      <c r="D33" s="3">
        <v>1165055</v>
      </c>
      <c r="E33" s="3">
        <f t="shared" si="0"/>
        <v>59.467310346517266</v>
      </c>
      <c r="I33" s="3" t="e">
        <f t="shared" si="1"/>
        <v>#DIV/0!</v>
      </c>
      <c r="K33" s="52" t="e">
        <f t="shared" si="2"/>
        <v>#DIV/0!</v>
      </c>
      <c r="L33" s="3" t="e">
        <f t="shared" si="3"/>
        <v>#DIV/0!</v>
      </c>
      <c r="M33" s="50" t="e">
        <f>SUM($J$7:L33)</f>
        <v>#DIV/0!</v>
      </c>
    </row>
    <row r="34" spans="1:13" x14ac:dyDescent="0.25">
      <c r="A34" s="1" t="s">
        <v>166</v>
      </c>
      <c r="B34" s="48">
        <f t="shared" si="4"/>
        <v>2008</v>
      </c>
      <c r="C34" s="3">
        <v>19153515</v>
      </c>
      <c r="D34" s="3">
        <v>1112997</v>
      </c>
      <c r="E34" s="3">
        <f t="shared" si="0"/>
        <v>58.109281768907692</v>
      </c>
      <c r="I34" s="3" t="e">
        <f t="shared" si="1"/>
        <v>#DIV/0!</v>
      </c>
      <c r="K34" s="52" t="e">
        <f t="shared" si="2"/>
        <v>#DIV/0!</v>
      </c>
      <c r="L34" s="3" t="e">
        <f t="shared" si="3"/>
        <v>#DIV/0!</v>
      </c>
      <c r="M34" s="50" t="e">
        <f>SUM($J$7:L34)</f>
        <v>#DIV/0!</v>
      </c>
    </row>
    <row r="35" spans="1:13" x14ac:dyDescent="0.25">
      <c r="A35" s="1" t="s">
        <v>167</v>
      </c>
      <c r="B35" s="48">
        <f>+B31+1</f>
        <v>2008</v>
      </c>
      <c r="C35" s="3">
        <v>18763391</v>
      </c>
      <c r="D35" s="3">
        <v>1121144</v>
      </c>
      <c r="E35" s="3">
        <f t="shared" si="0"/>
        <v>59.75167281862857</v>
      </c>
      <c r="I35" s="3" t="e">
        <f t="shared" si="1"/>
        <v>#DIV/0!</v>
      </c>
      <c r="K35" s="52" t="e">
        <f t="shared" si="2"/>
        <v>#DIV/0!</v>
      </c>
      <c r="L35" s="3" t="e">
        <f t="shared" si="3"/>
        <v>#DIV/0!</v>
      </c>
      <c r="M35" s="50" t="e">
        <f>SUM($J$7:L35)</f>
        <v>#DIV/0!</v>
      </c>
    </row>
    <row r="36" spans="1:13" x14ac:dyDescent="0.25">
      <c r="A36" s="1" t="s">
        <v>168</v>
      </c>
      <c r="B36" s="48">
        <f t="shared" si="4"/>
        <v>2008</v>
      </c>
      <c r="C36" s="3">
        <v>19294144</v>
      </c>
      <c r="D36" s="3">
        <v>1288971</v>
      </c>
      <c r="E36" s="3">
        <f t="shared" si="0"/>
        <v>66.80633253281411</v>
      </c>
      <c r="I36" s="3" t="e">
        <f t="shared" si="1"/>
        <v>#DIV/0!</v>
      </c>
      <c r="K36" s="52" t="e">
        <f t="shared" si="2"/>
        <v>#DIV/0!</v>
      </c>
      <c r="L36" s="3" t="e">
        <f t="shared" si="3"/>
        <v>#DIV/0!</v>
      </c>
      <c r="M36" s="50" t="e">
        <f>SUM($J$7:L36)</f>
        <v>#DIV/0!</v>
      </c>
    </row>
    <row r="37" spans="1:13" x14ac:dyDescent="0.25">
      <c r="A37" s="1" t="s">
        <v>169</v>
      </c>
      <c r="B37" s="48">
        <f t="shared" si="4"/>
        <v>2008</v>
      </c>
      <c r="C37" s="3">
        <v>18854006</v>
      </c>
      <c r="D37" s="3">
        <v>1103942</v>
      </c>
      <c r="E37" s="3">
        <f t="shared" si="0"/>
        <v>58.552118844133183</v>
      </c>
      <c r="I37" s="3" t="e">
        <f t="shared" si="1"/>
        <v>#DIV/0!</v>
      </c>
      <c r="K37" s="52" t="e">
        <f t="shared" si="2"/>
        <v>#DIV/0!</v>
      </c>
      <c r="L37" s="3" t="e">
        <f t="shared" si="3"/>
        <v>#DIV/0!</v>
      </c>
      <c r="M37" s="50" t="e">
        <f>SUM($J$7:L37)</f>
        <v>#DIV/0!</v>
      </c>
    </row>
    <row r="38" spans="1:13" x14ac:dyDescent="0.25">
      <c r="A38" s="1" t="s">
        <v>166</v>
      </c>
      <c r="B38" s="48">
        <f t="shared" si="4"/>
        <v>2009</v>
      </c>
      <c r="C38" s="3">
        <v>18797465</v>
      </c>
      <c r="D38" s="3">
        <v>1091076</v>
      </c>
      <c r="E38" s="3">
        <f t="shared" si="0"/>
        <v>58.043784095355413</v>
      </c>
      <c r="I38" s="3" t="e">
        <f t="shared" si="1"/>
        <v>#DIV/0!</v>
      </c>
      <c r="K38" s="52" t="e">
        <f t="shared" si="2"/>
        <v>#DIV/0!</v>
      </c>
      <c r="L38" s="3" t="e">
        <f t="shared" si="3"/>
        <v>#DIV/0!</v>
      </c>
      <c r="M38" s="50" t="e">
        <f>SUM($J$7:L38)</f>
        <v>#DIV/0!</v>
      </c>
    </row>
    <row r="39" spans="1:13" x14ac:dyDescent="0.25">
      <c r="A39" s="1" t="s">
        <v>167</v>
      </c>
      <c r="B39" s="48">
        <f t="shared" si="4"/>
        <v>2009</v>
      </c>
      <c r="C39" s="3">
        <v>18709911</v>
      </c>
      <c r="D39" s="3">
        <v>1117245</v>
      </c>
      <c r="E39" s="3">
        <f t="shared" si="0"/>
        <v>59.714073466196609</v>
      </c>
      <c r="I39" s="3" t="e">
        <f t="shared" si="1"/>
        <v>#DIV/0!</v>
      </c>
      <c r="K39" s="52" t="e">
        <f t="shared" si="2"/>
        <v>#DIV/0!</v>
      </c>
      <c r="L39" s="3" t="e">
        <f t="shared" si="3"/>
        <v>#DIV/0!</v>
      </c>
      <c r="M39" s="50" t="e">
        <f>SUM($J$7:L39)</f>
        <v>#DIV/0!</v>
      </c>
    </row>
    <row r="40" spans="1:13" x14ac:dyDescent="0.25">
      <c r="A40" s="1" t="s">
        <v>168</v>
      </c>
      <c r="B40" s="48">
        <f t="shared" si="4"/>
        <v>2009</v>
      </c>
      <c r="C40" s="3">
        <v>19293801</v>
      </c>
      <c r="D40" s="3">
        <v>1288045</v>
      </c>
      <c r="E40" s="3">
        <f t="shared" si="0"/>
        <v>66.75952550770063</v>
      </c>
      <c r="I40" s="3" t="e">
        <f t="shared" si="1"/>
        <v>#DIV/0!</v>
      </c>
      <c r="K40" s="52" t="e">
        <f t="shared" si="2"/>
        <v>#DIV/0!</v>
      </c>
      <c r="L40" s="3" t="e">
        <f t="shared" si="3"/>
        <v>#DIV/0!</v>
      </c>
      <c r="M40" s="50" t="e">
        <f>SUM($J$7:L40)</f>
        <v>#DIV/0!</v>
      </c>
    </row>
    <row r="41" spans="1:13" x14ac:dyDescent="0.25">
      <c r="A41" s="1" t="s">
        <v>169</v>
      </c>
      <c r="B41" s="48">
        <f t="shared" si="4"/>
        <v>2009</v>
      </c>
      <c r="C41" s="3">
        <v>18779557</v>
      </c>
      <c r="D41" s="3">
        <v>1110135</v>
      </c>
      <c r="E41" s="3">
        <f t="shared" si="0"/>
        <v>59.114014244318966</v>
      </c>
      <c r="I41" s="3" t="e">
        <f t="shared" si="1"/>
        <v>#DIV/0!</v>
      </c>
      <c r="K41" s="52" t="e">
        <f t="shared" si="2"/>
        <v>#DIV/0!</v>
      </c>
      <c r="L41" s="3" t="e">
        <f t="shared" si="3"/>
        <v>#DIV/0!</v>
      </c>
      <c r="M41" s="50" t="e">
        <f>SUM($J$7:L41)</f>
        <v>#DIV/0!</v>
      </c>
    </row>
    <row r="42" spans="1:13" x14ac:dyDescent="0.25">
      <c r="A42" s="1" t="s">
        <v>166</v>
      </c>
      <c r="B42" s="48">
        <f t="shared" si="4"/>
        <v>2010</v>
      </c>
      <c r="C42" s="3">
        <v>16709260</v>
      </c>
      <c r="D42" s="3">
        <v>1091325</v>
      </c>
      <c r="E42" s="3">
        <f t="shared" si="0"/>
        <v>65.31258715227365</v>
      </c>
      <c r="I42" s="3" t="e">
        <f t="shared" si="1"/>
        <v>#DIV/0!</v>
      </c>
      <c r="K42" s="52" t="e">
        <f t="shared" si="2"/>
        <v>#DIV/0!</v>
      </c>
      <c r="L42" s="3" t="e">
        <f t="shared" si="3"/>
        <v>#DIV/0!</v>
      </c>
      <c r="M42" s="50" t="e">
        <f>SUM($J$7:L42)</f>
        <v>#DIV/0!</v>
      </c>
    </row>
    <row r="43" spans="1:13" x14ac:dyDescent="0.25">
      <c r="A43" s="1" t="s">
        <v>167</v>
      </c>
      <c r="B43" s="48">
        <f t="shared" si="4"/>
        <v>2010</v>
      </c>
      <c r="C43" s="3">
        <v>18607505</v>
      </c>
      <c r="D43" s="3">
        <v>1118705</v>
      </c>
      <c r="E43" s="3">
        <f t="shared" si="0"/>
        <v>60.121171538043392</v>
      </c>
      <c r="I43" s="3" t="e">
        <f t="shared" si="1"/>
        <v>#DIV/0!</v>
      </c>
      <c r="K43" s="52" t="e">
        <f t="shared" si="2"/>
        <v>#DIV/0!</v>
      </c>
      <c r="L43" s="3" t="e">
        <f t="shared" si="3"/>
        <v>#DIV/0!</v>
      </c>
      <c r="M43" s="50" t="e">
        <f>SUM($J$7:L43)</f>
        <v>#DIV/0!</v>
      </c>
    </row>
    <row r="44" spans="1:13" x14ac:dyDescent="0.25">
      <c r="A44" s="1" t="s">
        <v>168</v>
      </c>
      <c r="B44" s="48">
        <f t="shared" si="4"/>
        <v>2010</v>
      </c>
      <c r="C44" s="3">
        <v>18922185</v>
      </c>
      <c r="D44" s="3">
        <v>1272959</v>
      </c>
      <c r="E44" s="3">
        <f t="shared" si="0"/>
        <v>67.273361929396629</v>
      </c>
      <c r="I44" s="3" t="e">
        <f t="shared" si="1"/>
        <v>#DIV/0!</v>
      </c>
      <c r="K44" s="52" t="e">
        <f t="shared" si="2"/>
        <v>#DIV/0!</v>
      </c>
      <c r="L44" s="3" t="e">
        <f t="shared" si="3"/>
        <v>#DIV/0!</v>
      </c>
      <c r="M44" s="50" t="e">
        <f>SUM($J$7:L44)</f>
        <v>#DIV/0!</v>
      </c>
    </row>
    <row r="45" spans="1:13" x14ac:dyDescent="0.25">
      <c r="A45" s="1" t="s">
        <v>169</v>
      </c>
      <c r="B45" s="48">
        <f t="shared" si="4"/>
        <v>2010</v>
      </c>
      <c r="C45" s="3">
        <v>18490208</v>
      </c>
      <c r="D45" s="3">
        <v>1098610</v>
      </c>
      <c r="E45" s="3">
        <f t="shared" si="0"/>
        <v>59.415772932354251</v>
      </c>
      <c r="I45" s="3" t="e">
        <f t="shared" si="1"/>
        <v>#DIV/0!</v>
      </c>
      <c r="K45" s="52" t="e">
        <f t="shared" si="2"/>
        <v>#DIV/0!</v>
      </c>
      <c r="L45" s="3" t="e">
        <f t="shared" si="3"/>
        <v>#DIV/0!</v>
      </c>
      <c r="M45" s="50" t="e">
        <f>SUM($J$7:L45)</f>
        <v>#DIV/0!</v>
      </c>
    </row>
    <row r="49" spans="1:5" x14ac:dyDescent="0.25">
      <c r="C49" s="3" t="s">
        <v>172</v>
      </c>
    </row>
    <row r="51" spans="1:5" x14ac:dyDescent="0.25">
      <c r="A51" s="1" t="s">
        <v>166</v>
      </c>
      <c r="B51" s="48">
        <v>2001</v>
      </c>
      <c r="C51" s="3">
        <f>+D6+H6</f>
        <v>3798465</v>
      </c>
    </row>
    <row r="52" spans="1:5" x14ac:dyDescent="0.25">
      <c r="A52" s="1" t="s">
        <v>167</v>
      </c>
      <c r="B52" s="48">
        <v>2001</v>
      </c>
      <c r="C52" s="3">
        <f t="shared" ref="C52:C62" si="5">+D7+H7</f>
        <v>4550488</v>
      </c>
    </row>
    <row r="53" spans="1:5" x14ac:dyDescent="0.25">
      <c r="A53" s="1" t="s">
        <v>168</v>
      </c>
      <c r="B53" s="48">
        <v>2001</v>
      </c>
      <c r="C53" s="3">
        <f t="shared" si="5"/>
        <v>3672830</v>
      </c>
    </row>
    <row r="54" spans="1:5" x14ac:dyDescent="0.25">
      <c r="A54" s="1" t="s">
        <v>169</v>
      </c>
      <c r="B54" s="48">
        <v>2001</v>
      </c>
      <c r="C54" s="3">
        <f t="shared" si="5"/>
        <v>3089093</v>
      </c>
      <c r="D54" s="3">
        <f>2982000+2064000+569000</f>
        <v>5615000</v>
      </c>
      <c r="E54" s="3">
        <f>SUM(D$51:D54)-SUM(C$51:C54)</f>
        <v>-9495876</v>
      </c>
    </row>
    <row r="55" spans="1:5" x14ac:dyDescent="0.25">
      <c r="A55" s="1" t="s">
        <v>166</v>
      </c>
      <c r="B55" s="48">
        <f>+B51+1</f>
        <v>2002</v>
      </c>
      <c r="C55" s="3">
        <f t="shared" si="5"/>
        <v>1835879</v>
      </c>
    </row>
    <row r="56" spans="1:5" x14ac:dyDescent="0.25">
      <c r="A56" s="1" t="s">
        <v>167</v>
      </c>
      <c r="B56" s="48">
        <f t="shared" ref="B56:B62" si="6">+B52+1</f>
        <v>2002</v>
      </c>
      <c r="C56" s="3">
        <f t="shared" si="5"/>
        <v>1921539</v>
      </c>
    </row>
    <row r="57" spans="1:5" x14ac:dyDescent="0.25">
      <c r="A57" s="1" t="s">
        <v>168</v>
      </c>
      <c r="B57" s="48">
        <f t="shared" si="6"/>
        <v>2002</v>
      </c>
      <c r="C57" s="3">
        <f t="shared" si="5"/>
        <v>2823681</v>
      </c>
    </row>
    <row r="58" spans="1:5" x14ac:dyDescent="0.25">
      <c r="A58" s="1" t="s">
        <v>169</v>
      </c>
      <c r="B58" s="48">
        <f t="shared" si="6"/>
        <v>2002</v>
      </c>
      <c r="C58" s="3">
        <f t="shared" si="5"/>
        <v>2213642</v>
      </c>
      <c r="D58" s="3">
        <f>4389000+3399000+1055000</f>
        <v>8843000</v>
      </c>
      <c r="E58" s="3">
        <f>SUM(D$51:D58)-SUM(C$51:C58)</f>
        <v>-9447617</v>
      </c>
    </row>
    <row r="59" spans="1:5" x14ac:dyDescent="0.25">
      <c r="A59" s="1" t="s">
        <v>166</v>
      </c>
      <c r="B59" s="48">
        <f t="shared" si="6"/>
        <v>2003</v>
      </c>
      <c r="C59" s="3">
        <f t="shared" si="5"/>
        <v>1564717</v>
      </c>
    </row>
    <row r="60" spans="1:5" x14ac:dyDescent="0.25">
      <c r="A60" s="1" t="s">
        <v>167</v>
      </c>
      <c r="B60" s="48">
        <f t="shared" si="6"/>
        <v>2003</v>
      </c>
      <c r="C60" s="3">
        <f t="shared" si="5"/>
        <v>1524643</v>
      </c>
    </row>
    <row r="61" spans="1:5" x14ac:dyDescent="0.25">
      <c r="A61" s="1" t="s">
        <v>168</v>
      </c>
      <c r="B61" s="48">
        <f t="shared" si="6"/>
        <v>2003</v>
      </c>
      <c r="C61" s="3">
        <f t="shared" si="5"/>
        <v>2371656</v>
      </c>
    </row>
    <row r="62" spans="1:5" x14ac:dyDescent="0.25">
      <c r="A62" s="1" t="s">
        <v>169</v>
      </c>
      <c r="B62" s="48">
        <f t="shared" si="6"/>
        <v>2003</v>
      </c>
      <c r="C62" s="3">
        <f t="shared" si="5"/>
        <v>1857746</v>
      </c>
      <c r="D62" s="3">
        <f>++5155000+3985000+1194000</f>
        <v>10334000</v>
      </c>
      <c r="E62" s="3">
        <f>SUM(D$51:D62)-SUM(C$51:C62)</f>
        <v>-6432379</v>
      </c>
    </row>
  </sheetData>
  <pageMargins left="0.75" right="0.75" top="1" bottom="1" header="0.5" footer="0.5"/>
  <pageSetup scale="65" orientation="landscape" r:id="rId1"/>
  <headerFooter alignWithMargins="0">
    <oddFooter>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PGE</vt:lpstr>
      <vt:lpstr>SCE</vt:lpstr>
      <vt:lpstr>SDGE</vt:lpstr>
      <vt:lpstr>All Summary</vt:lpstr>
      <vt:lpstr>Redacted Summary</vt:lpstr>
      <vt:lpstr>DWR purchases</vt:lpstr>
      <vt:lpstr>'All Summary'!Print_Area</vt:lpstr>
      <vt:lpstr>'DWR purchases'!Print_Area</vt:lpstr>
      <vt:lpstr>PGE!Print_Area</vt:lpstr>
      <vt:lpstr>'Redacted Summary'!Print_Area</vt:lpstr>
      <vt:lpstr>SCE!Print_Area</vt:lpstr>
      <vt:lpstr>SDGE!Print_Area</vt:lpstr>
      <vt:lpstr>PGE!Print_Titles</vt:lpstr>
      <vt:lpstr>SCE!Print_Titles</vt:lpstr>
      <vt:lpstr>SDGE!Print_Titles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mtribole</dc:creator>
  <cp:lastModifiedBy>Havlíček Jan</cp:lastModifiedBy>
  <cp:lastPrinted>2001-05-09T20:57:26Z</cp:lastPrinted>
  <dcterms:created xsi:type="dcterms:W3CDTF">2001-05-08T18:12:48Z</dcterms:created>
  <dcterms:modified xsi:type="dcterms:W3CDTF">2023-09-10T15:00:24Z</dcterms:modified>
</cp:coreProperties>
</file>