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-192" windowWidth="11088" windowHeight="8832" tabRatio="839" firstSheet="4" activeTab="7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  <sheet name="Core &amp; Non-core" sheetId="7" r:id="rId7"/>
    <sheet name="PGE - Core Analysis" sheetId="13" r:id="rId8"/>
    <sheet name="SCE - Core Analysis" sheetId="15" r:id="rId9"/>
    <sheet name="SDGE - Core Analysis" sheetId="14" r:id="rId10"/>
    <sheet name="Curves" sheetId="8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PGE!$A$7:$K$145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1" i="7"/>
  <c r="C11" i="7"/>
  <c r="D11" i="7"/>
  <c r="B12" i="7"/>
  <c r="C12" i="7"/>
  <c r="D12" i="7"/>
  <c r="B15" i="7"/>
  <c r="C15" i="7"/>
  <c r="D15" i="7"/>
  <c r="B16" i="7"/>
  <c r="C16" i="7"/>
  <c r="D16" i="7"/>
  <c r="B19" i="7"/>
  <c r="C19" i="7"/>
  <c r="D19" i="7"/>
  <c r="B20" i="7"/>
  <c r="C20" i="7"/>
  <c r="D20" i="7"/>
  <c r="B21" i="7"/>
  <c r="C21" i="7"/>
  <c r="D21" i="7"/>
  <c r="B22" i="7"/>
  <c r="C22" i="7"/>
  <c r="D22" i="7"/>
  <c r="B24" i="7"/>
  <c r="B25" i="7"/>
  <c r="C25" i="7"/>
  <c r="D25" i="7"/>
  <c r="B31" i="7"/>
  <c r="C31" i="7"/>
  <c r="D31" i="7"/>
  <c r="B32" i="7"/>
  <c r="C32" i="7"/>
  <c r="D32" i="7"/>
  <c r="B33" i="7"/>
  <c r="C33" i="7"/>
  <c r="D33" i="7"/>
  <c r="B35" i="7"/>
  <c r="C35" i="7"/>
  <c r="D35" i="7"/>
  <c r="B36" i="7"/>
  <c r="C36" i="7"/>
  <c r="D36" i="7"/>
  <c r="B37" i="7"/>
  <c r="C37" i="7"/>
  <c r="D37" i="7"/>
  <c r="B39" i="7"/>
  <c r="C39" i="7"/>
  <c r="D39" i="7"/>
  <c r="B40" i="7"/>
  <c r="C40" i="7"/>
  <c r="D40" i="7"/>
  <c r="B41" i="7"/>
  <c r="C41" i="7"/>
  <c r="D41" i="7"/>
  <c r="B43" i="7"/>
  <c r="C43" i="7"/>
  <c r="D43" i="7"/>
  <c r="B44" i="7"/>
  <c r="C44" i="7"/>
  <c r="D44" i="7"/>
  <c r="B45" i="7"/>
  <c r="C45" i="7"/>
  <c r="D45" i="7"/>
  <c r="B50" i="7"/>
  <c r="D50" i="7"/>
  <c r="B51" i="7"/>
  <c r="D51" i="7"/>
  <c r="B52" i="7"/>
  <c r="D52" i="7"/>
  <c r="B53" i="7"/>
  <c r="D53" i="7"/>
  <c r="B55" i="7"/>
  <c r="C55" i="7"/>
  <c r="D55" i="7"/>
  <c r="B57" i="7"/>
  <c r="C57" i="7"/>
  <c r="D57" i="7"/>
  <c r="B59" i="7"/>
  <c r="C59" i="7"/>
  <c r="D59" i="7"/>
  <c r="B61" i="7"/>
  <c r="C61" i="7"/>
  <c r="D61" i="7"/>
  <c r="B66" i="7"/>
  <c r="C66" i="7"/>
  <c r="D66" i="7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3" i="7"/>
  <c r="C73" i="7"/>
  <c r="D73" i="7"/>
  <c r="B75" i="7"/>
  <c r="C75" i="7"/>
  <c r="D75" i="7"/>
  <c r="B77" i="7"/>
  <c r="C77" i="7"/>
  <c r="D77" i="7"/>
  <c r="B79" i="7"/>
  <c r="C79" i="7"/>
  <c r="D79" i="7"/>
  <c r="D6" i="8"/>
  <c r="D7" i="8"/>
  <c r="H7" i="8"/>
  <c r="L7" i="8"/>
  <c r="O7" i="8"/>
  <c r="Q7" i="8"/>
  <c r="T7" i="8"/>
  <c r="D8" i="8"/>
  <c r="H8" i="8"/>
  <c r="L8" i="8"/>
  <c r="M8" i="8"/>
  <c r="O8" i="8"/>
  <c r="Q8" i="8"/>
  <c r="T8" i="8"/>
  <c r="AF8" i="8"/>
  <c r="AG8" i="8"/>
  <c r="AI8" i="8"/>
  <c r="D9" i="8"/>
  <c r="H9" i="8"/>
  <c r="L9" i="8"/>
  <c r="M9" i="8"/>
  <c r="O9" i="8"/>
  <c r="Q9" i="8"/>
  <c r="T9" i="8"/>
  <c r="AF9" i="8"/>
  <c r="AG9" i="8"/>
  <c r="AI9" i="8"/>
  <c r="D10" i="8"/>
  <c r="H10" i="8"/>
  <c r="L10" i="8"/>
  <c r="M10" i="8"/>
  <c r="O10" i="8"/>
  <c r="Q10" i="8"/>
  <c r="T10" i="8"/>
  <c r="AF10" i="8"/>
  <c r="AG10" i="8"/>
  <c r="AI10" i="8"/>
  <c r="D11" i="8"/>
  <c r="H11" i="8"/>
  <c r="L11" i="8"/>
  <c r="M11" i="8"/>
  <c r="O11" i="8"/>
  <c r="Q11" i="8"/>
  <c r="T11" i="8"/>
  <c r="AF11" i="8"/>
  <c r="AG11" i="8"/>
  <c r="AI11" i="8"/>
  <c r="D12" i="8"/>
  <c r="H12" i="8"/>
  <c r="L12" i="8"/>
  <c r="M12" i="8"/>
  <c r="O12" i="8"/>
  <c r="Q12" i="8"/>
  <c r="T12" i="8"/>
  <c r="AF12" i="8"/>
  <c r="AG12" i="8"/>
  <c r="AI12" i="8"/>
  <c r="D13" i="8"/>
  <c r="H13" i="8"/>
  <c r="L13" i="8"/>
  <c r="M13" i="8"/>
  <c r="O13" i="8"/>
  <c r="Q13" i="8"/>
  <c r="T13" i="8"/>
  <c r="AF13" i="8"/>
  <c r="AG13" i="8"/>
  <c r="AI13" i="8"/>
  <c r="D14" i="8"/>
  <c r="H14" i="8"/>
  <c r="L14" i="8"/>
  <c r="M14" i="8"/>
  <c r="O14" i="8"/>
  <c r="Q14" i="8"/>
  <c r="T14" i="8"/>
  <c r="AF14" i="8"/>
  <c r="AG14" i="8"/>
  <c r="AI14" i="8"/>
  <c r="D15" i="8"/>
  <c r="H15" i="8"/>
  <c r="L15" i="8"/>
  <c r="M15" i="8"/>
  <c r="O15" i="8"/>
  <c r="Q15" i="8"/>
  <c r="T15" i="8"/>
  <c r="AF15" i="8"/>
  <c r="AG15" i="8"/>
  <c r="AI15" i="8"/>
  <c r="D16" i="8"/>
  <c r="H16" i="8"/>
  <c r="L16" i="8"/>
  <c r="M16" i="8"/>
  <c r="O16" i="8"/>
  <c r="Q16" i="8"/>
  <c r="T16" i="8"/>
  <c r="AF16" i="8"/>
  <c r="AG16" i="8"/>
  <c r="AI16" i="8"/>
  <c r="D17" i="8"/>
  <c r="H17" i="8"/>
  <c r="L17" i="8"/>
  <c r="M17" i="8"/>
  <c r="O17" i="8"/>
  <c r="Q17" i="8"/>
  <c r="T17" i="8"/>
  <c r="AF17" i="8"/>
  <c r="AG17" i="8"/>
  <c r="AI17" i="8"/>
  <c r="D18" i="8"/>
  <c r="H18" i="8"/>
  <c r="L18" i="8"/>
  <c r="M18" i="8"/>
  <c r="O18" i="8"/>
  <c r="Q18" i="8"/>
  <c r="T18" i="8"/>
  <c r="AF18" i="8"/>
  <c r="AG18" i="8"/>
  <c r="AI18" i="8"/>
  <c r="D19" i="8"/>
  <c r="H19" i="8"/>
  <c r="L19" i="8"/>
  <c r="M19" i="8"/>
  <c r="O19" i="8"/>
  <c r="Q19" i="8"/>
  <c r="T19" i="8"/>
  <c r="AF19" i="8"/>
  <c r="AG19" i="8"/>
  <c r="AI19" i="8"/>
  <c r="D20" i="8"/>
  <c r="H20" i="8"/>
  <c r="L20" i="8"/>
  <c r="M20" i="8"/>
  <c r="O20" i="8"/>
  <c r="Q20" i="8"/>
  <c r="T20" i="8"/>
  <c r="AF20" i="8"/>
  <c r="AG20" i="8"/>
  <c r="AI20" i="8"/>
  <c r="D21" i="8"/>
  <c r="H21" i="8"/>
  <c r="L21" i="8"/>
  <c r="M21" i="8"/>
  <c r="O21" i="8"/>
  <c r="Q21" i="8"/>
  <c r="T21" i="8"/>
  <c r="AF21" i="8"/>
  <c r="AG21" i="8"/>
  <c r="AI21" i="8"/>
  <c r="D22" i="8"/>
  <c r="H22" i="8"/>
  <c r="L22" i="8"/>
  <c r="M22" i="8"/>
  <c r="O22" i="8"/>
  <c r="Q22" i="8"/>
  <c r="T22" i="8"/>
  <c r="AF22" i="8"/>
  <c r="AG22" i="8"/>
  <c r="AI22" i="8"/>
  <c r="D23" i="8"/>
  <c r="H23" i="8"/>
  <c r="L23" i="8"/>
  <c r="M23" i="8"/>
  <c r="O23" i="8"/>
  <c r="Q23" i="8"/>
  <c r="T23" i="8"/>
  <c r="AF23" i="8"/>
  <c r="AG23" i="8"/>
  <c r="AI23" i="8"/>
  <c r="D24" i="8"/>
  <c r="H24" i="8"/>
  <c r="L24" i="8"/>
  <c r="M24" i="8"/>
  <c r="O24" i="8"/>
  <c r="Q24" i="8"/>
  <c r="T24" i="8"/>
  <c r="AF24" i="8"/>
  <c r="AG24" i="8"/>
  <c r="AI24" i="8"/>
  <c r="D25" i="8"/>
  <c r="H25" i="8"/>
  <c r="L25" i="8"/>
  <c r="M25" i="8"/>
  <c r="O25" i="8"/>
  <c r="Q25" i="8"/>
  <c r="T25" i="8"/>
  <c r="AF25" i="8"/>
  <c r="AG25" i="8"/>
  <c r="AI25" i="8"/>
  <c r="D26" i="8"/>
  <c r="H26" i="8"/>
  <c r="L26" i="8"/>
  <c r="M26" i="8"/>
  <c r="O26" i="8"/>
  <c r="Q26" i="8"/>
  <c r="T26" i="8"/>
  <c r="AF26" i="8"/>
  <c r="AG26" i="8"/>
  <c r="AI26" i="8"/>
  <c r="D27" i="8"/>
  <c r="H27" i="8"/>
  <c r="L27" i="8"/>
  <c r="M27" i="8"/>
  <c r="O27" i="8"/>
  <c r="Q27" i="8"/>
  <c r="T27" i="8"/>
  <c r="AF27" i="8"/>
  <c r="AG27" i="8"/>
  <c r="AI27" i="8"/>
  <c r="D28" i="8"/>
  <c r="H28" i="8"/>
  <c r="L28" i="8"/>
  <c r="M28" i="8"/>
  <c r="O28" i="8"/>
  <c r="Q28" i="8"/>
  <c r="T28" i="8"/>
  <c r="AF28" i="8"/>
  <c r="AG28" i="8"/>
  <c r="AI28" i="8"/>
  <c r="D29" i="8"/>
  <c r="H29" i="8"/>
  <c r="L29" i="8"/>
  <c r="M29" i="8"/>
  <c r="O29" i="8"/>
  <c r="Q29" i="8"/>
  <c r="T29" i="8"/>
  <c r="AF29" i="8"/>
  <c r="AG29" i="8"/>
  <c r="AI29" i="8"/>
  <c r="D30" i="8"/>
  <c r="H30" i="8"/>
  <c r="L30" i="8"/>
  <c r="M30" i="8"/>
  <c r="O30" i="8"/>
  <c r="Q30" i="8"/>
  <c r="T30" i="8"/>
  <c r="AF30" i="8"/>
  <c r="AG30" i="8"/>
  <c r="AI30" i="8"/>
  <c r="D31" i="8"/>
  <c r="H31" i="8"/>
  <c r="L31" i="8"/>
  <c r="M31" i="8"/>
  <c r="O31" i="8"/>
  <c r="Q31" i="8"/>
  <c r="T31" i="8"/>
  <c r="AF31" i="8"/>
  <c r="AG31" i="8"/>
  <c r="AI31" i="8"/>
  <c r="D32" i="8"/>
  <c r="H32" i="8"/>
  <c r="L32" i="8"/>
  <c r="M32" i="8"/>
  <c r="O32" i="8"/>
  <c r="Q32" i="8"/>
  <c r="T32" i="8"/>
  <c r="AF32" i="8"/>
  <c r="AG32" i="8"/>
  <c r="AI32" i="8"/>
  <c r="D33" i="8"/>
  <c r="H33" i="8"/>
  <c r="L33" i="8"/>
  <c r="M33" i="8"/>
  <c r="O33" i="8"/>
  <c r="Q33" i="8"/>
  <c r="T33" i="8"/>
  <c r="AF33" i="8"/>
  <c r="AG33" i="8"/>
  <c r="AI33" i="8"/>
  <c r="D34" i="8"/>
  <c r="H34" i="8"/>
  <c r="L34" i="8"/>
  <c r="M34" i="8"/>
  <c r="O34" i="8"/>
  <c r="Q34" i="8"/>
  <c r="T34" i="8"/>
  <c r="AF34" i="8"/>
  <c r="AG34" i="8"/>
  <c r="AI34" i="8"/>
  <c r="D35" i="8"/>
  <c r="H35" i="8"/>
  <c r="L35" i="8"/>
  <c r="M35" i="8"/>
  <c r="O35" i="8"/>
  <c r="Q35" i="8"/>
  <c r="T35" i="8"/>
  <c r="AF35" i="8"/>
  <c r="AG35" i="8"/>
  <c r="AI35" i="8"/>
  <c r="D36" i="8"/>
  <c r="H36" i="8"/>
  <c r="L36" i="8"/>
  <c r="M36" i="8"/>
  <c r="O36" i="8"/>
  <c r="Q36" i="8"/>
  <c r="T36" i="8"/>
  <c r="AF36" i="8"/>
  <c r="AG36" i="8"/>
  <c r="AI36" i="8"/>
  <c r="D37" i="8"/>
  <c r="H37" i="8"/>
  <c r="L37" i="8"/>
  <c r="M37" i="8"/>
  <c r="O37" i="8"/>
  <c r="Q37" i="8"/>
  <c r="T37" i="8"/>
  <c r="AF37" i="8"/>
  <c r="AG37" i="8"/>
  <c r="AI37" i="8"/>
  <c r="D38" i="8"/>
  <c r="H38" i="8"/>
  <c r="L38" i="8"/>
  <c r="M38" i="8"/>
  <c r="O38" i="8"/>
  <c r="Q38" i="8"/>
  <c r="T38" i="8"/>
  <c r="AF38" i="8"/>
  <c r="AG38" i="8"/>
  <c r="AI38" i="8"/>
  <c r="D39" i="8"/>
  <c r="H39" i="8"/>
  <c r="L39" i="8"/>
  <c r="M39" i="8"/>
  <c r="O39" i="8"/>
  <c r="Q39" i="8"/>
  <c r="T39" i="8"/>
  <c r="AF39" i="8"/>
  <c r="AG39" i="8"/>
  <c r="AI39" i="8"/>
  <c r="D40" i="8"/>
  <c r="H40" i="8"/>
  <c r="L40" i="8"/>
  <c r="M40" i="8"/>
  <c r="O40" i="8"/>
  <c r="Q40" i="8"/>
  <c r="T40" i="8"/>
  <c r="AF40" i="8"/>
  <c r="AG40" i="8"/>
  <c r="AI40" i="8"/>
  <c r="D41" i="8"/>
  <c r="H41" i="8"/>
  <c r="L41" i="8"/>
  <c r="M41" i="8"/>
  <c r="O41" i="8"/>
  <c r="Q41" i="8"/>
  <c r="T41" i="8"/>
  <c r="AF41" i="8"/>
  <c r="AG41" i="8"/>
  <c r="AI41" i="8"/>
  <c r="D42" i="8"/>
  <c r="H42" i="8"/>
  <c r="L42" i="8"/>
  <c r="M42" i="8"/>
  <c r="O42" i="8"/>
  <c r="Q42" i="8"/>
  <c r="T42" i="8"/>
  <c r="AF42" i="8"/>
  <c r="AG42" i="8"/>
  <c r="AI42" i="8"/>
  <c r="D43" i="8"/>
  <c r="H43" i="8"/>
  <c r="L43" i="8"/>
  <c r="M43" i="8"/>
  <c r="O43" i="8"/>
  <c r="Q43" i="8"/>
  <c r="T43" i="8"/>
  <c r="AF43" i="8"/>
  <c r="AG43" i="8"/>
  <c r="AI43" i="8"/>
  <c r="D44" i="8"/>
  <c r="H44" i="8"/>
  <c r="L44" i="8"/>
  <c r="M44" i="8"/>
  <c r="O44" i="8"/>
  <c r="Q44" i="8"/>
  <c r="T44" i="8"/>
  <c r="AF44" i="8"/>
  <c r="AG44" i="8"/>
  <c r="AI44" i="8"/>
  <c r="D45" i="8"/>
  <c r="H45" i="8"/>
  <c r="L45" i="8"/>
  <c r="M45" i="8"/>
  <c r="O45" i="8"/>
  <c r="Q45" i="8"/>
  <c r="T45" i="8"/>
  <c r="AF45" i="8"/>
  <c r="AG45" i="8"/>
  <c r="AI45" i="8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B6" i="13"/>
  <c r="B7" i="13"/>
  <c r="B8" i="13"/>
  <c r="B10" i="13"/>
  <c r="B11" i="13"/>
  <c r="B12" i="13"/>
  <c r="B15" i="13"/>
  <c r="B16" i="13"/>
  <c r="B19" i="13"/>
  <c r="B20" i="13"/>
  <c r="B21" i="13"/>
  <c r="B22" i="13"/>
  <c r="B24" i="13"/>
  <c r="B25" i="13"/>
  <c r="B31" i="13"/>
  <c r="B32" i="13"/>
  <c r="B33" i="13"/>
  <c r="B35" i="13"/>
  <c r="B36" i="13"/>
  <c r="B37" i="13"/>
  <c r="B39" i="13"/>
  <c r="B40" i="13"/>
  <c r="B41" i="13"/>
  <c r="B43" i="13"/>
  <c r="B44" i="13"/>
  <c r="B45" i="13"/>
  <c r="B50" i="13"/>
  <c r="B51" i="13"/>
  <c r="B52" i="13"/>
  <c r="B53" i="13"/>
  <c r="B55" i="13"/>
  <c r="B57" i="13"/>
  <c r="B59" i="13"/>
  <c r="B61" i="13"/>
  <c r="B66" i="13"/>
  <c r="B67" i="13"/>
  <c r="B68" i="13"/>
  <c r="B69" i="13"/>
  <c r="B70" i="13"/>
  <c r="B71" i="13"/>
  <c r="B73" i="13"/>
  <c r="B75" i="13"/>
  <c r="B77" i="13"/>
  <c r="B79" i="13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B6" i="15"/>
  <c r="C6" i="15"/>
  <c r="D6" i="15"/>
  <c r="B7" i="15"/>
  <c r="C7" i="15"/>
  <c r="D7" i="15"/>
  <c r="B8" i="15"/>
  <c r="C8" i="15"/>
  <c r="D8" i="15"/>
  <c r="B10" i="15"/>
  <c r="C10" i="15"/>
  <c r="D10" i="15"/>
  <c r="B11" i="15"/>
  <c r="C11" i="15"/>
  <c r="D11" i="15"/>
  <c r="B12" i="15"/>
  <c r="C12" i="15"/>
  <c r="D12" i="15"/>
  <c r="B15" i="15"/>
  <c r="C15" i="15"/>
  <c r="D15" i="15"/>
  <c r="B16" i="15"/>
  <c r="C16" i="15"/>
  <c r="D16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4" i="15"/>
  <c r="B25" i="15"/>
  <c r="C25" i="15"/>
  <c r="D25" i="15"/>
  <c r="B31" i="15"/>
  <c r="C31" i="15"/>
  <c r="D31" i="15"/>
  <c r="B32" i="15"/>
  <c r="C32" i="15"/>
  <c r="D32" i="15"/>
  <c r="B33" i="15"/>
  <c r="C33" i="15"/>
  <c r="D33" i="15"/>
  <c r="B35" i="15"/>
  <c r="C35" i="15"/>
  <c r="D35" i="15"/>
  <c r="B36" i="15"/>
  <c r="C36" i="15"/>
  <c r="D36" i="15"/>
  <c r="B37" i="15"/>
  <c r="C37" i="15"/>
  <c r="D37" i="15"/>
  <c r="B39" i="15"/>
  <c r="C39" i="15"/>
  <c r="D39" i="15"/>
  <c r="B40" i="15"/>
  <c r="C40" i="15"/>
  <c r="D40" i="15"/>
  <c r="B41" i="15"/>
  <c r="C41" i="15"/>
  <c r="D41" i="15"/>
  <c r="B43" i="15"/>
  <c r="C43" i="15"/>
  <c r="D43" i="15"/>
  <c r="B44" i="15"/>
  <c r="C44" i="15"/>
  <c r="D44" i="15"/>
  <c r="B45" i="15"/>
  <c r="C45" i="15"/>
  <c r="D45" i="15"/>
  <c r="B50" i="15"/>
  <c r="D50" i="15"/>
  <c r="B51" i="15"/>
  <c r="D51" i="15"/>
  <c r="B52" i="15"/>
  <c r="D52" i="15"/>
  <c r="B53" i="15"/>
  <c r="D53" i="15"/>
  <c r="B55" i="15"/>
  <c r="C55" i="15"/>
  <c r="D55" i="15"/>
  <c r="B57" i="15"/>
  <c r="C57" i="15"/>
  <c r="D57" i="15"/>
  <c r="B59" i="15"/>
  <c r="C59" i="15"/>
  <c r="D59" i="15"/>
  <c r="B61" i="15"/>
  <c r="C61" i="15"/>
  <c r="D61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3" i="15"/>
  <c r="C73" i="15"/>
  <c r="D73" i="15"/>
  <c r="B75" i="15"/>
  <c r="C75" i="15"/>
  <c r="D75" i="15"/>
  <c r="B77" i="15"/>
  <c r="C77" i="15"/>
  <c r="D77" i="15"/>
  <c r="B79" i="15"/>
  <c r="C79" i="15"/>
  <c r="D79" i="15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B6" i="14"/>
  <c r="C6" i="14"/>
  <c r="D6" i="14"/>
  <c r="B7" i="14"/>
  <c r="C7" i="14"/>
  <c r="D7" i="14"/>
  <c r="B8" i="14"/>
  <c r="C8" i="14"/>
  <c r="D8" i="14"/>
  <c r="B10" i="14"/>
  <c r="C10" i="14"/>
  <c r="D10" i="14"/>
  <c r="B11" i="14"/>
  <c r="C11" i="14"/>
  <c r="D11" i="14"/>
  <c r="B12" i="14"/>
  <c r="C12" i="14"/>
  <c r="D12" i="14"/>
  <c r="B15" i="14"/>
  <c r="C15" i="14"/>
  <c r="D15" i="14"/>
  <c r="B16" i="14"/>
  <c r="C16" i="14"/>
  <c r="D16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4" i="14"/>
  <c r="B25" i="14"/>
  <c r="C25" i="14"/>
  <c r="D25" i="14"/>
  <c r="B31" i="14"/>
  <c r="C31" i="14"/>
  <c r="D31" i="14"/>
  <c r="B32" i="14"/>
  <c r="C32" i="14"/>
  <c r="D32" i="14"/>
  <c r="B33" i="14"/>
  <c r="C33" i="14"/>
  <c r="D33" i="14"/>
  <c r="B35" i="14"/>
  <c r="C35" i="14"/>
  <c r="D35" i="14"/>
  <c r="B36" i="14"/>
  <c r="C36" i="14"/>
  <c r="D36" i="14"/>
  <c r="B37" i="14"/>
  <c r="C37" i="14"/>
  <c r="D37" i="14"/>
  <c r="B39" i="14"/>
  <c r="C39" i="14"/>
  <c r="D39" i="14"/>
  <c r="B40" i="14"/>
  <c r="C40" i="14"/>
  <c r="D40" i="14"/>
  <c r="B41" i="14"/>
  <c r="C41" i="14"/>
  <c r="D41" i="14"/>
  <c r="B43" i="14"/>
  <c r="C43" i="14"/>
  <c r="D43" i="14"/>
  <c r="B44" i="14"/>
  <c r="C44" i="14"/>
  <c r="D44" i="14"/>
  <c r="B45" i="14"/>
  <c r="C45" i="14"/>
  <c r="D45" i="14"/>
  <c r="B50" i="14"/>
  <c r="D50" i="14"/>
  <c r="B51" i="14"/>
  <c r="D51" i="14"/>
  <c r="B52" i="14"/>
  <c r="D52" i="14"/>
  <c r="B53" i="14"/>
  <c r="D53" i="14"/>
  <c r="B55" i="14"/>
  <c r="C55" i="14"/>
  <c r="D55" i="14"/>
  <c r="B57" i="14"/>
  <c r="C57" i="14"/>
  <c r="D57" i="14"/>
  <c r="B59" i="14"/>
  <c r="C59" i="14"/>
  <c r="D59" i="14"/>
  <c r="B61" i="14"/>
  <c r="C61" i="14"/>
  <c r="D61" i="14"/>
  <c r="B66" i="14"/>
  <c r="C66" i="14"/>
  <c r="D6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3" i="14"/>
  <c r="C73" i="14"/>
  <c r="D73" i="14"/>
  <c r="B75" i="14"/>
  <c r="C75" i="14"/>
  <c r="D75" i="14"/>
  <c r="B77" i="14"/>
  <c r="C77" i="14"/>
  <c r="D77" i="14"/>
  <c r="B79" i="14"/>
  <c r="C79" i="14"/>
  <c r="D79" i="14"/>
</calcChain>
</file>

<file path=xl/sharedStrings.xml><?xml version="1.0" encoding="utf-8"?>
<sst xmlns="http://schemas.openxmlformats.org/spreadsheetml/2006/main" count="1219" uniqueCount="262">
  <si>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</si>
  <si>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</si>
  <si>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</si>
  <si>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</si>
  <si>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</si>
  <si>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</si>
  <si>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</si>
  <si>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</si>
  <si>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</si>
  <si>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</si>
  <si>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</si>
  <si>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</si>
  <si>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</si>
  <si>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</si>
  <si>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</si>
  <si>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</si>
  <si>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</si>
  <si>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</si>
  <si>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</si>
  <si>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</si>
  <si>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</si>
  <si>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</si>
  <si>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</si>
  <si>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</si>
  <si>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</si>
  <si>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</si>
  <si>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</si>
  <si>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</si>
  <si>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</si>
  <si>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</si>
  <si>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</si>
  <si>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</si>
  <si>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</si>
  <si>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</si>
  <si>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</si>
  <si>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</si>
  <si>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</si>
  <si>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</si>
  <si>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</si>
  <si>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</si>
  <si>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</si>
  <si>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</si>
  <si>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</si>
  <si>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</si>
  <si>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</si>
  <si>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</si>
  <si>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</si>
  <si>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</si>
  <si>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</si>
  <si>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</si>
  <si>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</si>
  <si>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</si>
  <si>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</si>
  <si>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</si>
  <si>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</si>
  <si>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</si>
  <si>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</si>
  <si>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</si>
  <si>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</si>
  <si>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</si>
  <si>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</si>
  <si>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</si>
  <si>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</si>
  <si>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</si>
  <si>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</si>
  <si>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</si>
  <si>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</si>
  <si>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</si>
  <si>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</si>
  <si>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</si>
  <si>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</si>
  <si>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</si>
  <si>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</si>
  <si>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</si>
  <si>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</si>
  <si>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</si>
  <si>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</si>
  <si>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</si>
  <si>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</si>
  <si>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</si>
  <si>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</si>
  <si>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</si>
  <si>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</si>
  <si>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</si>
  <si>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</si>
  <si>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</si>
  <si>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</si>
  <si>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</si>
  <si>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</si>
  <si>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</si>
  <si>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</si>
  <si>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</si>
  <si>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</si>
  <si>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</si>
  <si>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</si>
  <si>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</si>
  <si>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</si>
  <si>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</si>
  <si>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</si>
  <si>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</si>
  <si>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</si>
  <si>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</si>
  <si>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</si>
  <si>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</si>
  <si>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</si>
  <si>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</si>
  <si>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</si>
  <si>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</si>
  <si>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</si>
  <si>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</si>
  <si>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</si>
  <si>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</si>
  <si>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</si>
  <si>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</si>
  <si>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</si>
  <si>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</si>
  <si>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</si>
  <si>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</si>
  <si>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</si>
  <si>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</si>
  <si>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</si>
  <si>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</si>
  <si>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</si>
  <si>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</si>
  <si>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</si>
  <si>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</si>
  <si>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</si>
  <si>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</si>
  <si>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</si>
  <si>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</si>
  <si>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</si>
  <si>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</si>
  <si>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</si>
  <si>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</si>
  <si>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</si>
  <si>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</si>
  <si>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</si>
  <si>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</si>
  <si>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</si>
  <si>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</si>
  <si>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</si>
  <si>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</si>
  <si>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</si>
  <si>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</si>
  <si>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</si>
  <si>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</si>
  <si>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</si>
  <si>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</si>
  <si>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</si>
  <si>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</si>
  <si>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Without Transformation</t>
  </si>
  <si>
    <t>Less than 2,400 volts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</si>
  <si>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</si>
  <si>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</si>
  <si>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</si>
  <si>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</si>
  <si>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</si>
  <si>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</si>
  <si>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</si>
  <si>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</si>
  <si>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</si>
  <si>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</si>
  <si>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</si>
  <si>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</si>
  <si>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</si>
  <si>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</si>
  <si>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</si>
  <si>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</si>
  <si>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</si>
  <si>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</si>
  <si>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</si>
  <si>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</si>
  <si>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</si>
  <si>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</si>
  <si>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</si>
  <si>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</si>
  <si>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</si>
  <si>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</si>
  <si>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Under 1000 mW, more than 499 kW for three consecutive months</t>
  </si>
  <si>
    <t>Over 999 Kw, and exceeded 999 kW for 5 of 12 mos, or 3 consecutive per 14 mos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</si>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</sst>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43" fontId="2" fillId="6" borderId="4" xfId="2" applyFont="1" applyFill="1" applyBorder="1"/>
    <xf numFmtId="43" fontId="0" fillId="7" borderId="0" xfId="2" applyFont="1" applyFill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5" fontId="2" fillId="6" borderId="4" xfId="2" applyNumberFormat="1" applyFont="1" applyFill="1" applyBorder="1"/>
    <xf numFmtId="165" fontId="0" fillId="7" borderId="0" xfId="2" applyNumberFormat="1" applyFont="1" applyFill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7" borderId="0" xfId="3" applyNumberFormat="1" applyFont="1" applyFill="1"/>
    <xf numFmtId="166" fontId="0" fillId="0" borderId="4" xfId="3" applyNumberFormat="1" applyFont="1" applyBorder="1"/>
    <xf numFmtId="166" fontId="2" fillId="0" borderId="4" xfId="3" applyNumberFormat="1" applyFont="1" applyBorder="1"/>
    <xf numFmtId="166" fontId="2" fillId="6" borderId="4" xfId="3" applyNumberFormat="1" applyFont="1" applyFill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43" fontId="0" fillId="6" borderId="4" xfId="2" applyFont="1" applyFill="1" applyBorder="1"/>
    <xf numFmtId="43" fontId="0" fillId="3" borderId="0" xfId="2" applyFont="1" applyFill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7" fontId="4" fillId="0" borderId="0" xfId="3" applyNumberFormat="1" applyFont="1" applyAlignment="1">
      <alignment horizontal="right"/>
    </xf>
    <xf numFmtId="43" fontId="0" fillId="0" borderId="0" xfId="2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7" fontId="1" fillId="0" borderId="9" xfId="3" applyNumberFormat="1" applyBorder="1"/>
    <xf numFmtId="166" fontId="1" fillId="0" borderId="9" xfId="3" applyNumberFormat="1" applyBorder="1"/>
    <xf numFmtId="165" fontId="1" fillId="0" borderId="0" xfId="2" applyNumberFormat="1" applyBorder="1"/>
    <xf numFmtId="165" fontId="1" fillId="0" borderId="9" xfId="2" applyNumberFormat="1" applyBorder="1"/>
    <xf numFmtId="43" fontId="1" fillId="0" borderId="0" xfId="2" applyBorder="1"/>
    <xf numFmtId="43" fontId="1" fillId="0" borderId="9" xfId="2" applyBorder="1"/>
    <xf numFmtId="43" fontId="1" fillId="0" borderId="11" xfId="2" applyNumberFormat="1" applyBorder="1"/>
    <xf numFmtId="43" fontId="1" fillId="0" borderId="12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7" fontId="1" fillId="0" borderId="9" xfId="3" applyNumberFormat="1" applyFill="1" applyBorder="1"/>
    <xf numFmtId="0" fontId="2" fillId="0" borderId="0" xfId="0" applyFont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115" zoomScale="80" workbookViewId="0">
      <selection activeCell="E118" sqref="E118"/>
    </sheetView>
  </sheetViews>
  <sheetFormatPr defaultRowHeight="13.2"/>
  <cols>
    <col min="1" max="1" width="18.5546875" style="1" customWidth="1"/>
    <col min="2" max="2" width="24" style="1" bestFit="1" customWidth="1"/>
    <col min="3" max="3" width="70.6640625" style="1" customWidth="1"/>
    <col min="4" max="4" width="24.88671875" style="1" bestFit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8" thickBot="1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8" thickTop="1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8" thickBot="1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8" thickTop="1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8" thickBot="1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8" thickTop="1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8" thickBot="1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8" thickTop="1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8" thickBot="1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8" thickTop="1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>
      <c r="A47" s="1" t="s">
        <v>104</v>
      </c>
      <c r="B47" s="1" t="s">
        <v>95</v>
      </c>
      <c r="C47" s="1" t="s">
        <v>178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>
      <c r="A48" s="1" t="s">
        <v>104</v>
      </c>
      <c r="B48" s="1" t="s">
        <v>95</v>
      </c>
      <c r="C48" s="1" t="s">
        <v>178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>
      <c r="A49" s="1" t="s">
        <v>104</v>
      </c>
      <c r="B49" s="1" t="s">
        <v>95</v>
      </c>
      <c r="C49" s="1" t="s">
        <v>178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>
      <c r="A50" s="1" t="s">
        <v>104</v>
      </c>
      <c r="B50" s="1" t="s">
        <v>95</v>
      </c>
      <c r="C50" s="1" t="s">
        <v>178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8" thickBot="1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8" thickTop="1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>
      <c r="A54" s="1" t="s">
        <v>104</v>
      </c>
      <c r="B54" s="1" t="s">
        <v>96</v>
      </c>
      <c r="C54" s="1" t="s">
        <v>150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>
      <c r="A55" s="1" t="s">
        <v>104</v>
      </c>
      <c r="B55" s="1" t="s">
        <v>96</v>
      </c>
      <c r="C55" s="1" t="s">
        <v>150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>
      <c r="A56" s="1" t="s">
        <v>104</v>
      </c>
      <c r="B56" s="1" t="s">
        <v>96</v>
      </c>
      <c r="C56" s="1" t="s">
        <v>150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>
      <c r="A57" s="1" t="s">
        <v>104</v>
      </c>
      <c r="B57" s="1" t="s">
        <v>96</v>
      </c>
      <c r="C57" s="1" t="s">
        <v>150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8" thickBot="1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8" thickTop="1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>
      <c r="A61" s="1" t="s">
        <v>104</v>
      </c>
      <c r="B61" s="1" t="s">
        <v>97</v>
      </c>
      <c r="C61" s="1" t="s">
        <v>151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>
      <c r="A62" s="1" t="s">
        <v>104</v>
      </c>
      <c r="B62" s="1" t="s">
        <v>97</v>
      </c>
      <c r="C62" s="1" t="s">
        <v>151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>
      <c r="A63" s="1" t="s">
        <v>104</v>
      </c>
      <c r="B63" s="1" t="s">
        <v>97</v>
      </c>
      <c r="C63" s="1" t="s">
        <v>151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>
      <c r="A64" s="1" t="s">
        <v>104</v>
      </c>
      <c r="B64" s="1" t="s">
        <v>97</v>
      </c>
      <c r="C64" s="1" t="s">
        <v>151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8" thickBot="1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8" thickTop="1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8" thickBot="1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8" thickTop="1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8" thickBot="1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8" thickTop="1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8" thickBot="1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8" thickTop="1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>
      <c r="A83" s="1" t="s">
        <v>82</v>
      </c>
      <c r="B83" s="1" t="s">
        <v>98</v>
      </c>
      <c r="C83" s="1" t="s">
        <v>152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>
      <c r="A84" s="1" t="s">
        <v>82</v>
      </c>
      <c r="B84" s="1" t="s">
        <v>98</v>
      </c>
      <c r="C84" s="1" t="s">
        <v>152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>
      <c r="A85" s="1" t="s">
        <v>82</v>
      </c>
      <c r="B85" s="1" t="s">
        <v>98</v>
      </c>
      <c r="C85" s="1" t="s">
        <v>152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8" thickBot="1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8" thickTop="1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>
      <c r="A89" s="1" t="s">
        <v>82</v>
      </c>
      <c r="B89" s="1" t="s">
        <v>99</v>
      </c>
      <c r="C89" s="1" t="s">
        <v>153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>
      <c r="A90" s="1" t="s">
        <v>82</v>
      </c>
      <c r="B90" s="1" t="s">
        <v>99</v>
      </c>
      <c r="C90" s="1" t="s">
        <v>153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>
      <c r="A91" s="1" t="s">
        <v>82</v>
      </c>
      <c r="B91" s="1" t="s">
        <v>99</v>
      </c>
      <c r="C91" s="1" t="s">
        <v>153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8" thickBot="1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8" thickTop="1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>
      <c r="A95" s="1" t="s">
        <v>82</v>
      </c>
      <c r="B95" s="1" t="s">
        <v>100</v>
      </c>
      <c r="C95" s="1" t="s">
        <v>154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>
      <c r="A96" s="1" t="s">
        <v>82</v>
      </c>
      <c r="B96" s="1" t="s">
        <v>100</v>
      </c>
      <c r="C96" s="1" t="s">
        <v>154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>
      <c r="A97" s="1" t="s">
        <v>82</v>
      </c>
      <c r="B97" s="1" t="s">
        <v>100</v>
      </c>
      <c r="C97" s="1" t="s">
        <v>154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8" thickBot="1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8" thickTop="1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>
      <c r="A103" s="1" t="s">
        <v>104</v>
      </c>
      <c r="B103" s="1" t="s">
        <v>101</v>
      </c>
      <c r="C103" s="1" t="s">
        <v>179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>
      <c r="A104" s="1" t="s">
        <v>104</v>
      </c>
      <c r="B104" s="1" t="s">
        <v>101</v>
      </c>
      <c r="C104" s="1" t="s">
        <v>179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>
      <c r="A105" s="1" t="s">
        <v>104</v>
      </c>
      <c r="B105" s="1" t="s">
        <v>101</v>
      </c>
      <c r="C105" s="1" t="s">
        <v>179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>
      <c r="A106" s="1" t="s">
        <v>104</v>
      </c>
      <c r="B106" s="1" t="s">
        <v>101</v>
      </c>
      <c r="C106" s="1" t="s">
        <v>179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8" thickBot="1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>
      <c r="A110" s="1" t="s">
        <v>104</v>
      </c>
      <c r="B110" s="1" t="s">
        <v>102</v>
      </c>
      <c r="C110" s="1" t="s">
        <v>150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>
      <c r="A111" s="1" t="s">
        <v>104</v>
      </c>
      <c r="B111" s="1" t="s">
        <v>102</v>
      </c>
      <c r="C111" s="1" t="s">
        <v>150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>
      <c r="A112" s="1" t="s">
        <v>104</v>
      </c>
      <c r="B112" s="1" t="s">
        <v>102</v>
      </c>
      <c r="C112" s="1" t="s">
        <v>150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>
      <c r="A113" s="1" t="s">
        <v>104</v>
      </c>
      <c r="B113" s="1" t="s">
        <v>102</v>
      </c>
      <c r="C113" s="1" t="s">
        <v>150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8" thickBot="1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8" thickTop="1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>
      <c r="A117" s="1" t="s">
        <v>104</v>
      </c>
      <c r="B117" s="1" t="s">
        <v>103</v>
      </c>
      <c r="C117" s="1" t="s">
        <v>151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>
      <c r="A118" s="1" t="s">
        <v>104</v>
      </c>
      <c r="B118" s="1" t="s">
        <v>103</v>
      </c>
      <c r="C118" s="1" t="s">
        <v>151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>
      <c r="A119" s="1" t="s">
        <v>104</v>
      </c>
      <c r="B119" s="1" t="s">
        <v>103</v>
      </c>
      <c r="C119" s="1" t="s">
        <v>151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>
      <c r="A120" s="1" t="s">
        <v>104</v>
      </c>
      <c r="B120" s="1" t="s">
        <v>103</v>
      </c>
      <c r="C120" s="1" t="s">
        <v>151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8" thickBot="1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8" thickTop="1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8" thickBot="1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8" thickTop="1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8" thickBot="1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8" thickTop="1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82</v>
      </c>
      <c r="E135" s="3">
        <f>+E86+E92+E98</f>
        <v>2725</v>
      </c>
      <c r="F135" s="2">
        <f t="shared" si="0"/>
        <v>10.242201834862385</v>
      </c>
      <c r="G135" s="3">
        <f>+G86+G92+G98</f>
        <v>279.10000000000002</v>
      </c>
      <c r="H135" s="3">
        <f>+H86+H92+H98</f>
        <v>58.1</v>
      </c>
      <c r="I135" s="3">
        <f>+I86+I92+I98</f>
        <v>337.30000000000007</v>
      </c>
      <c r="J135" s="5">
        <f>I135/E135*100</f>
        <v>12.37798165137615</v>
      </c>
      <c r="K135" s="7">
        <f>(J135-F135)/F135</f>
        <v>0.20852740953063448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>
      <c r="D137" s="1" t="s">
        <v>104</v>
      </c>
      <c r="E137" s="3">
        <f>+E51+E58+E65+E107+E114+E121</f>
        <v>27460</v>
      </c>
      <c r="F137" s="2">
        <f t="shared" si="0"/>
        <v>7.5768390386016016</v>
      </c>
      <c r="G137" s="3">
        <f>+G51+G58+G65+G107+G114+G121</f>
        <v>2080.6</v>
      </c>
      <c r="H137" s="3">
        <f>+H51+H58+H65+H107+H114+H121</f>
        <v>1098.5</v>
      </c>
      <c r="I137" s="3">
        <f>+I51+I58+I65+I107+I114+I121</f>
        <v>3179.2</v>
      </c>
      <c r="J137" s="5">
        <f>I137/E137*100</f>
        <v>11.577567370721049</v>
      </c>
      <c r="K137" s="7">
        <f>(J137-F137)/F137</f>
        <v>0.52802076324137281</v>
      </c>
      <c r="N137" s="1"/>
      <c r="O137" s="3"/>
      <c r="P137" s="2"/>
      <c r="Q137" s="4"/>
      <c r="R137" s="4"/>
      <c r="S137" s="4"/>
      <c r="T137" s="2"/>
      <c r="U137" s="7"/>
    </row>
    <row r="138" spans="4:21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>
      <c r="D139" s="1" t="s">
        <v>47</v>
      </c>
      <c r="E139" s="3">
        <f>SUM(E133:E138)</f>
        <v>80335</v>
      </c>
      <c r="F139" s="2">
        <f t="shared" si="0"/>
        <v>9.9195867305657579</v>
      </c>
      <c r="G139" s="3">
        <f>SUM(G133:G138)</f>
        <v>7968.9000000000015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0.28829574972706357</v>
      </c>
      <c r="N139" s="1"/>
      <c r="O139" s="3"/>
      <c r="P139" s="2"/>
      <c r="Q139" s="4"/>
      <c r="R139" s="4"/>
      <c r="S139" s="4"/>
      <c r="T139" s="2"/>
      <c r="U139" s="7"/>
    </row>
    <row r="140" spans="4:21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193</v>
      </c>
      <c r="E142" s="25">
        <f>+E13+E21+E30+E37+E44+E73+E79+E86+E92</f>
        <v>50774</v>
      </c>
      <c r="F142" s="2">
        <f>+G142/E142*100</f>
        <v>11.223657777602712</v>
      </c>
      <c r="G142" s="25">
        <f>+G13+G21+G30+G37+G44+G73+G79+G86+G92</f>
        <v>5698.7000000000007</v>
      </c>
      <c r="H142" s="25">
        <f>+H13+H21+H30+H37+H44+H73+H79+H86+H92</f>
        <v>1165.1000000000001</v>
      </c>
      <c r="I142" s="25">
        <f>+I13+I21+I30+I37+I44+I73+I79+I86+I92</f>
        <v>6851.6</v>
      </c>
      <c r="J142" s="5">
        <f>I142/E142*100</f>
        <v>13.494308110450232</v>
      </c>
      <c r="K142" s="7">
        <f>(J142-F142)/F142</f>
        <v>0.20230929861196406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 s="1" t="s">
        <v>194</v>
      </c>
      <c r="E143" s="25">
        <f>+E51+E58+E65+E98+E107+E114+E121</f>
        <v>29561</v>
      </c>
      <c r="F143" s="2">
        <f>+G143/E143*100</f>
        <v>7.6797131355502177</v>
      </c>
      <c r="G143" s="25">
        <f>+G51+G58+G65+G98+G107+G114+G121</f>
        <v>2270.1999999999998</v>
      </c>
      <c r="H143" s="25">
        <f>+H51+H58+H65+H98+H107+H114+H121</f>
        <v>1144.3</v>
      </c>
      <c r="I143" s="25">
        <f>+I51+I58+I65+I98+I107+I114+I121</f>
        <v>3414.7</v>
      </c>
      <c r="J143" s="5">
        <f>I143/E143*100</f>
        <v>11.5513683569568</v>
      </c>
      <c r="K143" s="7">
        <f>(J143-F143)/F143</f>
        <v>0.50414060435203945</v>
      </c>
      <c r="N143" s="1"/>
      <c r="O143" s="3"/>
      <c r="P143" s="2"/>
      <c r="Q143" s="4"/>
      <c r="R143" s="4"/>
      <c r="S143" s="4"/>
      <c r="T143" s="2"/>
      <c r="U143" s="7"/>
    </row>
    <row r="144" spans="4:21">
      <c r="D144"/>
      <c r="E144" s="25"/>
      <c r="G144" s="25"/>
      <c r="H144" s="25"/>
      <c r="I144" s="25"/>
      <c r="K144" s="37"/>
      <c r="N144" s="1"/>
      <c r="O144" s="3"/>
      <c r="P144" s="2"/>
      <c r="Q144" s="4"/>
      <c r="R144" s="4"/>
      <c r="S144" s="4"/>
      <c r="T144" s="2"/>
      <c r="U144" s="7"/>
    </row>
    <row r="145" spans="4:21">
      <c r="D145" s="1" t="s">
        <v>47</v>
      </c>
      <c r="E145" s="25">
        <f>+E142+E143</f>
        <v>80335</v>
      </c>
      <c r="F145" s="2">
        <f>+G145/E145*100</f>
        <v>9.9195867305657561</v>
      </c>
      <c r="G145" s="25">
        <f>+G142+G143</f>
        <v>7968.9000000000005</v>
      </c>
      <c r="H145" s="25">
        <f>+H142+H143</f>
        <v>2309.4</v>
      </c>
      <c r="I145" s="25">
        <f>+I142+I143</f>
        <v>10266.299999999999</v>
      </c>
      <c r="J145" s="5">
        <f>I145/E145*100</f>
        <v>12.779361424036844</v>
      </c>
      <c r="K145" s="7">
        <f>(J145-F145)/F145</f>
        <v>0.28829574972706379</v>
      </c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5">
        <f>+E145-E139</f>
        <v>0</v>
      </c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85"/>
  <sheetViews>
    <sheetView topLeftCell="A6" workbookViewId="0">
      <selection activeCell="B30" sqref="B30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</cols>
  <sheetData>
    <row r="2" spans="1:8">
      <c r="B2" s="104">
        <v>2001</v>
      </c>
      <c r="C2" s="104"/>
      <c r="D2" s="104"/>
      <c r="F2" s="9"/>
      <c r="G2" s="9"/>
      <c r="H2" s="9"/>
    </row>
    <row r="4" spans="1:8" s="16" customFormat="1">
      <c r="B4" s="54" t="s">
        <v>140</v>
      </c>
      <c r="C4" s="54" t="s">
        <v>141</v>
      </c>
      <c r="D4" s="54" t="s">
        <v>142</v>
      </c>
      <c r="F4" s="54"/>
      <c r="G4" s="54"/>
      <c r="H4" s="54"/>
    </row>
    <row r="6" spans="1:8">
      <c r="A6" t="s">
        <v>188</v>
      </c>
      <c r="B6" s="81">
        <f>+PGE!E142</f>
        <v>50774</v>
      </c>
      <c r="C6" s="81">
        <f>+SCE!E135</f>
        <v>58229</v>
      </c>
      <c r="D6" s="81">
        <f>+SDGE!E104</f>
        <v>16548</v>
      </c>
      <c r="E6" s="81"/>
    </row>
    <row r="7" spans="1:8">
      <c r="A7" t="s">
        <v>189</v>
      </c>
      <c r="B7" s="81">
        <f>+PGE!E143</f>
        <v>29561</v>
      </c>
      <c r="C7" s="81">
        <f>+SCE!E136</f>
        <v>24673</v>
      </c>
      <c r="D7" s="81">
        <f>+SDGE!E105</f>
        <v>657</v>
      </c>
      <c r="E7" s="81"/>
    </row>
    <row r="8" spans="1:8">
      <c r="A8" t="s">
        <v>214</v>
      </c>
      <c r="B8" s="81">
        <f>+PGE!E139</f>
        <v>80335</v>
      </c>
      <c r="C8" s="81">
        <f>+SCE!E132</f>
        <v>82902</v>
      </c>
      <c r="D8" s="81">
        <f>+SDGE!E101</f>
        <v>17205</v>
      </c>
      <c r="E8" s="81"/>
    </row>
    <row r="9" spans="1:8">
      <c r="B9" s="81"/>
      <c r="C9" s="81"/>
      <c r="D9" s="81"/>
      <c r="E9" s="81"/>
    </row>
    <row r="10" spans="1:8">
      <c r="A10" t="s">
        <v>218</v>
      </c>
      <c r="B10" s="86">
        <f>93000*0.58</f>
        <v>53939.999999999993</v>
      </c>
      <c r="C10" s="81">
        <f>83000*0.66</f>
        <v>54780</v>
      </c>
      <c r="D10" s="81">
        <f>16000*0.33</f>
        <v>5280</v>
      </c>
      <c r="E10" s="81"/>
    </row>
    <row r="11" spans="1:8">
      <c r="A11" t="s">
        <v>223</v>
      </c>
      <c r="B11" s="86">
        <f>93000*0.08</f>
        <v>7440</v>
      </c>
      <c r="C11" s="81">
        <f>83000*0.14</f>
        <v>11620.000000000002</v>
      </c>
      <c r="D11" s="81">
        <f>16000*0.3</f>
        <v>4800</v>
      </c>
      <c r="E11" s="81"/>
    </row>
    <row r="12" spans="1:8">
      <c r="A12" t="s">
        <v>222</v>
      </c>
      <c r="B12" s="86">
        <f>SUM(B10:B11)</f>
        <v>61379.999999999993</v>
      </c>
      <c r="C12" s="86">
        <f>SUM(C10:C11)</f>
        <v>66400</v>
      </c>
      <c r="D12" s="86">
        <f>SUM(D10:D11)</f>
        <v>10080</v>
      </c>
      <c r="E12" s="81"/>
    </row>
    <row r="13" spans="1:8">
      <c r="B13" s="86"/>
      <c r="C13" s="81"/>
      <c r="D13" s="81"/>
      <c r="E13" s="81"/>
    </row>
    <row r="14" spans="1:8">
      <c r="A14" t="s">
        <v>221</v>
      </c>
      <c r="B14" s="81"/>
      <c r="C14" s="81"/>
      <c r="D14" s="81"/>
      <c r="E14" s="81"/>
    </row>
    <row r="15" spans="1:8">
      <c r="A15" t="s">
        <v>187</v>
      </c>
      <c r="B15" s="81">
        <f>+B10-B8</f>
        <v>-26395.000000000007</v>
      </c>
      <c r="C15" s="81">
        <f>+C10-C8</f>
        <v>-28122</v>
      </c>
      <c r="D15" s="81">
        <f>+D10-D8</f>
        <v>-11925</v>
      </c>
      <c r="E15" s="81"/>
    </row>
    <row r="16" spans="1:8">
      <c r="A16" t="s">
        <v>181</v>
      </c>
      <c r="B16" s="81">
        <f>+B10-B6</f>
        <v>3165.9999999999927</v>
      </c>
      <c r="C16" s="81">
        <f>+C10-C6</f>
        <v>-3449</v>
      </c>
      <c r="D16" s="81">
        <f>+D10-D6</f>
        <v>-11268</v>
      </c>
      <c r="E16" s="81"/>
    </row>
    <row r="17" spans="1:4">
      <c r="B17" s="50"/>
    </row>
    <row r="18" spans="1:4">
      <c r="A18" t="s">
        <v>222</v>
      </c>
      <c r="B18" s="50"/>
      <c r="C18" s="50"/>
      <c r="D18" s="50"/>
    </row>
    <row r="19" spans="1:4">
      <c r="A19" t="s">
        <v>187</v>
      </c>
      <c r="B19" s="50">
        <f>+B12-B8</f>
        <v>-18955.000000000007</v>
      </c>
      <c r="C19" s="50">
        <f>+C12-C8</f>
        <v>-16502</v>
      </c>
      <c r="D19" s="50">
        <f>+D12-D8</f>
        <v>-7125</v>
      </c>
    </row>
    <row r="20" spans="1:4">
      <c r="A20" t="s">
        <v>181</v>
      </c>
      <c r="B20" s="50">
        <f>+B12-B6</f>
        <v>10605.999999999993</v>
      </c>
      <c r="C20" s="50">
        <f>+C12-C6</f>
        <v>8171</v>
      </c>
      <c r="D20" s="50">
        <f>+D12-D6</f>
        <v>-6468</v>
      </c>
    </row>
    <row r="21" spans="1:4">
      <c r="A21" t="s">
        <v>257</v>
      </c>
      <c r="B21" s="50">
        <f>-B20/SUM($B$20:$C$20)*-$D$20</f>
        <v>-3653.384885764498</v>
      </c>
      <c r="C21" s="50">
        <f>-C20/SUM($B$20:$C$20)*-$D$20</f>
        <v>-2814.615114235502</v>
      </c>
      <c r="D21" s="50">
        <f>-(B21+C21)</f>
        <v>6468</v>
      </c>
    </row>
    <row r="22" spans="1:4">
      <c r="A22" t="s">
        <v>258</v>
      </c>
      <c r="B22" s="50">
        <f>B20+B21</f>
        <v>6952.6151142354947</v>
      </c>
      <c r="C22" s="50">
        <f>C20+C21</f>
        <v>5356.384885764498</v>
      </c>
      <c r="D22" s="50">
        <f>D20+D21</f>
        <v>0</v>
      </c>
    </row>
    <row r="23" spans="1:4">
      <c r="B23" s="50"/>
      <c r="C23" s="50"/>
      <c r="D23" s="50"/>
    </row>
    <row r="24" spans="1:4">
      <c r="A24" t="s">
        <v>259</v>
      </c>
      <c r="B24" s="101">
        <f>SUM(B22:D22)/SUM(B11:D11)</f>
        <v>0.51588432523051098</v>
      </c>
      <c r="C24" s="101"/>
      <c r="D24" s="101"/>
    </row>
    <row r="25" spans="1:4">
      <c r="A25" t="s">
        <v>260</v>
      </c>
      <c r="B25" s="82">
        <f>$B$24*-SUM(Curves!$O$7:$O$9)*'SDGE - Core Analysis'!B22/SUM('SDGE - Core Analysis'!$B$22:$D$22)/1000</f>
        <v>760.42370915898096</v>
      </c>
      <c r="C25" s="82">
        <f>$B$24*-SUM(Curves!$O$7:$O$9)*'SDGE - Core Analysis'!C22/SUM('SDGE - Core Analysis'!$B$22:$D$22)/1000</f>
        <v>585.84029111239283</v>
      </c>
      <c r="D25" s="82">
        <f>$B$24*-SUM(Curves!$O$7:$O$9)*'SDGE - Core Analysis'!D22/SUM('SDGE - Core Analysis'!$B$22:$D$22)/1000</f>
        <v>0</v>
      </c>
    </row>
    <row r="27" spans="1:4">
      <c r="A27" t="s">
        <v>180</v>
      </c>
    </row>
    <row r="29" spans="1:4">
      <c r="B29" s="54" t="s">
        <v>140</v>
      </c>
      <c r="C29" s="54" t="s">
        <v>141</v>
      </c>
      <c r="D29" s="54" t="s">
        <v>142</v>
      </c>
    </row>
    <row r="30" spans="1:4">
      <c r="B30" s="54"/>
      <c r="C30" s="54"/>
      <c r="D30" s="54"/>
    </row>
    <row r="31" spans="1:4">
      <c r="A31" t="s">
        <v>195</v>
      </c>
      <c r="B31" s="56">
        <f>+PGE!E13+PGE!E21</f>
        <v>28846</v>
      </c>
      <c r="C31" s="56">
        <f>+SCE!E11+SCE!E20</f>
        <v>25149</v>
      </c>
      <c r="D31" s="56">
        <f>+SDGE!E12+SDGE!E20</f>
        <v>6259</v>
      </c>
    </row>
    <row r="32" spans="1:4" s="82" customFormat="1">
      <c r="A32" s="82" t="s">
        <v>196</v>
      </c>
      <c r="B32" s="59">
        <f>+PGE!I13+PGE!I21</f>
        <v>4023.5000000000005</v>
      </c>
      <c r="C32" s="59">
        <f>+SCE!I11+SCE!I20</f>
        <v>3773.8324000000007</v>
      </c>
      <c r="D32" s="59">
        <f>+SDGE!I12+SDGE!I20</f>
        <v>1015.6</v>
      </c>
    </row>
    <row r="33" spans="1:4">
      <c r="A33" t="s">
        <v>208</v>
      </c>
      <c r="B33" s="57">
        <f>+B32/B31*100</f>
        <v>13.948207723774528</v>
      </c>
      <c r="C33" s="57">
        <f>+C32/C31*100</f>
        <v>15.005894468964973</v>
      </c>
      <c r="D33" s="57">
        <f>+D32/D31*100</f>
        <v>16.226234222719285</v>
      </c>
    </row>
    <row r="34" spans="1:4">
      <c r="B34" s="56"/>
      <c r="C34" s="56"/>
      <c r="D34" s="56"/>
    </row>
    <row r="35" spans="1:4">
      <c r="A35" t="s">
        <v>198</v>
      </c>
      <c r="B35" s="56">
        <f t="shared" ref="B35:D36" si="0">+B39-B31</f>
        <v>21928</v>
      </c>
      <c r="C35" s="56">
        <f t="shared" si="0"/>
        <v>33080</v>
      </c>
      <c r="D35" s="56">
        <f t="shared" si="0"/>
        <v>10289</v>
      </c>
    </row>
    <row r="36" spans="1:4" s="82" customFormat="1">
      <c r="A36" s="82" t="s">
        <v>197</v>
      </c>
      <c r="B36" s="59">
        <f t="shared" si="0"/>
        <v>2828.1</v>
      </c>
      <c r="C36" s="59">
        <f t="shared" si="0"/>
        <v>4471.6088</v>
      </c>
      <c r="D36" s="59">
        <f t="shared" si="0"/>
        <v>1619.4</v>
      </c>
    </row>
    <row r="37" spans="1:4">
      <c r="A37" t="s">
        <v>208</v>
      </c>
      <c r="B37" s="57">
        <f>+B36/B35*100</f>
        <v>12.897209047792776</v>
      </c>
      <c r="C37" s="57">
        <f>+C36/C35*100</f>
        <v>13.517559854897218</v>
      </c>
      <c r="D37" s="57">
        <f>+D36/D35*100</f>
        <v>15.739138886189135</v>
      </c>
    </row>
    <row r="39" spans="1:4">
      <c r="A39" t="s">
        <v>190</v>
      </c>
      <c r="B39" s="81">
        <f>+B6</f>
        <v>50774</v>
      </c>
      <c r="C39" s="81">
        <f>+C6</f>
        <v>58229</v>
      </c>
      <c r="D39" s="81">
        <f>+D6</f>
        <v>16548</v>
      </c>
    </row>
    <row r="40" spans="1:4" s="82" customFormat="1">
      <c r="A40" s="82" t="s">
        <v>191</v>
      </c>
      <c r="B40" s="82">
        <f>+PGE!I142</f>
        <v>6851.6</v>
      </c>
      <c r="C40" s="82">
        <f>+SCE!I135</f>
        <v>8245.4412000000011</v>
      </c>
      <c r="D40" s="82">
        <f>+SDGE!I104</f>
        <v>2635</v>
      </c>
    </row>
    <row r="41" spans="1:4">
      <c r="A41" t="s">
        <v>208</v>
      </c>
      <c r="B41" s="55">
        <f>+B40/B39*100</f>
        <v>13.494308110450232</v>
      </c>
      <c r="C41" s="55">
        <f>+C40/C39*100</f>
        <v>14.160368888354602</v>
      </c>
      <c r="D41" s="55">
        <f>+D40/D39*100</f>
        <v>15.923374425912499</v>
      </c>
    </row>
    <row r="43" spans="1:4">
      <c r="A43" t="s">
        <v>192</v>
      </c>
      <c r="B43" s="50">
        <f>+B7</f>
        <v>29561</v>
      </c>
      <c r="C43" s="50">
        <f>+C7</f>
        <v>24673</v>
      </c>
      <c r="D43" s="50">
        <f>+D7</f>
        <v>657</v>
      </c>
    </row>
    <row r="44" spans="1:4" s="82" customFormat="1">
      <c r="A44" s="82" t="s">
        <v>206</v>
      </c>
      <c r="B44" s="82">
        <f>+PGE!I143</f>
        <v>3414.7</v>
      </c>
      <c r="C44" s="82">
        <f>+SCE!I136</f>
        <v>3009.1520999999998</v>
      </c>
      <c r="D44" s="82">
        <f>+SDGE!I105</f>
        <v>78.8</v>
      </c>
    </row>
    <row r="45" spans="1:4">
      <c r="A45" t="s">
        <v>208</v>
      </c>
      <c r="B45" s="55">
        <f>+B44/B43*100</f>
        <v>11.5513683569568</v>
      </c>
      <c r="C45" s="55">
        <f>+C44/C43*100</f>
        <v>12.196133830502978</v>
      </c>
      <c r="D45" s="55">
        <f>+D44/D43*100</f>
        <v>11.993911719939117</v>
      </c>
    </row>
    <row r="48" spans="1:4">
      <c r="B48" s="54" t="s">
        <v>140</v>
      </c>
      <c r="C48" s="54" t="s">
        <v>141</v>
      </c>
      <c r="D48" s="54" t="s">
        <v>142</v>
      </c>
    </row>
    <row r="50" spans="1:4">
      <c r="A50" t="s">
        <v>199</v>
      </c>
      <c r="B50" s="82">
        <f>83000*0.98*0.01</f>
        <v>813.4</v>
      </c>
      <c r="C50" s="82">
        <v>400</v>
      </c>
      <c r="D50" s="82">
        <f>16000*0.96*0.012</f>
        <v>184.32</v>
      </c>
    </row>
    <row r="51" spans="1:4">
      <c r="A51" t="s">
        <v>200</v>
      </c>
      <c r="B51" s="82">
        <f>83000*0.98*0.033</f>
        <v>2684.2200000000003</v>
      </c>
      <c r="C51" s="82">
        <v>2700</v>
      </c>
      <c r="D51" s="82">
        <f>16000*0.96*0.053</f>
        <v>814.07999999999993</v>
      </c>
    </row>
    <row r="52" spans="1:4">
      <c r="A52" t="s">
        <v>201</v>
      </c>
      <c r="B52" s="82">
        <f>83000*0.98*0.007</f>
        <v>569.38</v>
      </c>
      <c r="C52" s="82">
        <v>300</v>
      </c>
      <c r="D52" s="82">
        <f>16000*0.96*0.004</f>
        <v>61.44</v>
      </c>
    </row>
    <row r="53" spans="1:4">
      <c r="A53" t="s">
        <v>202</v>
      </c>
      <c r="B53" s="82">
        <f>83000*0.98*0.043</f>
        <v>3497.62</v>
      </c>
      <c r="C53" s="82">
        <v>3900</v>
      </c>
      <c r="D53" s="82">
        <f>16000*0.96*0.024</f>
        <v>368.64</v>
      </c>
    </row>
    <row r="54" spans="1:4">
      <c r="B54" s="82"/>
      <c r="C54" s="82"/>
      <c r="D54" s="82"/>
    </row>
    <row r="55" spans="1:4">
      <c r="A55" t="s">
        <v>203</v>
      </c>
      <c r="B55" s="82">
        <f>SUM(B50:B54)</f>
        <v>7564.6200000000008</v>
      </c>
      <c r="C55" s="82">
        <f>SUM(C50:C54)</f>
        <v>7300</v>
      </c>
      <c r="D55" s="82">
        <f>SUM(D50:D54)</f>
        <v>1428.48</v>
      </c>
    </row>
    <row r="56" spans="1:4">
      <c r="B56" s="82"/>
      <c r="C56" s="82"/>
      <c r="D56" s="82"/>
    </row>
    <row r="57" spans="1:4">
      <c r="A57" t="s">
        <v>204</v>
      </c>
      <c r="B57" s="82">
        <f>+B59-B55</f>
        <v>2701.6799999999985</v>
      </c>
      <c r="C57" s="82">
        <f>+C59-C55</f>
        <v>3954.5933000000005</v>
      </c>
      <c r="D57" s="82">
        <f>+D59-D55</f>
        <v>1285.3200000000002</v>
      </c>
    </row>
    <row r="58" spans="1:4">
      <c r="B58" s="82"/>
      <c r="C58" s="82"/>
      <c r="D58" s="82"/>
    </row>
    <row r="59" spans="1:4">
      <c r="A59" t="s">
        <v>205</v>
      </c>
      <c r="B59" s="82">
        <f>+B40+B44</f>
        <v>10266.299999999999</v>
      </c>
      <c r="C59" s="82">
        <f>+C40+C44</f>
        <v>11254.5933</v>
      </c>
      <c r="D59" s="82">
        <f>+D40+D44</f>
        <v>2713.8</v>
      </c>
    </row>
    <row r="61" spans="1:4">
      <c r="A61" t="s">
        <v>207</v>
      </c>
      <c r="B61" s="87">
        <f>+B57/B8*100</f>
        <v>3.3630173647849615</v>
      </c>
      <c r="C61" s="87">
        <f>+C57/C8*100</f>
        <v>4.7702025282864113</v>
      </c>
      <c r="D61" s="87">
        <f>+D57/D8*100</f>
        <v>7.4706190061028783</v>
      </c>
    </row>
    <row r="64" spans="1:4">
      <c r="A64" s="63" t="s">
        <v>209</v>
      </c>
      <c r="B64" s="64"/>
      <c r="C64" s="64"/>
      <c r="D64" s="65"/>
    </row>
    <row r="65" spans="1:4">
      <c r="A65" s="66"/>
      <c r="B65" s="88"/>
      <c r="C65" s="68"/>
      <c r="D65" s="69"/>
    </row>
    <row r="66" spans="1:4">
      <c r="A66" s="66" t="s">
        <v>213</v>
      </c>
      <c r="B66" s="85">
        <f>+B52*(B39/B8)</f>
        <v>359.86431966141782</v>
      </c>
      <c r="C66" s="85">
        <f>+C52*(C39/C8)</f>
        <v>210.71506115654626</v>
      </c>
      <c r="D66" s="89">
        <f>+D52*(D39/D8)</f>
        <v>59.093816913687881</v>
      </c>
    </row>
    <row r="67" spans="1:4">
      <c r="A67" s="66" t="s">
        <v>202</v>
      </c>
      <c r="B67" s="85">
        <f>+B53</f>
        <v>3497.62</v>
      </c>
      <c r="C67" s="85">
        <f>+C53</f>
        <v>3900</v>
      </c>
      <c r="D67" s="89">
        <f>+D53</f>
        <v>368.64</v>
      </c>
    </row>
    <row r="68" spans="1:4">
      <c r="A68" s="66" t="s">
        <v>210</v>
      </c>
      <c r="B68" s="85">
        <f>+B50*(B39/B8)</f>
        <v>514.09188523059686</v>
      </c>
      <c r="C68" s="85">
        <f>+C50*(C39/C8)</f>
        <v>280.95341487539503</v>
      </c>
      <c r="D68" s="89">
        <f>+D50*(D39/D8)</f>
        <v>177.28145074106362</v>
      </c>
    </row>
    <row r="69" spans="1:4">
      <c r="A69" s="66" t="s">
        <v>215</v>
      </c>
      <c r="B69" s="85">
        <f>((0.08*B8)*133)/1000</f>
        <v>854.76440000000002</v>
      </c>
      <c r="C69" s="85">
        <f>((0.14*C8)*133)/1000</f>
        <v>1543.6352400000001</v>
      </c>
      <c r="D69" s="89">
        <f>((0.3*D8)*133)/1000</f>
        <v>686.47950000000003</v>
      </c>
    </row>
    <row r="70" spans="1:4">
      <c r="A70" s="66" t="s">
        <v>219</v>
      </c>
      <c r="B70" s="102">
        <f>+B57*(B39/B8)</f>
        <v>1707.5384367959164</v>
      </c>
      <c r="C70" s="102">
        <f>+C57*(C39/C8)</f>
        <v>2777.641230195894</v>
      </c>
      <c r="D70" s="103">
        <f>+D57*(D39/D8)</f>
        <v>1236.2380331299044</v>
      </c>
    </row>
    <row r="71" spans="1:4">
      <c r="A71" s="66" t="s">
        <v>261</v>
      </c>
      <c r="B71" s="102">
        <f>-B25</f>
        <v>-760.42370915898096</v>
      </c>
      <c r="C71" s="102">
        <f>-C25</f>
        <v>-585.84029111239283</v>
      </c>
      <c r="D71" s="103">
        <f>-D25</f>
        <v>0</v>
      </c>
    </row>
    <row r="72" spans="1:4">
      <c r="A72" s="66"/>
      <c r="B72" s="85"/>
      <c r="C72" s="85"/>
      <c r="D72" s="89"/>
    </row>
    <row r="73" spans="1:4">
      <c r="A73" s="66" t="s">
        <v>47</v>
      </c>
      <c r="B73" s="85">
        <f>SUM(B66:B72)</f>
        <v>6173.4553325289498</v>
      </c>
      <c r="C73" s="85">
        <f>SUM(C66:C72)</f>
        <v>8127.1046551154423</v>
      </c>
      <c r="D73" s="89">
        <f>SUM(D66:D72)</f>
        <v>2527.7328007846559</v>
      </c>
    </row>
    <row r="74" spans="1:4">
      <c r="A74" s="66"/>
      <c r="B74" s="88"/>
      <c r="C74" s="88"/>
      <c r="D74" s="90"/>
    </row>
    <row r="75" spans="1:4">
      <c r="A75" s="66" t="s">
        <v>220</v>
      </c>
      <c r="B75" s="91">
        <f>+B39</f>
        <v>50774</v>
      </c>
      <c r="C75" s="91">
        <f>+C39</f>
        <v>58229</v>
      </c>
      <c r="D75" s="92">
        <f>+D39</f>
        <v>16548</v>
      </c>
    </row>
    <row r="76" spans="1:4">
      <c r="A76" s="66"/>
      <c r="B76" s="88"/>
      <c r="C76" s="88"/>
      <c r="D76" s="90"/>
    </row>
    <row r="77" spans="1:4">
      <c r="A77" s="66" t="s">
        <v>211</v>
      </c>
      <c r="B77" s="93">
        <f>+B73/B75*100</f>
        <v>12.158694080688836</v>
      </c>
      <c r="C77" s="93">
        <f>+C73/C75*100</f>
        <v>13.957142755526355</v>
      </c>
      <c r="D77" s="94">
        <f>+D73/D75*100</f>
        <v>15.275155914821465</v>
      </c>
    </row>
    <row r="78" spans="1:4">
      <c r="A78" s="66"/>
      <c r="B78" s="88"/>
      <c r="C78" s="68"/>
      <c r="D78" s="69"/>
    </row>
    <row r="79" spans="1:4">
      <c r="A79" s="77" t="s">
        <v>212</v>
      </c>
      <c r="B79" s="95">
        <f>+B41</f>
        <v>13.494308110450232</v>
      </c>
      <c r="C79" s="95">
        <f>+C41</f>
        <v>14.160368888354602</v>
      </c>
      <c r="D79" s="96">
        <f>+D41</f>
        <v>15.923374425912499</v>
      </c>
    </row>
    <row r="80" spans="1:4">
      <c r="B80" s="97"/>
    </row>
    <row r="81" spans="1:2">
      <c r="A81" t="s">
        <v>217</v>
      </c>
      <c r="B81" s="97"/>
    </row>
    <row r="82" spans="1:2">
      <c r="A82" s="62" t="s">
        <v>216</v>
      </c>
      <c r="B82" s="97"/>
    </row>
    <row r="83" spans="1:2">
      <c r="B83" s="97"/>
    </row>
    <row r="84" spans="1:2">
      <c r="B84" s="97"/>
    </row>
    <row r="85" spans="1:2">
      <c r="B85" s="97"/>
    </row>
  </sheetData>
  <mergeCells count="1">
    <mergeCell ref="B2:D2"/>
  </mergeCells>
  <phoneticPr fontId="0" type="noConversion"/>
  <pageMargins left="0.75" right="0.75" top="1" bottom="1" header="0.5" footer="0.5"/>
  <pageSetup scale="61" orientation="portrait" horizontalDpi="12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J1" workbookViewId="0">
      <selection activeCell="I6" sqref="I6"/>
    </sheetView>
  </sheetViews>
  <sheetFormatPr defaultRowHeight="13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546875" bestFit="1" customWidth="1"/>
    <col min="17" max="17" width="15.5546875" bestFit="1" customWidth="1"/>
    <col min="19" max="19" width="10.109375" bestFit="1" customWidth="1"/>
    <col min="20" max="20" width="14" bestFit="1" customWidth="1"/>
  </cols>
  <sheetData>
    <row r="1" spans="1:35">
      <c r="C1" s="1"/>
      <c r="D1" s="9" t="s">
        <v>47</v>
      </c>
      <c r="E1" s="1"/>
      <c r="F1" s="1"/>
      <c r="G1" s="1"/>
      <c r="H1" s="9" t="s">
        <v>224</v>
      </c>
      <c r="I1" s="9"/>
      <c r="J1" s="9"/>
      <c r="K1" s="9"/>
      <c r="L1" s="9" t="s">
        <v>225</v>
      </c>
      <c r="M1" s="1"/>
      <c r="O1" s="9" t="s">
        <v>226</v>
      </c>
      <c r="Q1" s="9" t="s">
        <v>227</v>
      </c>
      <c r="T1" s="9" t="s">
        <v>228</v>
      </c>
    </row>
    <row r="2" spans="1:3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229</v>
      </c>
      <c r="Q2" s="9" t="s">
        <v>230</v>
      </c>
      <c r="T2" s="9" t="s">
        <v>231</v>
      </c>
      <c r="V2" t="s">
        <v>232</v>
      </c>
      <c r="Y2" s="80">
        <v>7.3400000000000007E-2</v>
      </c>
    </row>
    <row r="3" spans="1:35">
      <c r="C3" s="1"/>
      <c r="D3" s="1" t="s">
        <v>233</v>
      </c>
      <c r="E3" s="1" t="s">
        <v>234</v>
      </c>
      <c r="F3" s="1"/>
      <c r="G3" s="1"/>
      <c r="H3" s="1" t="s">
        <v>170</v>
      </c>
      <c r="I3" s="1" t="s">
        <v>234</v>
      </c>
      <c r="J3" s="1"/>
      <c r="K3" s="1"/>
      <c r="L3" s="1" t="s">
        <v>170</v>
      </c>
      <c r="M3" s="1" t="s">
        <v>234</v>
      </c>
      <c r="T3" s="9" t="s">
        <v>235</v>
      </c>
      <c r="V3" t="s">
        <v>236</v>
      </c>
    </row>
    <row r="4" spans="1:35">
      <c r="C4" s="1" t="s">
        <v>169</v>
      </c>
      <c r="D4" s="1" t="s">
        <v>237</v>
      </c>
      <c r="E4" s="1" t="s">
        <v>238</v>
      </c>
      <c r="F4" s="1"/>
      <c r="G4" s="1" t="s">
        <v>169</v>
      </c>
      <c r="H4" s="1" t="s">
        <v>237</v>
      </c>
      <c r="I4" s="1" t="s">
        <v>238</v>
      </c>
      <c r="J4" s="1"/>
      <c r="K4" s="1" t="s">
        <v>169</v>
      </c>
      <c r="L4" s="1" t="s">
        <v>237</v>
      </c>
      <c r="M4" s="1" t="s">
        <v>238</v>
      </c>
      <c r="O4" s="1" t="s">
        <v>237</v>
      </c>
      <c r="Q4" s="1" t="s">
        <v>237</v>
      </c>
      <c r="T4" s="9" t="s">
        <v>229</v>
      </c>
      <c r="AB4" t="s">
        <v>239</v>
      </c>
      <c r="AC4" t="s">
        <v>239</v>
      </c>
      <c r="AD4" t="s">
        <v>240</v>
      </c>
      <c r="AE4" t="s">
        <v>240</v>
      </c>
      <c r="AF4" t="s">
        <v>240</v>
      </c>
      <c r="AG4" t="s">
        <v>240</v>
      </c>
      <c r="AI4" t="s">
        <v>241</v>
      </c>
    </row>
    <row r="5" spans="1:35">
      <c r="T5" s="9" t="s">
        <v>242</v>
      </c>
      <c r="V5" t="s">
        <v>243</v>
      </c>
      <c r="X5">
        <v>1</v>
      </c>
      <c r="AB5" t="s">
        <v>244</v>
      </c>
      <c r="AC5" t="s">
        <v>245</v>
      </c>
      <c r="AD5" t="s">
        <v>244</v>
      </c>
      <c r="AE5" t="s">
        <v>245</v>
      </c>
      <c r="AF5" t="s">
        <v>244</v>
      </c>
      <c r="AG5" t="s">
        <v>245</v>
      </c>
      <c r="AI5" t="s">
        <v>246</v>
      </c>
    </row>
    <row r="6" spans="1:35">
      <c r="A6">
        <v>2001</v>
      </c>
      <c r="B6" t="s">
        <v>164</v>
      </c>
      <c r="C6" s="81">
        <v>13308000</v>
      </c>
      <c r="D6" s="82">
        <f t="shared" ref="D6:D45" si="0">E6*C6/1000</f>
        <v>3792780</v>
      </c>
      <c r="E6" s="82">
        <v>285</v>
      </c>
      <c r="G6" t="s">
        <v>247</v>
      </c>
      <c r="H6" t="s">
        <v>247</v>
      </c>
      <c r="I6" t="s">
        <v>247</v>
      </c>
      <c r="K6" t="s">
        <v>247</v>
      </c>
      <c r="L6" t="s">
        <v>247</v>
      </c>
      <c r="M6" t="s">
        <v>247</v>
      </c>
      <c r="T6" s="9" t="s">
        <v>248</v>
      </c>
      <c r="V6" t="s">
        <v>249</v>
      </c>
      <c r="Z6">
        <v>2001</v>
      </c>
      <c r="AA6" t="s">
        <v>164</v>
      </c>
      <c r="AD6" t="s">
        <v>250</v>
      </c>
      <c r="AE6" t="s">
        <v>250</v>
      </c>
      <c r="AF6" t="s">
        <v>251</v>
      </c>
      <c r="AG6" t="s">
        <v>251</v>
      </c>
      <c r="AH6" t="s">
        <v>252</v>
      </c>
    </row>
    <row r="7" spans="1:35">
      <c r="B7" t="s">
        <v>165</v>
      </c>
      <c r="C7" s="81">
        <v>17301661</v>
      </c>
      <c r="D7" s="82">
        <f t="shared" si="0"/>
        <v>4550336.8430000003</v>
      </c>
      <c r="E7" s="82">
        <v>263</v>
      </c>
      <c r="G7" s="81">
        <v>6835030</v>
      </c>
      <c r="H7" s="82">
        <f t="shared" ref="H7:H45" si="1">I7*G7/1000</f>
        <v>922729.05</v>
      </c>
      <c r="I7" s="82">
        <v>135</v>
      </c>
      <c r="K7" s="81">
        <v>10466630</v>
      </c>
      <c r="L7" s="82">
        <f t="shared" ref="L7:L45" si="2">K7*M7/1000</f>
        <v>3621453.98</v>
      </c>
      <c r="M7" s="82">
        <v>346</v>
      </c>
      <c r="O7" s="82">
        <f t="shared" ref="O7:O45" si="3">(I7-M7)*G7/1000</f>
        <v>-1442191.33</v>
      </c>
      <c r="Q7" s="82">
        <f>O7</f>
        <v>-1442191.33</v>
      </c>
      <c r="S7" s="83">
        <v>37072</v>
      </c>
      <c r="T7" s="82">
        <f>XNPV($Y$2,O7:$O$45,S7:$S$45)</f>
        <v>-10907674.276881868</v>
      </c>
      <c r="V7" t="s">
        <v>253</v>
      </c>
      <c r="AA7" t="s">
        <v>165</v>
      </c>
      <c r="AB7" t="s">
        <v>247</v>
      </c>
      <c r="AC7" t="s">
        <v>247</v>
      </c>
      <c r="AD7" t="s">
        <v>247</v>
      </c>
      <c r="AE7" t="s">
        <v>247</v>
      </c>
      <c r="AF7" t="s">
        <v>247</v>
      </c>
      <c r="AG7" t="s">
        <v>247</v>
      </c>
      <c r="AH7" s="82">
        <v>346</v>
      </c>
      <c r="AI7">
        <v>1</v>
      </c>
    </row>
    <row r="8" spans="1:35">
      <c r="B8" t="s">
        <v>166</v>
      </c>
      <c r="C8" s="81">
        <v>21250889</v>
      </c>
      <c r="D8" s="82">
        <f t="shared" si="0"/>
        <v>3676403.7969999998</v>
      </c>
      <c r="E8" s="82">
        <v>173</v>
      </c>
      <c r="G8" s="81">
        <v>8241181</v>
      </c>
      <c r="H8" s="82">
        <f t="shared" si="1"/>
        <v>1137282.9779999999</v>
      </c>
      <c r="I8" s="82">
        <v>138</v>
      </c>
      <c r="K8" s="81">
        <v>13009708</v>
      </c>
      <c r="L8" s="82">
        <f t="shared" si="2"/>
        <v>2536893.06</v>
      </c>
      <c r="M8" s="82">
        <f t="shared" ref="M8:M45" si="4">IF($X$5=1,AH8,IF($X$5=2,$X$10*AG8+(1-$X$10)*AF8,$X$10*AC8+(1-$X$10)*AB8))</f>
        <v>195</v>
      </c>
      <c r="O8" s="82">
        <f t="shared" si="3"/>
        <v>-469747.31699999998</v>
      </c>
      <c r="Q8" s="82">
        <f t="shared" ref="Q8:Q45" si="5">O8+Q7*(1+$Y$2)^0.25</f>
        <v>-1937704.1273598524</v>
      </c>
      <c r="S8" s="83">
        <v>37164</v>
      </c>
      <c r="T8" s="82">
        <f>XNPV($Y$2,O8:$O$45,S8:$S$45)</f>
        <v>-9635990.9596833661</v>
      </c>
      <c r="V8" t="s">
        <v>254</v>
      </c>
      <c r="AA8" t="s">
        <v>166</v>
      </c>
      <c r="AB8">
        <v>249.67956867165674</v>
      </c>
      <c r="AC8">
        <v>260.8781349379903</v>
      </c>
      <c r="AD8">
        <v>198.55751476702508</v>
      </c>
      <c r="AE8">
        <v>216.46306207885308</v>
      </c>
      <c r="AF8">
        <f t="shared" ref="AF8:AF45" si="6">AD8*$AI$8</f>
        <v>199.29795339891803</v>
      </c>
      <c r="AG8">
        <f t="shared" ref="AG8:AG45" si="7">AE8*$AI$8</f>
        <v>217.27027208915706</v>
      </c>
      <c r="AH8" s="82">
        <v>195</v>
      </c>
      <c r="AI8">
        <f t="shared" ref="AI8:AI45" si="8">AI7*(1+$X$12)^0.25</f>
        <v>1.003729088938093</v>
      </c>
    </row>
    <row r="9" spans="1:35">
      <c r="B9" t="s">
        <v>167</v>
      </c>
      <c r="C9" s="81">
        <v>17494520</v>
      </c>
      <c r="D9" s="82">
        <f t="shared" si="0"/>
        <v>3096530.04</v>
      </c>
      <c r="E9" s="82">
        <v>177</v>
      </c>
      <c r="G9" s="81">
        <v>7583534</v>
      </c>
      <c r="H9" s="82">
        <f t="shared" si="1"/>
        <v>940358.21600000001</v>
      </c>
      <c r="I9" s="82">
        <v>124</v>
      </c>
      <c r="K9" s="81">
        <v>9910986</v>
      </c>
      <c r="L9" s="82">
        <f t="shared" si="2"/>
        <v>2140772.9759999998</v>
      </c>
      <c r="M9" s="82">
        <f t="shared" si="4"/>
        <v>216</v>
      </c>
      <c r="O9" s="82">
        <f t="shared" si="3"/>
        <v>-697685.12800000003</v>
      </c>
      <c r="Q9" s="82">
        <f t="shared" si="5"/>
        <v>-2670007.3234331748</v>
      </c>
      <c r="S9" s="83">
        <v>37256</v>
      </c>
      <c r="T9" s="82">
        <f>XNPV($Y$2,O9:$O$45,S9:$S$45)</f>
        <v>-9331361.2597282752</v>
      </c>
      <c r="AA9" t="s">
        <v>167</v>
      </c>
      <c r="AB9">
        <v>132.64516176087304</v>
      </c>
      <c r="AC9">
        <v>170.61409828364359</v>
      </c>
      <c r="AD9">
        <v>116.2263954599761</v>
      </c>
      <c r="AE9">
        <v>289.615413739546</v>
      </c>
      <c r="AF9">
        <f t="shared" si="6"/>
        <v>116.65981402560033</v>
      </c>
      <c r="AG9">
        <f t="shared" si="7"/>
        <v>290.69541537522338</v>
      </c>
      <c r="AH9" s="82">
        <v>216</v>
      </c>
      <c r="AI9">
        <f t="shared" si="8"/>
        <v>1.0074720839804943</v>
      </c>
    </row>
    <row r="10" spans="1:35">
      <c r="A10">
        <v>2002</v>
      </c>
      <c r="B10" t="s">
        <v>164</v>
      </c>
      <c r="C10" s="81">
        <v>13607508</v>
      </c>
      <c r="D10" s="82">
        <f t="shared" si="0"/>
        <v>1837013.58</v>
      </c>
      <c r="E10" s="82">
        <v>135</v>
      </c>
      <c r="G10" s="81">
        <v>8874797</v>
      </c>
      <c r="H10" s="82">
        <f t="shared" si="1"/>
        <v>887479.7</v>
      </c>
      <c r="I10" s="82">
        <v>100</v>
      </c>
      <c r="K10" s="81">
        <v>4732711</v>
      </c>
      <c r="L10" s="82">
        <f t="shared" si="2"/>
        <v>946542.2</v>
      </c>
      <c r="M10" s="82">
        <f t="shared" si="4"/>
        <v>200</v>
      </c>
      <c r="O10" s="82">
        <f t="shared" si="3"/>
        <v>-887479.7</v>
      </c>
      <c r="Q10" s="82">
        <f t="shared" si="5"/>
        <v>-3605188.0599194914</v>
      </c>
      <c r="S10" s="83">
        <v>37346</v>
      </c>
      <c r="T10" s="82">
        <f>XNPV($Y$2,O10:$O$45,S10:$S$45)</f>
        <v>-8785789.6896330938</v>
      </c>
      <c r="V10" t="s">
        <v>255</v>
      </c>
      <c r="X10" s="84">
        <v>0.4</v>
      </c>
      <c r="Z10">
        <v>2002</v>
      </c>
      <c r="AA10" t="s">
        <v>164</v>
      </c>
      <c r="AB10">
        <v>84.770097069269639</v>
      </c>
      <c r="AC10">
        <v>114.62365558911239</v>
      </c>
      <c r="AD10">
        <v>85.322106656426016</v>
      </c>
      <c r="AE10">
        <v>94.587148028673823</v>
      </c>
      <c r="AF10">
        <f t="shared" si="6"/>
        <v>85.640280380533284</v>
      </c>
      <c r="AG10">
        <f t="shared" si="7"/>
        <v>94.939871916073315</v>
      </c>
      <c r="AH10" s="82">
        <v>200</v>
      </c>
      <c r="AI10">
        <f t="shared" si="8"/>
        <v>1.0112290369843033</v>
      </c>
    </row>
    <row r="11" spans="1:35">
      <c r="B11" t="s">
        <v>165</v>
      </c>
      <c r="C11" s="81">
        <v>15078598</v>
      </c>
      <c r="D11" s="82">
        <f t="shared" si="0"/>
        <v>1914981.946</v>
      </c>
      <c r="E11" s="82">
        <v>127</v>
      </c>
      <c r="G11" s="81">
        <v>9736927</v>
      </c>
      <c r="H11" s="82">
        <f t="shared" si="1"/>
        <v>1032114.262</v>
      </c>
      <c r="I11" s="82">
        <v>106</v>
      </c>
      <c r="K11" s="81">
        <v>5341672</v>
      </c>
      <c r="L11" s="82">
        <f t="shared" si="2"/>
        <v>886717.55200000003</v>
      </c>
      <c r="M11" s="82">
        <f t="shared" si="4"/>
        <v>166</v>
      </c>
      <c r="O11" s="82">
        <f t="shared" si="3"/>
        <v>-584215.62</v>
      </c>
      <c r="Q11" s="82">
        <f t="shared" si="5"/>
        <v>-4253812.1950860815</v>
      </c>
      <c r="S11" s="83">
        <v>37437</v>
      </c>
      <c r="T11" s="82">
        <f>XNPV($Y$2,O11:$O$45,S11:$S$45)</f>
        <v>-8039027.2889281157</v>
      </c>
      <c r="AA11" t="s">
        <v>165</v>
      </c>
      <c r="AB11">
        <v>76.562963220201155</v>
      </c>
      <c r="AC11">
        <v>72.920669302077272</v>
      </c>
      <c r="AD11">
        <v>45.697108864994021</v>
      </c>
      <c r="AE11">
        <v>46.255683536439669</v>
      </c>
      <c r="AF11">
        <f t="shared" si="6"/>
        <v>45.867517448165302</v>
      </c>
      <c r="AG11">
        <f t="shared" si="7"/>
        <v>46.428175094239336</v>
      </c>
      <c r="AH11" s="82">
        <v>166</v>
      </c>
      <c r="AI11">
        <f t="shared" si="8"/>
        <v>1.0149999999999999</v>
      </c>
    </row>
    <row r="12" spans="1:35">
      <c r="B12" t="s">
        <v>166</v>
      </c>
      <c r="C12" s="81">
        <v>21547911</v>
      </c>
      <c r="D12" s="82">
        <f t="shared" si="0"/>
        <v>2822776.341</v>
      </c>
      <c r="E12" s="82">
        <v>131</v>
      </c>
      <c r="G12" s="81">
        <v>12466863</v>
      </c>
      <c r="H12" s="82">
        <f t="shared" si="1"/>
        <v>1396288.656</v>
      </c>
      <c r="I12" s="82">
        <v>112</v>
      </c>
      <c r="K12" s="81">
        <v>9081049</v>
      </c>
      <c r="L12" s="82">
        <f t="shared" si="2"/>
        <v>1425724.693</v>
      </c>
      <c r="M12" s="82">
        <f t="shared" si="4"/>
        <v>157</v>
      </c>
      <c r="O12" s="82">
        <f t="shared" si="3"/>
        <v>-561008.83499999996</v>
      </c>
      <c r="Q12" s="82">
        <f t="shared" si="5"/>
        <v>-4890817.5447558723</v>
      </c>
      <c r="S12" s="83">
        <v>37529</v>
      </c>
      <c r="T12" s="82">
        <f>XNPV($Y$2,O12:$O$45,S12:$S$45)</f>
        <v>-7589100.1284405924</v>
      </c>
      <c r="V12" t="s">
        <v>256</v>
      </c>
      <c r="X12" s="80">
        <v>1.4999999999999999E-2</v>
      </c>
      <c r="AA12" t="s">
        <v>166</v>
      </c>
      <c r="AB12">
        <v>130.90107461947775</v>
      </c>
      <c r="AC12">
        <v>121.18351192334835</v>
      </c>
      <c r="AD12">
        <v>88.221767741935494</v>
      </c>
      <c r="AE12">
        <v>87.646402150537639</v>
      </c>
      <c r="AF12">
        <f t="shared" si="6"/>
        <v>88.55075456012095</v>
      </c>
      <c r="AG12">
        <f t="shared" si="7"/>
        <v>87.973243379260865</v>
      </c>
      <c r="AH12" s="82">
        <v>157</v>
      </c>
      <c r="AI12">
        <f t="shared" si="8"/>
        <v>1.0187850252721642</v>
      </c>
    </row>
    <row r="13" spans="1:35">
      <c r="B13" t="s">
        <v>167</v>
      </c>
      <c r="C13" s="81">
        <v>18261734</v>
      </c>
      <c r="D13" s="82">
        <f t="shared" si="0"/>
        <v>2209669.8139999998</v>
      </c>
      <c r="E13" s="82">
        <v>121</v>
      </c>
      <c r="G13" s="81">
        <v>11408290</v>
      </c>
      <c r="H13" s="82">
        <f t="shared" si="1"/>
        <v>1060970.97</v>
      </c>
      <c r="I13" s="82">
        <v>93</v>
      </c>
      <c r="K13" s="81">
        <v>6853444</v>
      </c>
      <c r="L13" s="82">
        <f t="shared" si="2"/>
        <v>1151378.5919999999</v>
      </c>
      <c r="M13" s="82">
        <f t="shared" si="4"/>
        <v>168</v>
      </c>
      <c r="O13" s="82">
        <f t="shared" si="3"/>
        <v>-855621.75</v>
      </c>
      <c r="Q13" s="82">
        <f t="shared" si="5"/>
        <v>-5833816.2334267134</v>
      </c>
      <c r="S13" s="83">
        <v>37621</v>
      </c>
      <c r="T13" s="82">
        <f>XNPV($Y$2,O13:$O$45,S13:$S$45)</f>
        <v>-7154692.9562354954</v>
      </c>
      <c r="V13" t="s">
        <v>241</v>
      </c>
      <c r="AA13" t="s">
        <v>167</v>
      </c>
      <c r="AB13">
        <v>53.133811388182558</v>
      </c>
      <c r="AC13">
        <v>62.236559275408659</v>
      </c>
      <c r="AD13">
        <v>67.468780286738351</v>
      </c>
      <c r="AE13">
        <v>74.341877897252104</v>
      </c>
      <c r="AF13">
        <f t="shared" si="6"/>
        <v>67.720377368972251</v>
      </c>
      <c r="AG13">
        <f t="shared" si="7"/>
        <v>74.619105371755808</v>
      </c>
      <c r="AH13" s="82">
        <v>168</v>
      </c>
      <c r="AI13">
        <f t="shared" si="8"/>
        <v>1.0225841652402015</v>
      </c>
    </row>
    <row r="14" spans="1:35">
      <c r="A14">
        <v>2003</v>
      </c>
      <c r="B14" t="s">
        <v>164</v>
      </c>
      <c r="C14" s="81">
        <v>16026397</v>
      </c>
      <c r="D14" s="82">
        <f t="shared" si="0"/>
        <v>1570586.906</v>
      </c>
      <c r="E14" s="82">
        <v>98</v>
      </c>
      <c r="G14" s="81">
        <v>12528699</v>
      </c>
      <c r="H14" s="82">
        <f t="shared" si="1"/>
        <v>1089996.8130000001</v>
      </c>
      <c r="I14" s="82">
        <v>87</v>
      </c>
      <c r="K14" s="81">
        <v>3497698</v>
      </c>
      <c r="L14" s="82">
        <f t="shared" si="2"/>
        <v>479184.62599999999</v>
      </c>
      <c r="M14" s="82">
        <f t="shared" si="4"/>
        <v>137</v>
      </c>
      <c r="O14" s="82">
        <f t="shared" si="3"/>
        <v>-626434.94999999995</v>
      </c>
      <c r="Q14" s="82">
        <f t="shared" si="5"/>
        <v>-6564475.2724630442</v>
      </c>
      <c r="S14" s="83">
        <v>37711</v>
      </c>
      <c r="T14" s="82">
        <f>XNPV($Y$2,O14:$O$45,S14:$S$45)</f>
        <v>-6410052.2203547396</v>
      </c>
      <c r="Z14">
        <v>2003</v>
      </c>
      <c r="AA14" t="s">
        <v>164</v>
      </c>
      <c r="AB14">
        <v>44.773681398817793</v>
      </c>
      <c r="AC14">
        <v>46.101894400816434</v>
      </c>
      <c r="AD14">
        <v>45.574507270865332</v>
      </c>
      <c r="AE14">
        <v>46.873088991295447</v>
      </c>
      <c r="AF14">
        <f t="shared" si="6"/>
        <v>45.744458661788151</v>
      </c>
      <c r="AG14">
        <f t="shared" si="7"/>
        <v>47.047882908947138</v>
      </c>
      <c r="AH14" s="82">
        <v>137</v>
      </c>
      <c r="AI14">
        <f t="shared" si="8"/>
        <v>1.0263974725390677</v>
      </c>
    </row>
    <row r="15" spans="1:35">
      <c r="B15" t="s">
        <v>165</v>
      </c>
      <c r="C15" s="81">
        <v>16532781</v>
      </c>
      <c r="D15" s="82">
        <f t="shared" si="0"/>
        <v>1521015.852</v>
      </c>
      <c r="E15" s="82">
        <v>92</v>
      </c>
      <c r="G15" s="81">
        <v>13862979</v>
      </c>
      <c r="H15" s="82">
        <f t="shared" si="1"/>
        <v>1206079.173</v>
      </c>
      <c r="I15" s="82">
        <v>87</v>
      </c>
      <c r="K15" s="81">
        <v>2669802</v>
      </c>
      <c r="L15" s="82">
        <f t="shared" si="2"/>
        <v>312366.83399999997</v>
      </c>
      <c r="M15" s="82">
        <f t="shared" si="4"/>
        <v>117</v>
      </c>
      <c r="O15" s="82">
        <f t="shared" si="3"/>
        <v>-415889.37</v>
      </c>
      <c r="Q15" s="82">
        <f t="shared" si="5"/>
        <v>-7097642.3262121091</v>
      </c>
      <c r="S15" s="83">
        <v>37802</v>
      </c>
      <c r="T15" s="82">
        <f>XNPV($Y$2,O15:$O$45,S15:$S$45)</f>
        <v>-5886658.9341421267</v>
      </c>
      <c r="AA15" t="s">
        <v>165</v>
      </c>
      <c r="AB15">
        <v>41.823954744426487</v>
      </c>
      <c r="AC15">
        <v>45.38733588331062</v>
      </c>
      <c r="AD15">
        <v>31.705132927120669</v>
      </c>
      <c r="AE15">
        <v>31.520837514934289</v>
      </c>
      <c r="AF15">
        <f t="shared" si="6"/>
        <v>31.823364187599964</v>
      </c>
      <c r="AG15">
        <f t="shared" si="7"/>
        <v>31.638381521430656</v>
      </c>
      <c r="AH15" s="82">
        <v>117</v>
      </c>
      <c r="AI15">
        <f t="shared" si="8"/>
        <v>1.0302249999999997</v>
      </c>
    </row>
    <row r="16" spans="1:35">
      <c r="B16" t="s">
        <v>166</v>
      </c>
      <c r="C16" s="81">
        <v>24085451</v>
      </c>
      <c r="D16" s="82">
        <f t="shared" si="0"/>
        <v>2360374.1979999999</v>
      </c>
      <c r="E16" s="82">
        <v>98</v>
      </c>
      <c r="G16" s="81">
        <v>18336722</v>
      </c>
      <c r="H16" s="82">
        <f t="shared" si="1"/>
        <v>1686978.4240000001</v>
      </c>
      <c r="I16" s="82">
        <v>92</v>
      </c>
      <c r="K16" s="81">
        <v>5748729</v>
      </c>
      <c r="L16" s="82">
        <f t="shared" si="2"/>
        <v>689847.48</v>
      </c>
      <c r="M16" s="82">
        <f t="shared" si="4"/>
        <v>120</v>
      </c>
      <c r="O16" s="82">
        <f t="shared" si="3"/>
        <v>-513428.21600000001</v>
      </c>
      <c r="Q16" s="82">
        <f t="shared" si="5"/>
        <v>-7737873.5260833791</v>
      </c>
      <c r="S16" s="83">
        <v>37894</v>
      </c>
      <c r="T16" s="82">
        <f>XNPV($Y$2,O16:$O$45,S16:$S$45)</f>
        <v>-5569318.1592969121</v>
      </c>
      <c r="AA16" t="s">
        <v>166</v>
      </c>
      <c r="AB16">
        <v>89.927717587655778</v>
      </c>
      <c r="AC16">
        <v>77.792114294003909</v>
      </c>
      <c r="AD16">
        <v>68.490710633213851</v>
      </c>
      <c r="AE16">
        <v>67.365648148148139</v>
      </c>
      <c r="AF16">
        <f t="shared" si="6"/>
        <v>68.746118584598293</v>
      </c>
      <c r="AG16">
        <f t="shared" si="7"/>
        <v>67.616860641464868</v>
      </c>
      <c r="AH16" s="82">
        <v>120</v>
      </c>
      <c r="AI16">
        <f t="shared" si="8"/>
        <v>1.0340668006512466</v>
      </c>
    </row>
    <row r="17" spans="1:35">
      <c r="B17" t="s">
        <v>167</v>
      </c>
      <c r="C17" s="81">
        <v>22311602</v>
      </c>
      <c r="D17" s="82">
        <f t="shared" si="0"/>
        <v>1851862.966</v>
      </c>
      <c r="E17" s="82">
        <v>83</v>
      </c>
      <c r="G17" s="81">
        <v>19737558</v>
      </c>
      <c r="H17" s="82">
        <f t="shared" si="1"/>
        <v>1598742.1980000001</v>
      </c>
      <c r="I17" s="82">
        <v>81</v>
      </c>
      <c r="K17" s="81">
        <v>2574043</v>
      </c>
      <c r="L17" s="82">
        <f t="shared" si="2"/>
        <v>265126.429</v>
      </c>
      <c r="M17" s="82">
        <f t="shared" si="4"/>
        <v>103</v>
      </c>
      <c r="O17" s="82">
        <f t="shared" si="3"/>
        <v>-434226.27600000001</v>
      </c>
      <c r="Q17" s="82">
        <f t="shared" si="5"/>
        <v>-8310340.841407421</v>
      </c>
      <c r="S17" s="83">
        <v>37986</v>
      </c>
      <c r="T17" s="82">
        <f>XNPV($Y$2,O17:$O$45,S17:$S$45)</f>
        <v>-5146965.0370889958</v>
      </c>
      <c r="AA17" t="s">
        <v>167</v>
      </c>
      <c r="AB17">
        <v>39.59641587123221</v>
      </c>
      <c r="AC17">
        <v>42.966308321782442</v>
      </c>
      <c r="AD17">
        <v>54.21759247311828</v>
      </c>
      <c r="AE17">
        <v>56.353901935483869</v>
      </c>
      <c r="AF17">
        <f t="shared" si="6"/>
        <v>54.419774697459822</v>
      </c>
      <c r="AG17">
        <f t="shared" si="7"/>
        <v>56.564050647809857</v>
      </c>
      <c r="AH17" s="82">
        <v>103</v>
      </c>
      <c r="AI17">
        <f t="shared" si="8"/>
        <v>1.0379229277188042</v>
      </c>
    </row>
    <row r="18" spans="1:35">
      <c r="A18">
        <v>2004</v>
      </c>
      <c r="B18" t="s">
        <v>164</v>
      </c>
      <c r="C18" s="81">
        <v>21643805</v>
      </c>
      <c r="D18" s="82">
        <f t="shared" si="0"/>
        <v>1666572.9850000001</v>
      </c>
      <c r="E18" s="82">
        <v>77</v>
      </c>
      <c r="G18" s="81">
        <v>21398531</v>
      </c>
      <c r="H18" s="82">
        <f t="shared" si="1"/>
        <v>1626288.3559999999</v>
      </c>
      <c r="I18" s="82">
        <v>76</v>
      </c>
      <c r="K18" s="81">
        <v>245274</v>
      </c>
      <c r="L18" s="82">
        <f t="shared" si="2"/>
        <v>22319.934000000001</v>
      </c>
      <c r="M18" s="82">
        <f t="shared" si="4"/>
        <v>91</v>
      </c>
      <c r="O18" s="82">
        <f t="shared" si="3"/>
        <v>-320977.96500000003</v>
      </c>
      <c r="Q18" s="82">
        <f t="shared" si="5"/>
        <v>-8779787.26498078</v>
      </c>
      <c r="S18" s="83">
        <v>38077</v>
      </c>
      <c r="T18" s="82">
        <f>XNPV($Y$2,O18:$O$45,S18:$S$45)</f>
        <v>-4796701.5166169275</v>
      </c>
      <c r="Z18">
        <v>2004</v>
      </c>
      <c r="AA18" t="s">
        <v>164</v>
      </c>
      <c r="AB18">
        <v>42.275676570471063</v>
      </c>
      <c r="AC18">
        <v>41.051971218915327</v>
      </c>
      <c r="AD18">
        <v>31.744716895315786</v>
      </c>
      <c r="AE18">
        <v>32.380646730935602</v>
      </c>
      <c r="AF18">
        <f t="shared" si="6"/>
        <v>31.863095767933</v>
      </c>
      <c r="AG18">
        <f t="shared" si="7"/>
        <v>32.501397042468234</v>
      </c>
      <c r="AH18" s="82">
        <v>91</v>
      </c>
      <c r="AI18">
        <f t="shared" si="8"/>
        <v>1.0417934346271536</v>
      </c>
    </row>
    <row r="19" spans="1:35">
      <c r="B19" t="s">
        <v>165</v>
      </c>
      <c r="C19" s="81">
        <v>20861843</v>
      </c>
      <c r="D19" s="82">
        <f t="shared" si="0"/>
        <v>1606361.9110000001</v>
      </c>
      <c r="E19" s="82">
        <v>77</v>
      </c>
      <c r="G19" s="81">
        <v>20019949</v>
      </c>
      <c r="H19" s="82">
        <f t="shared" si="1"/>
        <v>1541536.0730000001</v>
      </c>
      <c r="I19" s="82">
        <v>77</v>
      </c>
      <c r="K19" s="81">
        <v>841894</v>
      </c>
      <c r="L19" s="82">
        <f t="shared" si="2"/>
        <v>76612.354000000007</v>
      </c>
      <c r="M19" s="82">
        <f t="shared" si="4"/>
        <v>91</v>
      </c>
      <c r="O19" s="82">
        <f t="shared" si="3"/>
        <v>-280279.28600000002</v>
      </c>
      <c r="Q19" s="82">
        <f t="shared" si="5"/>
        <v>-9216921.9082651325</v>
      </c>
      <c r="S19" s="83">
        <v>38168</v>
      </c>
      <c r="T19" s="82">
        <f>XNPV($Y$2,O19:$O$45,S19:$S$45)</f>
        <v>-4555463.6139088999</v>
      </c>
      <c r="AA19" t="s">
        <v>165</v>
      </c>
      <c r="AB19">
        <v>42.493190112727795</v>
      </c>
      <c r="AC19">
        <v>40.002748052250674</v>
      </c>
      <c r="AD19">
        <v>26.95260485065711</v>
      </c>
      <c r="AE19">
        <v>26.2766629390681</v>
      </c>
      <c r="AF19">
        <f t="shared" si="6"/>
        <v>27.053113511258488</v>
      </c>
      <c r="AG19">
        <f t="shared" si="7"/>
        <v>26.374650952164178</v>
      </c>
      <c r="AH19" s="82">
        <v>91</v>
      </c>
      <c r="AI19">
        <f t="shared" si="8"/>
        <v>1.0456783749999996</v>
      </c>
    </row>
    <row r="20" spans="1:35">
      <c r="B20" t="s">
        <v>166</v>
      </c>
      <c r="C20" s="81">
        <v>26363885</v>
      </c>
      <c r="D20" s="82">
        <f t="shared" si="0"/>
        <v>2161838.5699999998</v>
      </c>
      <c r="E20" s="82">
        <v>82</v>
      </c>
      <c r="G20" s="81">
        <v>21412396</v>
      </c>
      <c r="H20" s="82">
        <f t="shared" si="1"/>
        <v>1734404.0759999999</v>
      </c>
      <c r="I20" s="82">
        <v>81</v>
      </c>
      <c r="K20" s="81">
        <v>4951489</v>
      </c>
      <c r="L20" s="82">
        <f t="shared" si="2"/>
        <v>420876.565</v>
      </c>
      <c r="M20" s="82">
        <f t="shared" si="4"/>
        <v>85</v>
      </c>
      <c r="O20" s="82">
        <f t="shared" si="3"/>
        <v>-85649.584000000003</v>
      </c>
      <c r="Q20" s="82">
        <f t="shared" si="5"/>
        <v>-9467236.4818998296</v>
      </c>
      <c r="S20" s="83">
        <v>38260</v>
      </c>
      <c r="T20" s="82">
        <f>XNPV($Y$2,O20:$O$45,S20:$S$45)</f>
        <v>-4352196.0544317383</v>
      </c>
      <c r="AA20" t="s">
        <v>166</v>
      </c>
      <c r="AB20">
        <v>71.092890925442845</v>
      </c>
      <c r="AC20">
        <v>69.059736800661554</v>
      </c>
      <c r="AD20">
        <v>55.194743369175626</v>
      </c>
      <c r="AE20">
        <v>54.337940382317804</v>
      </c>
      <c r="AF20">
        <f t="shared" si="6"/>
        <v>55.400569476114498</v>
      </c>
      <c r="AG20">
        <f t="shared" si="7"/>
        <v>54.54057139471626</v>
      </c>
      <c r="AH20" s="82">
        <v>85</v>
      </c>
      <c r="AI20">
        <f t="shared" si="8"/>
        <v>1.0495778026610152</v>
      </c>
    </row>
    <row r="21" spans="1:35">
      <c r="B21" t="s">
        <v>167</v>
      </c>
      <c r="C21" s="81">
        <v>24659502</v>
      </c>
      <c r="D21" s="82">
        <f t="shared" si="0"/>
        <v>1800143.6459999999</v>
      </c>
      <c r="E21" s="82">
        <v>73</v>
      </c>
      <c r="G21" s="81">
        <v>23182863</v>
      </c>
      <c r="H21" s="82">
        <f t="shared" si="1"/>
        <v>1715531.862</v>
      </c>
      <c r="I21" s="82">
        <v>74</v>
      </c>
      <c r="K21" s="81">
        <v>1476640</v>
      </c>
      <c r="L21" s="82">
        <f t="shared" si="2"/>
        <v>98934.88</v>
      </c>
      <c r="M21" s="82">
        <f t="shared" si="4"/>
        <v>67</v>
      </c>
      <c r="O21" s="82">
        <f t="shared" si="3"/>
        <v>162280.041</v>
      </c>
      <c r="Q21" s="82">
        <f t="shared" si="5"/>
        <v>-9474093.4274857007</v>
      </c>
      <c r="S21" s="83">
        <v>38352</v>
      </c>
      <c r="T21" s="82">
        <f>XNPV($Y$2,O21:$O$45,S21:$S$45)</f>
        <v>-4343402.5975074526</v>
      </c>
      <c r="AA21" t="s">
        <v>167</v>
      </c>
      <c r="AB21">
        <v>40.192652414402659</v>
      </c>
      <c r="AC21">
        <v>39.751493496833682</v>
      </c>
      <c r="AD21">
        <v>45.212451732377531</v>
      </c>
      <c r="AE21">
        <v>46.433948267622462</v>
      </c>
      <c r="AF21">
        <f t="shared" si="6"/>
        <v>45.381052985996803</v>
      </c>
      <c r="AG21">
        <f t="shared" si="7"/>
        <v>46.607104590459237</v>
      </c>
      <c r="AH21" s="82">
        <v>67</v>
      </c>
      <c r="AI21">
        <f t="shared" si="8"/>
        <v>1.0534917716345864</v>
      </c>
    </row>
    <row r="22" spans="1:35">
      <c r="A22">
        <v>2005</v>
      </c>
      <c r="B22" t="s">
        <v>164</v>
      </c>
      <c r="C22" s="81">
        <v>21135169</v>
      </c>
      <c r="D22" s="82">
        <f t="shared" si="0"/>
        <v>1416056.3230000001</v>
      </c>
      <c r="E22" s="82">
        <v>67</v>
      </c>
      <c r="G22" s="81">
        <v>20750188</v>
      </c>
      <c r="H22" s="82">
        <f t="shared" si="1"/>
        <v>1369512.4080000001</v>
      </c>
      <c r="I22" s="82">
        <v>66</v>
      </c>
      <c r="K22" s="81">
        <v>384980</v>
      </c>
      <c r="L22" s="82">
        <f t="shared" si="2"/>
        <v>30798.400000000001</v>
      </c>
      <c r="M22" s="82">
        <f t="shared" si="4"/>
        <v>80</v>
      </c>
      <c r="O22" s="82">
        <f t="shared" si="3"/>
        <v>-290502.63199999998</v>
      </c>
      <c r="Q22" s="82">
        <f t="shared" si="5"/>
        <v>-9933855.5488859657</v>
      </c>
      <c r="S22" s="83">
        <v>38442</v>
      </c>
      <c r="T22" s="82">
        <f>XNPV($Y$2,O22:$O$45,S22:$S$45)</f>
        <v>-4585066.600388377</v>
      </c>
      <c r="Z22">
        <v>2005</v>
      </c>
      <c r="AA22" t="s">
        <v>164</v>
      </c>
      <c r="AB22">
        <v>39.882232361787402</v>
      </c>
      <c r="AC22">
        <v>38.41847192314227</v>
      </c>
      <c r="AD22">
        <v>32.934015104966718</v>
      </c>
      <c r="AE22">
        <v>33.496268817204303</v>
      </c>
      <c r="AF22">
        <f t="shared" si="6"/>
        <v>33.056828976381638</v>
      </c>
      <c r="AG22">
        <f t="shared" si="7"/>
        <v>33.621179382717926</v>
      </c>
      <c r="AH22" s="82">
        <v>80</v>
      </c>
      <c r="AI22">
        <f t="shared" si="8"/>
        <v>1.0574203361465608</v>
      </c>
    </row>
    <row r="23" spans="1:35">
      <c r="B23" t="s">
        <v>165</v>
      </c>
      <c r="C23" s="81">
        <v>20467158</v>
      </c>
      <c r="D23" s="82">
        <f t="shared" si="0"/>
        <v>1391766.7439999999</v>
      </c>
      <c r="E23" s="82">
        <v>68</v>
      </c>
      <c r="G23" s="81">
        <v>19542403</v>
      </c>
      <c r="H23" s="82">
        <f t="shared" si="1"/>
        <v>1309341.0009999999</v>
      </c>
      <c r="I23" s="82">
        <v>67</v>
      </c>
      <c r="K23" s="81">
        <v>924755</v>
      </c>
      <c r="L23" s="82">
        <f t="shared" si="2"/>
        <v>73055.645000000004</v>
      </c>
      <c r="M23" s="82">
        <f t="shared" si="4"/>
        <v>79</v>
      </c>
      <c r="O23" s="82">
        <f t="shared" si="3"/>
        <v>-234508.83600000001</v>
      </c>
      <c r="Q23" s="82">
        <f t="shared" si="5"/>
        <v>-10345837.758021852</v>
      </c>
      <c r="S23" s="83">
        <v>38533</v>
      </c>
      <c r="T23" s="82">
        <f>XNPV($Y$2,O23:$O$45,S23:$S$45)</f>
        <v>-4371076.4684136361</v>
      </c>
      <c r="AA23" t="s">
        <v>165</v>
      </c>
      <c r="AB23">
        <v>40.114874691104028</v>
      </c>
      <c r="AC23">
        <v>37.387216381733992</v>
      </c>
      <c r="AD23">
        <v>27.394590681003582</v>
      </c>
      <c r="AE23">
        <v>26.823236248506571</v>
      </c>
      <c r="AF23">
        <f t="shared" si="6"/>
        <v>27.496747546075696</v>
      </c>
      <c r="AG23">
        <f t="shared" si="7"/>
        <v>26.923262482084731</v>
      </c>
      <c r="AH23" s="82">
        <v>79</v>
      </c>
      <c r="AI23">
        <f t="shared" si="8"/>
        <v>1.0613635506249994</v>
      </c>
    </row>
    <row r="24" spans="1:35">
      <c r="B24" t="s">
        <v>166</v>
      </c>
      <c r="C24" s="81">
        <v>27079042</v>
      </c>
      <c r="D24" s="82">
        <f t="shared" si="0"/>
        <v>1976770.0660000001</v>
      </c>
      <c r="E24" s="82">
        <v>73</v>
      </c>
      <c r="G24" s="81">
        <v>20486838</v>
      </c>
      <c r="H24" s="82">
        <f t="shared" si="1"/>
        <v>1516026.0120000001</v>
      </c>
      <c r="I24" s="82">
        <v>74</v>
      </c>
      <c r="K24" s="81">
        <v>6592204</v>
      </c>
      <c r="L24" s="82">
        <f t="shared" si="2"/>
        <v>468046.484</v>
      </c>
      <c r="M24" s="82">
        <f t="shared" si="4"/>
        <v>71</v>
      </c>
      <c r="O24" s="82">
        <f t="shared" si="3"/>
        <v>61460.514000000003</v>
      </c>
      <c r="Q24" s="82">
        <f t="shared" si="5"/>
        <v>-10469210.888501277</v>
      </c>
      <c r="S24" s="83">
        <v>38625</v>
      </c>
      <c r="T24" s="82">
        <f>XNPV($Y$2,O24:$O$45,S24:$S$45)</f>
        <v>-4211082.3646021513</v>
      </c>
      <c r="AA24" t="s">
        <v>166</v>
      </c>
      <c r="AB24">
        <v>67.301448289574793</v>
      </c>
      <c r="AC24">
        <v>63.912783419217128</v>
      </c>
      <c r="AD24">
        <v>55.43435758661888</v>
      </c>
      <c r="AE24">
        <v>55.087778016726396</v>
      </c>
      <c r="AF24">
        <f t="shared" si="6"/>
        <v>55.641077236285433</v>
      </c>
      <c r="AG24">
        <f t="shared" si="7"/>
        <v>55.293205240352691</v>
      </c>
      <c r="AH24" s="82">
        <v>71</v>
      </c>
      <c r="AI24">
        <f t="shared" si="8"/>
        <v>1.0653214697009301</v>
      </c>
    </row>
    <row r="25" spans="1:35">
      <c r="B25" t="s">
        <v>167</v>
      </c>
      <c r="C25" s="81">
        <v>24684859</v>
      </c>
      <c r="D25" s="82">
        <f t="shared" si="0"/>
        <v>1629200.6939999999</v>
      </c>
      <c r="E25" s="82">
        <v>66</v>
      </c>
      <c r="G25" s="81">
        <v>21060134</v>
      </c>
      <c r="H25" s="82">
        <f t="shared" si="1"/>
        <v>1368908.71</v>
      </c>
      <c r="I25" s="82">
        <v>65</v>
      </c>
      <c r="K25" s="81">
        <v>3624725</v>
      </c>
      <c r="L25" s="82">
        <f t="shared" si="2"/>
        <v>246481.3</v>
      </c>
      <c r="M25" s="82">
        <f t="shared" si="4"/>
        <v>68</v>
      </c>
      <c r="O25" s="82">
        <f t="shared" si="3"/>
        <v>-63180.402000000002</v>
      </c>
      <c r="Q25" s="82">
        <f t="shared" si="5"/>
        <v>-10719429.058597438</v>
      </c>
      <c r="S25" s="83">
        <v>38717</v>
      </c>
      <c r="T25" s="82">
        <f>XNPV($Y$2,O25:$O$45,S25:$S$45)</f>
        <v>-4349507.0229493361</v>
      </c>
      <c r="AA25" t="s">
        <v>167</v>
      </c>
      <c r="AB25">
        <v>37.976627925232833</v>
      </c>
      <c r="AC25">
        <v>37.13918764285939</v>
      </c>
      <c r="AD25">
        <v>44.387095340501787</v>
      </c>
      <c r="AE25">
        <v>45.298238709677427</v>
      </c>
      <c r="AF25">
        <f t="shared" si="6"/>
        <v>44.552618766730134</v>
      </c>
      <c r="AG25">
        <f t="shared" si="7"/>
        <v>45.467159870564778</v>
      </c>
      <c r="AH25" s="82">
        <v>68</v>
      </c>
      <c r="AI25">
        <f t="shared" si="8"/>
        <v>1.0692941482091047</v>
      </c>
    </row>
    <row r="26" spans="1:35">
      <c r="A26">
        <v>2006</v>
      </c>
      <c r="B26" t="s">
        <v>164</v>
      </c>
      <c r="C26" s="81">
        <v>21949030</v>
      </c>
      <c r="D26" s="82">
        <f t="shared" si="0"/>
        <v>1316941.8</v>
      </c>
      <c r="E26" s="82">
        <v>60</v>
      </c>
      <c r="G26" s="81">
        <v>21151029</v>
      </c>
      <c r="H26" s="82">
        <f t="shared" si="1"/>
        <v>1247910.7109999999</v>
      </c>
      <c r="I26" s="82">
        <v>59</v>
      </c>
      <c r="K26" s="81">
        <v>798000</v>
      </c>
      <c r="L26" s="82">
        <f t="shared" si="2"/>
        <v>65436</v>
      </c>
      <c r="M26" s="82">
        <f t="shared" si="4"/>
        <v>82</v>
      </c>
      <c r="O26" s="82">
        <f t="shared" si="3"/>
        <v>-486473.66700000002</v>
      </c>
      <c r="Q26" s="82">
        <f t="shared" si="5"/>
        <v>-11397410.768346608</v>
      </c>
      <c r="S26" s="83">
        <v>38807</v>
      </c>
      <c r="T26" s="82">
        <f>XNPV($Y$2,O26:$O$45,S26:$S$45)</f>
        <v>-4361845.8299985025</v>
      </c>
      <c r="Z26">
        <v>2006</v>
      </c>
      <c r="AA26" t="s">
        <v>164</v>
      </c>
      <c r="AB26">
        <v>39.417383412662957</v>
      </c>
      <c r="AC26">
        <v>38.224936337344765</v>
      </c>
      <c r="AD26">
        <v>32.632569790066562</v>
      </c>
      <c r="AE26">
        <v>33.200682693292372</v>
      </c>
      <c r="AF26">
        <f t="shared" si="6"/>
        <v>32.754259545092246</v>
      </c>
      <c r="AG26">
        <f t="shared" si="7"/>
        <v>33.324490991861062</v>
      </c>
      <c r="AH26" s="82">
        <v>82</v>
      </c>
      <c r="AI26">
        <f t="shared" si="8"/>
        <v>1.0732816411887589</v>
      </c>
    </row>
    <row r="27" spans="1:35">
      <c r="B27" t="s">
        <v>165</v>
      </c>
      <c r="C27" s="81">
        <v>21490395</v>
      </c>
      <c r="D27" s="82">
        <f t="shared" si="0"/>
        <v>1332404.49</v>
      </c>
      <c r="E27" s="82">
        <v>62</v>
      </c>
      <c r="G27" s="81">
        <v>19575129</v>
      </c>
      <c r="H27" s="82">
        <f t="shared" si="1"/>
        <v>1174507.74</v>
      </c>
      <c r="I27" s="82">
        <v>60</v>
      </c>
      <c r="K27" s="81">
        <v>1915266</v>
      </c>
      <c r="L27" s="82">
        <f t="shared" si="2"/>
        <v>151306.014</v>
      </c>
      <c r="M27" s="82">
        <f t="shared" si="4"/>
        <v>79</v>
      </c>
      <c r="O27" s="82">
        <f t="shared" si="3"/>
        <v>-371927.451</v>
      </c>
      <c r="Q27" s="82">
        <f t="shared" si="5"/>
        <v>-11972958.749574732</v>
      </c>
      <c r="S27" s="83">
        <v>38898</v>
      </c>
      <c r="T27" s="82">
        <f>XNPV($Y$2,O27:$O$45,S27:$S$45)</f>
        <v>-3944416.2882931544</v>
      </c>
      <c r="AA27" t="s">
        <v>165</v>
      </c>
      <c r="AB27">
        <v>39.658542551051298</v>
      </c>
      <c r="AC27">
        <v>37.195056882960408</v>
      </c>
      <c r="AD27">
        <v>27.734304229390677</v>
      </c>
      <c r="AE27">
        <v>27.160276129032255</v>
      </c>
      <c r="AF27">
        <f t="shared" si="6"/>
        <v>27.837727916498203</v>
      </c>
      <c r="AG27">
        <f t="shared" si="7"/>
        <v>27.261559214300579</v>
      </c>
      <c r="AH27" s="82">
        <v>79</v>
      </c>
      <c r="AI27">
        <f t="shared" si="8"/>
        <v>1.0772840038843743</v>
      </c>
    </row>
    <row r="28" spans="1:35">
      <c r="B28" t="s">
        <v>166</v>
      </c>
      <c r="C28" s="81">
        <v>28313503</v>
      </c>
      <c r="D28" s="82">
        <f t="shared" si="0"/>
        <v>1925318.2039999999</v>
      </c>
      <c r="E28" s="82">
        <v>68</v>
      </c>
      <c r="G28" s="81">
        <v>19753088</v>
      </c>
      <c r="H28" s="82">
        <f t="shared" si="1"/>
        <v>1323456.8959999999</v>
      </c>
      <c r="I28" s="82">
        <v>67</v>
      </c>
      <c r="K28" s="81">
        <v>8560415</v>
      </c>
      <c r="L28" s="82">
        <f t="shared" si="2"/>
        <v>607789.46499999997</v>
      </c>
      <c r="M28" s="82">
        <f t="shared" si="4"/>
        <v>71</v>
      </c>
      <c r="O28" s="82">
        <f t="shared" si="3"/>
        <v>-79012.351999999999</v>
      </c>
      <c r="Q28" s="82">
        <f t="shared" si="5"/>
        <v>-12265874.088712707</v>
      </c>
      <c r="S28" s="83">
        <v>38990</v>
      </c>
      <c r="T28" s="82">
        <f>XNPV($Y$2,O28:$O$45,S28:$S$45)</f>
        <v>-3636842.4445861722</v>
      </c>
      <c r="AA28" t="s">
        <v>166</v>
      </c>
      <c r="AB28">
        <v>66.848371828277905</v>
      </c>
      <c r="AC28">
        <v>62.099835399567759</v>
      </c>
      <c r="AD28">
        <v>54.149162007168457</v>
      </c>
      <c r="AE28">
        <v>53.888522580645166</v>
      </c>
      <c r="AF28">
        <f t="shared" si="6"/>
        <v>54.351089048216394</v>
      </c>
      <c r="AG28">
        <f t="shared" si="7"/>
        <v>54.089477674090823</v>
      </c>
      <c r="AH28" s="82">
        <v>71</v>
      </c>
      <c r="AI28">
        <f t="shared" si="8"/>
        <v>1.081301291746444</v>
      </c>
    </row>
    <row r="29" spans="1:35">
      <c r="B29" t="s">
        <v>167</v>
      </c>
      <c r="C29" s="81">
        <v>25180516</v>
      </c>
      <c r="D29" s="82">
        <f t="shared" si="0"/>
        <v>1561191.9920000001</v>
      </c>
      <c r="E29" s="82">
        <v>62</v>
      </c>
      <c r="G29" s="81">
        <v>19795707</v>
      </c>
      <c r="H29" s="82">
        <f t="shared" si="1"/>
        <v>1167946.713</v>
      </c>
      <c r="I29" s="82">
        <v>59</v>
      </c>
      <c r="K29" s="81">
        <v>5384808</v>
      </c>
      <c r="L29" s="82">
        <f t="shared" si="2"/>
        <v>382321.36800000002</v>
      </c>
      <c r="M29" s="82">
        <f t="shared" si="4"/>
        <v>71</v>
      </c>
      <c r="O29" s="82">
        <f t="shared" si="3"/>
        <v>-237548.484</v>
      </c>
      <c r="Q29" s="82">
        <f t="shared" si="5"/>
        <v>-12722558.641107425</v>
      </c>
      <c r="S29" s="83">
        <v>39082</v>
      </c>
      <c r="T29" s="82">
        <f>XNPV($Y$2,O29:$O$45,S29:$S$45)</f>
        <v>-3621919.6422030861</v>
      </c>
      <c r="AA29" t="s">
        <v>167</v>
      </c>
      <c r="AB29">
        <v>37.456795188344415</v>
      </c>
      <c r="AC29">
        <v>36.874746184643875</v>
      </c>
      <c r="AD29">
        <v>43.634998207885303</v>
      </c>
      <c r="AE29">
        <v>44.677041577060926</v>
      </c>
      <c r="AF29">
        <f t="shared" si="6"/>
        <v>43.797716997016039</v>
      </c>
      <c r="AG29">
        <f t="shared" si="7"/>
        <v>44.843646238592662</v>
      </c>
      <c r="AH29" s="82">
        <v>71</v>
      </c>
      <c r="AI29">
        <f t="shared" si="8"/>
        <v>1.0853335604322414</v>
      </c>
    </row>
    <row r="30" spans="1:35">
      <c r="A30">
        <v>2007</v>
      </c>
      <c r="B30" t="s">
        <v>164</v>
      </c>
      <c r="C30" s="81">
        <v>21684137</v>
      </c>
      <c r="D30" s="82">
        <f t="shared" si="0"/>
        <v>1322732.3570000001</v>
      </c>
      <c r="E30" s="82">
        <v>61</v>
      </c>
      <c r="G30" s="81">
        <v>19359819</v>
      </c>
      <c r="H30" s="82">
        <f t="shared" si="1"/>
        <v>1122869.5020000001</v>
      </c>
      <c r="I30" s="82">
        <v>58</v>
      </c>
      <c r="K30" s="81">
        <v>2324318</v>
      </c>
      <c r="L30" s="82">
        <f t="shared" si="2"/>
        <v>188269.758</v>
      </c>
      <c r="M30" s="82">
        <f t="shared" si="4"/>
        <v>81</v>
      </c>
      <c r="O30" s="82">
        <f t="shared" si="3"/>
        <v>-445275.837</v>
      </c>
      <c r="Q30" s="82">
        <f t="shared" si="5"/>
        <v>-13395129.447904894</v>
      </c>
      <c r="S30" s="83">
        <v>39172</v>
      </c>
      <c r="T30" s="82">
        <f>XNPV($Y$2,O30:$O$45,S30:$S$45)</f>
        <v>-3443999.1463613231</v>
      </c>
      <c r="Z30">
        <v>2007</v>
      </c>
      <c r="AA30" t="s">
        <v>164</v>
      </c>
      <c r="AB30">
        <v>39.501612803030184</v>
      </c>
      <c r="AC30">
        <v>38.305133469662493</v>
      </c>
      <c r="AD30">
        <v>33.383129288274453</v>
      </c>
      <c r="AE30">
        <v>33.956782846902207</v>
      </c>
      <c r="AF30">
        <f t="shared" si="6"/>
        <v>33.507617946422286</v>
      </c>
      <c r="AG30">
        <f t="shared" si="7"/>
        <v>34.083410710189817</v>
      </c>
      <c r="AH30" s="82">
        <v>81</v>
      </c>
      <c r="AI30">
        <f t="shared" si="8"/>
        <v>1.0893808658065904</v>
      </c>
    </row>
    <row r="31" spans="1:35">
      <c r="B31" t="s">
        <v>165</v>
      </c>
      <c r="C31" s="81">
        <v>22053673</v>
      </c>
      <c r="D31" s="82">
        <f t="shared" si="0"/>
        <v>1389381.399</v>
      </c>
      <c r="E31" s="82">
        <v>63</v>
      </c>
      <c r="G31" s="81">
        <v>18428604</v>
      </c>
      <c r="H31" s="82">
        <f t="shared" si="1"/>
        <v>1105716.24</v>
      </c>
      <c r="I31" s="82">
        <v>60</v>
      </c>
      <c r="K31" s="81">
        <v>3625069</v>
      </c>
      <c r="L31" s="82">
        <f t="shared" si="2"/>
        <v>279130.31300000002</v>
      </c>
      <c r="M31" s="82">
        <f t="shared" si="4"/>
        <v>77</v>
      </c>
      <c r="O31" s="82">
        <f t="shared" si="3"/>
        <v>-313286.26799999998</v>
      </c>
      <c r="Q31" s="82">
        <f t="shared" si="5"/>
        <v>-13947726.504652787</v>
      </c>
      <c r="S31" s="83">
        <v>39263</v>
      </c>
      <c r="T31" s="82">
        <f>XNPV($Y$2,O31:$O$45,S31:$S$45)</f>
        <v>-3052148.9467420033</v>
      </c>
      <c r="AA31" t="s">
        <v>165</v>
      </c>
      <c r="AB31">
        <v>39.658542551051298</v>
      </c>
      <c r="AC31">
        <v>37.195056882960408</v>
      </c>
      <c r="AD31">
        <v>28.631286738351253</v>
      </c>
      <c r="AE31">
        <v>28.243524826762243</v>
      </c>
      <c r="AF31">
        <f t="shared" si="6"/>
        <v>28.738055353010608</v>
      </c>
      <c r="AG31">
        <f t="shared" si="7"/>
        <v>28.348847442766477</v>
      </c>
      <c r="AH31" s="82">
        <v>77</v>
      </c>
      <c r="AI31">
        <f t="shared" si="8"/>
        <v>1.0934432639426399</v>
      </c>
    </row>
    <row r="32" spans="1:35">
      <c r="B32" t="s">
        <v>166</v>
      </c>
      <c r="C32" s="81">
        <v>29732503</v>
      </c>
      <c r="D32" s="82">
        <f t="shared" si="0"/>
        <v>2021810.2039999999</v>
      </c>
      <c r="E32" s="82">
        <v>68</v>
      </c>
      <c r="G32" s="81">
        <v>19684263</v>
      </c>
      <c r="H32" s="82">
        <f t="shared" si="1"/>
        <v>1318845.621</v>
      </c>
      <c r="I32" s="82">
        <v>67</v>
      </c>
      <c r="K32" s="81">
        <v>10048240</v>
      </c>
      <c r="L32" s="82">
        <f t="shared" si="2"/>
        <v>703376.8</v>
      </c>
      <c r="M32" s="82">
        <f t="shared" si="4"/>
        <v>70</v>
      </c>
      <c r="O32" s="82">
        <f t="shared" si="3"/>
        <v>-59052.788999999997</v>
      </c>
      <c r="Q32" s="82">
        <f t="shared" si="5"/>
        <v>-14255962.509391731</v>
      </c>
      <c r="S32" s="83">
        <v>39355</v>
      </c>
      <c r="T32" s="82">
        <f>XNPV($Y$2,O32:$O$45,S32:$S$45)</f>
        <v>-2788199.6259753536</v>
      </c>
      <c r="AA32" t="s">
        <v>166</v>
      </c>
      <c r="AB32">
        <v>66.4244620337615</v>
      </c>
      <c r="AC32">
        <v>61.152777459559211</v>
      </c>
      <c r="AD32">
        <v>54.933509390681003</v>
      </c>
      <c r="AE32">
        <v>54.759623154121869</v>
      </c>
      <c r="AF32">
        <f t="shared" si="6"/>
        <v>55.138361332880422</v>
      </c>
      <c r="AG32">
        <f t="shared" si="7"/>
        <v>54.963826659080041</v>
      </c>
      <c r="AH32" s="82">
        <v>70</v>
      </c>
      <c r="AI32">
        <f t="shared" si="8"/>
        <v>1.0975208111226407</v>
      </c>
    </row>
    <row r="33" spans="1:35">
      <c r="B33" t="s">
        <v>167</v>
      </c>
      <c r="C33" s="81">
        <v>26183861</v>
      </c>
      <c r="D33" s="82">
        <f t="shared" si="0"/>
        <v>1623399.382</v>
      </c>
      <c r="E33" s="82">
        <v>62</v>
      </c>
      <c r="G33" s="81">
        <v>19591520</v>
      </c>
      <c r="H33" s="82">
        <f t="shared" si="1"/>
        <v>1155899.68</v>
      </c>
      <c r="I33" s="82">
        <v>59</v>
      </c>
      <c r="K33" s="81">
        <v>6592341</v>
      </c>
      <c r="L33" s="82">
        <f t="shared" si="2"/>
        <v>468056.21100000001</v>
      </c>
      <c r="M33" s="82">
        <f t="shared" si="4"/>
        <v>71</v>
      </c>
      <c r="O33" s="82">
        <f t="shared" si="3"/>
        <v>-235098.23999999999</v>
      </c>
      <c r="Q33" s="82">
        <f t="shared" si="5"/>
        <v>-14745750.757857198</v>
      </c>
      <c r="S33" s="83">
        <v>39447</v>
      </c>
      <c r="T33" s="82">
        <f>XNPV($Y$2,O33:$O$45,S33:$S$45)</f>
        <v>-2778308.7663166826</v>
      </c>
      <c r="AA33" t="s">
        <v>167</v>
      </c>
      <c r="AB33">
        <v>37.539680494239008</v>
      </c>
      <c r="AC33">
        <v>36.945982744845168</v>
      </c>
      <c r="AD33">
        <v>44.326993070489841</v>
      </c>
      <c r="AE33">
        <v>45.374195459976107</v>
      </c>
      <c r="AF33">
        <f t="shared" si="6"/>
        <v>44.492292370007931</v>
      </c>
      <c r="AG33">
        <f t="shared" si="7"/>
        <v>45.543399870340771</v>
      </c>
      <c r="AH33" s="82">
        <v>71</v>
      </c>
      <c r="AI33">
        <f t="shared" si="8"/>
        <v>1.101613563838725</v>
      </c>
    </row>
    <row r="34" spans="1:35">
      <c r="A34">
        <v>2008</v>
      </c>
      <c r="B34" t="s">
        <v>164</v>
      </c>
      <c r="C34" s="81">
        <v>22554855</v>
      </c>
      <c r="D34" s="82">
        <f t="shared" si="0"/>
        <v>1375846.155</v>
      </c>
      <c r="E34" s="82">
        <v>61</v>
      </c>
      <c r="G34" s="81">
        <v>19153515</v>
      </c>
      <c r="H34" s="82">
        <f t="shared" si="1"/>
        <v>1110903.8700000001</v>
      </c>
      <c r="I34" s="82">
        <v>58</v>
      </c>
      <c r="K34" s="81">
        <v>3401340</v>
      </c>
      <c r="L34" s="82">
        <f t="shared" si="2"/>
        <v>268705.86</v>
      </c>
      <c r="M34" s="82">
        <f t="shared" si="4"/>
        <v>79</v>
      </c>
      <c r="O34" s="82">
        <f t="shared" si="3"/>
        <v>-402223.815</v>
      </c>
      <c r="Q34" s="82">
        <f t="shared" si="5"/>
        <v>-15411414.897063589</v>
      </c>
      <c r="S34" s="83">
        <v>39538</v>
      </c>
      <c r="T34" s="82">
        <f>XNPV($Y$2,O34:$O$45,S34:$S$45)</f>
        <v>-2588520.6897911052</v>
      </c>
      <c r="Z34">
        <v>2008</v>
      </c>
      <c r="AA34" t="s">
        <v>164</v>
      </c>
      <c r="AB34">
        <v>39.587071955082415</v>
      </c>
      <c r="AC34">
        <v>38.512433467489949</v>
      </c>
      <c r="AD34">
        <v>31.894201112347051</v>
      </c>
      <c r="AE34">
        <v>32.562769954270173</v>
      </c>
      <c r="AF34">
        <f t="shared" si="6"/>
        <v>32.013137424904414</v>
      </c>
      <c r="AG34">
        <f t="shared" si="7"/>
        <v>32.68419941950031</v>
      </c>
      <c r="AH34" s="82">
        <v>79</v>
      </c>
      <c r="AI34">
        <f t="shared" si="8"/>
        <v>1.1057215787936892</v>
      </c>
    </row>
    <row r="35" spans="1:35">
      <c r="B35" t="s">
        <v>165</v>
      </c>
      <c r="C35" s="81">
        <v>23429388</v>
      </c>
      <c r="D35" s="82">
        <f t="shared" si="0"/>
        <v>1476051.4439999999</v>
      </c>
      <c r="E35" s="82">
        <v>63</v>
      </c>
      <c r="G35" s="81">
        <v>18763391</v>
      </c>
      <c r="H35" s="82">
        <f t="shared" si="1"/>
        <v>1125803.46</v>
      </c>
      <c r="I35" s="82">
        <v>60</v>
      </c>
      <c r="K35" s="81">
        <v>4665997</v>
      </c>
      <c r="L35" s="82">
        <f t="shared" si="2"/>
        <v>359281.76899999997</v>
      </c>
      <c r="M35" s="82">
        <f t="shared" si="4"/>
        <v>77</v>
      </c>
      <c r="O35" s="82">
        <f t="shared" si="3"/>
        <v>-318977.647</v>
      </c>
      <c r="Q35" s="82">
        <f t="shared" si="5"/>
        <v>-16005725.296097141</v>
      </c>
      <c r="S35" s="83">
        <v>39629</v>
      </c>
      <c r="T35" s="82">
        <f>XNPV($Y$2,O35:$O$45,S35:$S$45)</f>
        <v>-2225248.2190763443</v>
      </c>
      <c r="AA35" t="s">
        <v>165</v>
      </c>
      <c r="AB35">
        <v>39.787461308387371</v>
      </c>
      <c r="AC35">
        <v>37.435657241790366</v>
      </c>
      <c r="AD35">
        <v>28.901108936678622</v>
      </c>
      <c r="AE35">
        <v>28.604272974910398</v>
      </c>
      <c r="AF35">
        <f t="shared" si="6"/>
        <v>29.00888374231301</v>
      </c>
      <c r="AG35">
        <f t="shared" si="7"/>
        <v>28.710940852843329</v>
      </c>
      <c r="AH35" s="82">
        <v>77</v>
      </c>
      <c r="AI35">
        <f t="shared" si="8"/>
        <v>1.1098449129017793</v>
      </c>
    </row>
    <row r="36" spans="1:35">
      <c r="B36" t="s">
        <v>166</v>
      </c>
      <c r="C36" s="81">
        <v>31332995</v>
      </c>
      <c r="D36" s="82">
        <f t="shared" si="0"/>
        <v>2130643.66</v>
      </c>
      <c r="E36" s="82">
        <v>68</v>
      </c>
      <c r="G36" s="81">
        <v>19294144</v>
      </c>
      <c r="H36" s="82">
        <f t="shared" si="1"/>
        <v>1292707.648</v>
      </c>
      <c r="I36" s="82">
        <v>67</v>
      </c>
      <c r="K36" s="81">
        <v>12038851</v>
      </c>
      <c r="L36" s="82">
        <f t="shared" si="2"/>
        <v>854758.42099999997</v>
      </c>
      <c r="M36" s="82">
        <f t="shared" si="4"/>
        <v>71</v>
      </c>
      <c r="O36" s="82">
        <f t="shared" si="3"/>
        <v>-77176.576000000001</v>
      </c>
      <c r="Q36" s="82">
        <f t="shared" si="5"/>
        <v>-16368852.281160953</v>
      </c>
      <c r="S36" s="83">
        <v>39721</v>
      </c>
      <c r="T36" s="82">
        <f>XNPV($Y$2,O36:$O$45,S36:$S$45)</f>
        <v>-1940609.4863114376</v>
      </c>
      <c r="AA36" t="s">
        <v>166</v>
      </c>
      <c r="AB36">
        <v>66.652613169716702</v>
      </c>
      <c r="AC36">
        <v>60.783975193016069</v>
      </c>
      <c r="AD36">
        <v>55.579340023894865</v>
      </c>
      <c r="AE36">
        <v>55.278488769414572</v>
      </c>
      <c r="AF36">
        <f t="shared" si="6"/>
        <v>55.786600325964478</v>
      </c>
      <c r="AG36">
        <f t="shared" si="7"/>
        <v>55.484627170399094</v>
      </c>
      <c r="AH36" s="82">
        <v>71</v>
      </c>
      <c r="AI36">
        <f t="shared" si="8"/>
        <v>1.1139836232894802</v>
      </c>
    </row>
    <row r="37" spans="1:35">
      <c r="B37" t="s">
        <v>167</v>
      </c>
      <c r="C37" s="81">
        <v>27099273</v>
      </c>
      <c r="D37" s="82">
        <f t="shared" si="0"/>
        <v>1680154.926</v>
      </c>
      <c r="E37" s="82">
        <v>62</v>
      </c>
      <c r="G37" s="81">
        <v>18854008</v>
      </c>
      <c r="H37" s="82">
        <f t="shared" si="1"/>
        <v>1112386.4720000001</v>
      </c>
      <c r="I37" s="82">
        <v>59</v>
      </c>
      <c r="K37" s="81">
        <v>8245265</v>
      </c>
      <c r="L37" s="82">
        <f t="shared" si="2"/>
        <v>577168.55000000005</v>
      </c>
      <c r="M37" s="82">
        <f t="shared" si="4"/>
        <v>70</v>
      </c>
      <c r="O37" s="82">
        <f t="shared" si="3"/>
        <v>-207394.08799999999</v>
      </c>
      <c r="Q37" s="82">
        <f t="shared" si="5"/>
        <v>-16868684.226184804</v>
      </c>
      <c r="S37" s="83">
        <v>39813</v>
      </c>
      <c r="T37" s="82">
        <f>XNPV($Y$2,O37:$O$45,S37:$S$45)</f>
        <v>-1897000.1613760844</v>
      </c>
      <c r="AA37" t="s">
        <v>167</v>
      </c>
      <c r="AB37">
        <v>37.684731270728577</v>
      </c>
      <c r="AC37">
        <v>37.208040689539821</v>
      </c>
      <c r="AD37">
        <v>43.553739068100356</v>
      </c>
      <c r="AE37">
        <v>44.559193835125448</v>
      </c>
      <c r="AF37">
        <f t="shared" si="6"/>
        <v>43.716154834671798</v>
      </c>
      <c r="AG37">
        <f t="shared" si="7"/>
        <v>44.725359031946354</v>
      </c>
      <c r="AH37" s="82">
        <v>70</v>
      </c>
      <c r="AI37">
        <f t="shared" si="8"/>
        <v>1.1181377672963058</v>
      </c>
    </row>
    <row r="38" spans="1:35">
      <c r="A38">
        <v>2009</v>
      </c>
      <c r="B38" t="s">
        <v>164</v>
      </c>
      <c r="C38" s="81">
        <v>23076526</v>
      </c>
      <c r="D38" s="82">
        <f t="shared" si="0"/>
        <v>1407668.0859999999</v>
      </c>
      <c r="E38" s="82">
        <v>61</v>
      </c>
      <c r="G38" s="81">
        <v>18797465</v>
      </c>
      <c r="H38" s="82">
        <f t="shared" si="1"/>
        <v>1090252.97</v>
      </c>
      <c r="I38" s="82">
        <v>58</v>
      </c>
      <c r="K38" s="81">
        <v>4279061</v>
      </c>
      <c r="L38" s="82">
        <f t="shared" si="2"/>
        <v>329487.69699999999</v>
      </c>
      <c r="M38" s="82">
        <f t="shared" si="4"/>
        <v>77</v>
      </c>
      <c r="O38" s="82">
        <f t="shared" si="3"/>
        <v>-357151.83500000002</v>
      </c>
      <c r="Q38" s="82">
        <f t="shared" si="5"/>
        <v>-17527203.66968812</v>
      </c>
      <c r="S38" s="83">
        <v>39903</v>
      </c>
      <c r="T38" s="82">
        <f>XNPV($Y$2,O38:$O$45,S38:$S$45)</f>
        <v>-1719374.6200944786</v>
      </c>
      <c r="Z38">
        <v>2009</v>
      </c>
      <c r="AA38" t="s">
        <v>164</v>
      </c>
      <c r="AB38">
        <v>40.01495145779959</v>
      </c>
      <c r="AC38">
        <v>39.021172894491052</v>
      </c>
      <c r="AD38">
        <v>32.848784587813618</v>
      </c>
      <c r="AE38">
        <v>33.459456477214538</v>
      </c>
      <c r="AF38">
        <f t="shared" si="6"/>
        <v>32.971280627049836</v>
      </c>
      <c r="AG38">
        <f t="shared" si="7"/>
        <v>33.584229766238323</v>
      </c>
      <c r="AH38" s="82">
        <v>77</v>
      </c>
      <c r="AI38">
        <f t="shared" si="8"/>
        <v>1.1223074024755944</v>
      </c>
    </row>
    <row r="39" spans="1:35">
      <c r="B39" t="s">
        <v>165</v>
      </c>
      <c r="C39" s="81">
        <v>24316954</v>
      </c>
      <c r="D39" s="82">
        <f t="shared" si="0"/>
        <v>1531968.102</v>
      </c>
      <c r="E39" s="82">
        <v>63</v>
      </c>
      <c r="G39" s="81">
        <v>18709911</v>
      </c>
      <c r="H39" s="82">
        <f t="shared" si="1"/>
        <v>1122594.6599999999</v>
      </c>
      <c r="I39" s="82">
        <v>60</v>
      </c>
      <c r="K39" s="81">
        <v>5607044</v>
      </c>
      <c r="L39" s="82">
        <f t="shared" si="2"/>
        <v>420528.3</v>
      </c>
      <c r="M39" s="82">
        <f t="shared" si="4"/>
        <v>75</v>
      </c>
      <c r="O39" s="82">
        <f t="shared" si="3"/>
        <v>-280648.66499999998</v>
      </c>
      <c r="Q39" s="82">
        <f t="shared" si="5"/>
        <v>-18120984.727402255</v>
      </c>
      <c r="S39" s="83">
        <v>39994</v>
      </c>
      <c r="T39" s="82">
        <f>XNPV($Y$2,O39:$O$45,S39:$S$45)</f>
        <v>-1386492.3201732775</v>
      </c>
      <c r="AA39" t="s">
        <v>165</v>
      </c>
      <c r="AB39">
        <v>40.207178286177587</v>
      </c>
      <c r="AC39">
        <v>37.975711007600239</v>
      </c>
      <c r="AD39">
        <v>28.773371971326167</v>
      </c>
      <c r="AE39">
        <v>28.400172305854245</v>
      </c>
      <c r="AF39">
        <f t="shared" si="6"/>
        <v>28.880670434456075</v>
      </c>
      <c r="AG39">
        <f t="shared" si="7"/>
        <v>28.506079074239942</v>
      </c>
      <c r="AH39" s="82">
        <v>75</v>
      </c>
      <c r="AI39">
        <f t="shared" si="8"/>
        <v>1.1264925865953059</v>
      </c>
    </row>
    <row r="40" spans="1:35">
      <c r="B40" t="s">
        <v>166</v>
      </c>
      <c r="C40" s="81">
        <v>32144744</v>
      </c>
      <c r="D40" s="82">
        <f t="shared" si="0"/>
        <v>2185842.5920000002</v>
      </c>
      <c r="E40" s="82">
        <v>68</v>
      </c>
      <c r="G40" s="81">
        <v>19293801</v>
      </c>
      <c r="H40" s="82">
        <f t="shared" si="1"/>
        <v>1292684.6669999999</v>
      </c>
      <c r="I40" s="82">
        <v>67</v>
      </c>
      <c r="K40" s="81">
        <v>12850943</v>
      </c>
      <c r="L40" s="82">
        <f t="shared" si="2"/>
        <v>912416.95299999998</v>
      </c>
      <c r="M40" s="82">
        <f t="shared" si="4"/>
        <v>71</v>
      </c>
      <c r="O40" s="82">
        <f t="shared" si="3"/>
        <v>-77175.203999999998</v>
      </c>
      <c r="Q40" s="82">
        <f t="shared" si="5"/>
        <v>-18521900.524195213</v>
      </c>
      <c r="S40" s="83">
        <v>40086</v>
      </c>
      <c r="T40" s="82">
        <f>XNPV($Y$2,O40:$O$45,S40:$S$45)</f>
        <v>-1125763.9492745793</v>
      </c>
      <c r="AA40" t="s">
        <v>166</v>
      </c>
      <c r="AB40">
        <v>66.347439830289659</v>
      </c>
      <c r="AC40">
        <v>61.302359300358006</v>
      </c>
      <c r="AD40">
        <v>55.133119115890082</v>
      </c>
      <c r="AE40">
        <v>55.132544086021504</v>
      </c>
      <c r="AF40">
        <f t="shared" si="6"/>
        <v>55.338715420507711</v>
      </c>
      <c r="AG40">
        <f t="shared" si="7"/>
        <v>55.338138246301611</v>
      </c>
      <c r="AH40" s="82">
        <v>71</v>
      </c>
      <c r="AI40">
        <f t="shared" si="8"/>
        <v>1.1306933776388222</v>
      </c>
    </row>
    <row r="41" spans="1:35">
      <c r="B41" t="s">
        <v>167</v>
      </c>
      <c r="C41" s="81">
        <v>27451467</v>
      </c>
      <c r="D41" s="82">
        <f t="shared" si="0"/>
        <v>1729442.4210000001</v>
      </c>
      <c r="E41" s="82">
        <v>63</v>
      </c>
      <c r="G41" s="81">
        <v>18779557</v>
      </c>
      <c r="H41" s="82">
        <f t="shared" si="1"/>
        <v>1107993.8629999999</v>
      </c>
      <c r="I41" s="82">
        <v>59</v>
      </c>
      <c r="K41" s="81">
        <v>8671910</v>
      </c>
      <c r="L41" s="82">
        <f t="shared" si="2"/>
        <v>607033.69999999995</v>
      </c>
      <c r="M41" s="82">
        <f t="shared" si="4"/>
        <v>70</v>
      </c>
      <c r="O41" s="82">
        <f t="shared" si="3"/>
        <v>-206575.12700000001</v>
      </c>
      <c r="Q41" s="82">
        <f t="shared" si="5"/>
        <v>-19059378.808256414</v>
      </c>
      <c r="S41" s="83">
        <v>40178</v>
      </c>
      <c r="T41" s="82">
        <f>XNPV($Y$2,O41:$O$45,S41:$S$45)</f>
        <v>-1067477.6687670341</v>
      </c>
      <c r="AA41" t="s">
        <v>167</v>
      </c>
      <c r="AB41">
        <v>38.067651654601711</v>
      </c>
      <c r="AC41">
        <v>37.726391944954777</v>
      </c>
      <c r="AD41">
        <v>42.570140931899651</v>
      </c>
      <c r="AE41">
        <v>43.626720071684588</v>
      </c>
      <c r="AF41">
        <f t="shared" si="6"/>
        <v>42.728888773541854</v>
      </c>
      <c r="AG41">
        <f t="shared" si="7"/>
        <v>43.789407990909183</v>
      </c>
      <c r="AH41" s="82">
        <v>70</v>
      </c>
      <c r="AI41">
        <f t="shared" si="8"/>
        <v>1.1349098338057502</v>
      </c>
    </row>
    <row r="42" spans="1:35">
      <c r="A42">
        <v>2010</v>
      </c>
      <c r="B42" t="s">
        <v>164</v>
      </c>
      <c r="C42" s="81">
        <v>23781978</v>
      </c>
      <c r="D42" s="82">
        <f t="shared" si="0"/>
        <v>1474482.6359999999</v>
      </c>
      <c r="E42" s="82">
        <v>62</v>
      </c>
      <c r="G42" s="81">
        <v>18709260</v>
      </c>
      <c r="H42" s="82">
        <f t="shared" si="1"/>
        <v>1085137.08</v>
      </c>
      <c r="I42" s="82">
        <v>58</v>
      </c>
      <c r="K42" s="81">
        <v>5072718</v>
      </c>
      <c r="L42" s="82">
        <f t="shared" si="2"/>
        <v>385526.56800000003</v>
      </c>
      <c r="M42" s="82">
        <f t="shared" si="4"/>
        <v>76</v>
      </c>
      <c r="O42" s="82">
        <f t="shared" si="3"/>
        <v>-336766.68</v>
      </c>
      <c r="Q42" s="82">
        <f t="shared" si="5"/>
        <v>-19736650.967758302</v>
      </c>
      <c r="S42" s="83">
        <v>40268</v>
      </c>
      <c r="T42" s="82">
        <f>XNPV($Y$2,O42:$O$45,S42:$S$45)</f>
        <v>-876070.4663728968</v>
      </c>
      <c r="Z42">
        <v>2010</v>
      </c>
      <c r="AA42" t="s">
        <v>164</v>
      </c>
      <c r="AB42">
        <v>40.429797210709388</v>
      </c>
      <c r="AC42">
        <v>39.654109400875349</v>
      </c>
      <c r="AD42">
        <v>33.032586328725039</v>
      </c>
      <c r="AE42">
        <v>33.658771223758322</v>
      </c>
      <c r="AF42">
        <f t="shared" si="6"/>
        <v>33.155767781000087</v>
      </c>
      <c r="AG42">
        <f t="shared" si="7"/>
        <v>33.784287775198642</v>
      </c>
      <c r="AH42" s="82">
        <v>76</v>
      </c>
      <c r="AI42">
        <f t="shared" si="8"/>
        <v>1.1391420135127281</v>
      </c>
    </row>
    <row r="43" spans="1:35">
      <c r="B43" t="s">
        <v>165</v>
      </c>
      <c r="C43" s="81">
        <v>24950229</v>
      </c>
      <c r="D43" s="82">
        <f t="shared" si="0"/>
        <v>1596814.656</v>
      </c>
      <c r="E43" s="82">
        <v>64</v>
      </c>
      <c r="G43" s="81">
        <v>18604505</v>
      </c>
      <c r="H43" s="82">
        <f t="shared" si="1"/>
        <v>1116270.3</v>
      </c>
      <c r="I43" s="82">
        <v>60</v>
      </c>
      <c r="K43" s="81">
        <v>6342724</v>
      </c>
      <c r="L43" s="82">
        <f t="shared" si="2"/>
        <v>469361.576</v>
      </c>
      <c r="M43" s="82">
        <f t="shared" si="4"/>
        <v>74</v>
      </c>
      <c r="O43" s="82">
        <f t="shared" si="3"/>
        <v>-260463.07</v>
      </c>
      <c r="Q43" s="82">
        <f t="shared" si="5"/>
        <v>-20349719.328263715</v>
      </c>
      <c r="S43" s="83">
        <v>40359</v>
      </c>
      <c r="T43" s="82">
        <f>XNPV($Y$2,O43:$O$45,S43:$S$45)</f>
        <v>-548912.09149355919</v>
      </c>
      <c r="AA43" t="s">
        <v>165</v>
      </c>
      <c r="AB43">
        <v>40.587459809343017</v>
      </c>
      <c r="AC43">
        <v>38.623202049054981</v>
      </c>
      <c r="AD43">
        <v>29.114770967741936</v>
      </c>
      <c r="AE43">
        <v>28.816219665471923</v>
      </c>
      <c r="AF43">
        <f t="shared" si="6"/>
        <v>29.223342538092854</v>
      </c>
      <c r="AG43">
        <f t="shared" si="7"/>
        <v>28.923677911464093</v>
      </c>
      <c r="AH43" s="82">
        <v>74</v>
      </c>
      <c r="AI43">
        <f t="shared" si="8"/>
        <v>1.1433899753942354</v>
      </c>
    </row>
    <row r="44" spans="1:35">
      <c r="B44" t="s">
        <v>166</v>
      </c>
      <c r="C44" s="81">
        <v>33368529</v>
      </c>
      <c r="D44" s="82">
        <f t="shared" si="0"/>
        <v>2302428.5010000002</v>
      </c>
      <c r="E44" s="82">
        <v>69</v>
      </c>
      <c r="G44" s="81">
        <v>18922185</v>
      </c>
      <c r="H44" s="82">
        <f t="shared" si="1"/>
        <v>1267786.395</v>
      </c>
      <c r="I44" s="82">
        <v>67</v>
      </c>
      <c r="K44" s="81">
        <v>14446344</v>
      </c>
      <c r="L44" s="82">
        <f t="shared" si="2"/>
        <v>1025690.424</v>
      </c>
      <c r="M44" s="82">
        <f t="shared" si="4"/>
        <v>71</v>
      </c>
      <c r="O44" s="82">
        <f t="shared" si="3"/>
        <v>-75688.740000000005</v>
      </c>
      <c r="Q44" s="82">
        <f t="shared" si="5"/>
        <v>-20788966.136305135</v>
      </c>
      <c r="S44" s="83">
        <v>40451</v>
      </c>
      <c r="T44" s="82">
        <f>XNPV($Y$2,O44:$O$45,S44:$S$45)</f>
        <v>-293645.04474196676</v>
      </c>
      <c r="AA44" t="s">
        <v>166</v>
      </c>
      <c r="AB44">
        <v>66.075418972029112</v>
      </c>
      <c r="AC44">
        <v>61.948640659155615</v>
      </c>
      <c r="AD44">
        <v>55.372938112305853</v>
      </c>
      <c r="AE44">
        <v>54.304370370370378</v>
      </c>
      <c r="AF44">
        <f t="shared" si="6"/>
        <v>55.579428723290157</v>
      </c>
      <c r="AG44">
        <f t="shared" si="7"/>
        <v>54.506876197208634</v>
      </c>
      <c r="AH44" s="82">
        <v>71</v>
      </c>
      <c r="AI44">
        <f t="shared" si="8"/>
        <v>1.1476537783034044</v>
      </c>
    </row>
    <row r="45" spans="1:35">
      <c r="B45" t="s">
        <v>167</v>
      </c>
      <c r="C45" s="81">
        <v>28418492</v>
      </c>
      <c r="D45" s="82">
        <f t="shared" si="0"/>
        <v>1790364.996</v>
      </c>
      <c r="E45" s="82">
        <v>63</v>
      </c>
      <c r="G45" s="81">
        <v>18490208</v>
      </c>
      <c r="H45" s="82">
        <f t="shared" si="1"/>
        <v>1090922.2720000001</v>
      </c>
      <c r="I45" s="82">
        <v>59</v>
      </c>
      <c r="K45" s="81">
        <v>9928284</v>
      </c>
      <c r="L45" s="82">
        <f t="shared" si="2"/>
        <v>704908.16399999999</v>
      </c>
      <c r="M45" s="82">
        <f t="shared" si="4"/>
        <v>71</v>
      </c>
      <c r="O45" s="82">
        <f t="shared" si="3"/>
        <v>-221882.49600000001</v>
      </c>
      <c r="Q45" s="82">
        <f t="shared" si="5"/>
        <v>-21382254.067592703</v>
      </c>
      <c r="S45" s="83">
        <v>40543</v>
      </c>
      <c r="T45" s="82">
        <f>XNPV($Y$2,O45:$O$45,S45:$S$45)</f>
        <v>-221882.49600000001</v>
      </c>
      <c r="AA45" t="s">
        <v>167</v>
      </c>
      <c r="AB45">
        <v>38.42113247904431</v>
      </c>
      <c r="AC45">
        <v>38.373237823566313</v>
      </c>
      <c r="AD45">
        <v>42.062929629629629</v>
      </c>
      <c r="AE45">
        <v>43.026879928315417</v>
      </c>
      <c r="AF45">
        <f t="shared" si="6"/>
        <v>42.219786035215265</v>
      </c>
      <c r="AG45">
        <f t="shared" si="7"/>
        <v>43.187330990296751</v>
      </c>
      <c r="AH45" s="82">
        <v>71</v>
      </c>
      <c r="AI45">
        <f t="shared" si="8"/>
        <v>1.1519334813128363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115" zoomScale="80" workbookViewId="0">
      <selection activeCell="D115" sqref="D115"/>
    </sheetView>
  </sheetViews>
  <sheetFormatPr defaultRowHeight="13.2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>
      <c r="A23" s="1" t="s">
        <v>21</v>
      </c>
      <c r="B23" s="1" t="s">
        <v>27</v>
      </c>
      <c r="C23" s="1" t="s">
        <v>161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161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161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161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161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161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>
      <c r="A33" s="1" t="s">
        <v>21</v>
      </c>
      <c r="B33" s="1" t="s">
        <v>28</v>
      </c>
      <c r="C33" s="1" t="s">
        <v>162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162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162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162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162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>
      <c r="A42" s="1" t="s">
        <v>21</v>
      </c>
      <c r="B42" s="1" t="s">
        <v>33</v>
      </c>
      <c r="C42" s="1" t="s">
        <v>163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163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163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>
      <c r="A49" s="1" t="s">
        <v>104</v>
      </c>
      <c r="B49" s="1" t="s">
        <v>36</v>
      </c>
      <c r="C49" s="1" t="s">
        <v>159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104</v>
      </c>
      <c r="B50" s="1" t="s">
        <v>36</v>
      </c>
      <c r="C50" s="1" t="s">
        <v>159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104</v>
      </c>
      <c r="B51" s="1" t="s">
        <v>36</v>
      </c>
      <c r="C51" s="1" t="s">
        <v>159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>
      <c r="A56" s="1" t="s">
        <v>104</v>
      </c>
      <c r="B56" s="1" t="s">
        <v>37</v>
      </c>
      <c r="C56" s="1" t="s">
        <v>160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104</v>
      </c>
      <c r="B57" s="1" t="s">
        <v>37</v>
      </c>
      <c r="C57" s="1" t="s">
        <v>160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104</v>
      </c>
      <c r="B58" s="1" t="s">
        <v>37</v>
      </c>
      <c r="C58" s="1" t="s">
        <v>160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>
      <c r="A63" s="1" t="s">
        <v>104</v>
      </c>
      <c r="B63" s="1" t="s">
        <v>38</v>
      </c>
      <c r="C63" s="1" t="s">
        <v>160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104</v>
      </c>
      <c r="B64" s="1" t="s">
        <v>38</v>
      </c>
      <c r="C64" s="1" t="s">
        <v>160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104</v>
      </c>
      <c r="B65" s="1" t="s">
        <v>38</v>
      </c>
      <c r="C65" s="1" t="s">
        <v>160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>
      <c r="A70" s="1" t="s">
        <v>39</v>
      </c>
      <c r="B70" s="1" t="s">
        <v>40</v>
      </c>
      <c r="C70" s="1" t="s">
        <v>182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182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182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182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182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>
      <c r="A79" s="1" t="s">
        <v>39</v>
      </c>
      <c r="B79" s="1" t="s">
        <v>41</v>
      </c>
      <c r="C79" s="1" t="s">
        <v>182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182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182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182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182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>
      <c r="A88" s="1" t="s">
        <v>39</v>
      </c>
      <c r="B88" s="1" t="s">
        <v>42</v>
      </c>
      <c r="C88" s="1" t="s">
        <v>182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182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182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>
      <c r="A95" s="1" t="s">
        <v>39</v>
      </c>
      <c r="B95" s="1" t="s">
        <v>43</v>
      </c>
      <c r="C95" s="1" t="s">
        <v>182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182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182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>
      <c r="K133" s="7"/>
    </row>
    <row r="134" spans="4:11">
      <c r="K134" s="7"/>
    </row>
    <row r="135" spans="4:11">
      <c r="D135" s="1" t="s">
        <v>193</v>
      </c>
      <c r="E135" s="25">
        <f>+E11+E20+E30+E39+E46+E76+E85+E92+E99</f>
        <v>58229</v>
      </c>
      <c r="F135" s="2">
        <f>+G135/E135*100</f>
        <v>10.966401105978123</v>
      </c>
      <c r="G135" s="25">
        <f>+G11+G20+G30+G39+G46+G76+G85+G92+G99</f>
        <v>6385.6257000000014</v>
      </c>
      <c r="H135" s="25">
        <f>+H11+H20+H30+H39+H46+H76+H85+H92+H99</f>
        <v>1859.8155000000008</v>
      </c>
      <c r="I135" s="25">
        <f>+I11+I20+I30+I39+I46+I76+I85+I92+I99</f>
        <v>8245.4412000000011</v>
      </c>
      <c r="J135" s="5">
        <f>I135/E135*100</f>
        <v>14.160368888354602</v>
      </c>
      <c r="K135" s="7">
        <f>(J135-F135)/F135</f>
        <v>0.29125031553290065</v>
      </c>
    </row>
    <row r="136" spans="4:11">
      <c r="D136" s="1" t="s">
        <v>194</v>
      </c>
      <c r="E136" s="25">
        <f>+E53+E60+E67+E108+E117</f>
        <v>24673</v>
      </c>
      <c r="F136" s="2">
        <f>+G136/E136*100</f>
        <v>8.1154857536578451</v>
      </c>
      <c r="G136" s="25">
        <f>+G53+G60+G67+G108+G117</f>
        <v>2002.3338000000001</v>
      </c>
      <c r="H136" s="25">
        <f>+H53+H60+H67+H108+H117</f>
        <v>1006.8182999999999</v>
      </c>
      <c r="I136" s="25">
        <f>+I53+I60+I67+I108+I117</f>
        <v>3009.1520999999998</v>
      </c>
      <c r="J136" s="5">
        <f>I136/E136*100</f>
        <v>12.196133830502978</v>
      </c>
      <c r="K136" s="7">
        <f>(J136-F136)/F136</f>
        <v>0.50282240653381549</v>
      </c>
    </row>
    <row r="137" spans="4:11">
      <c r="D137"/>
      <c r="E137" s="25"/>
      <c r="G137" s="25"/>
      <c r="H137" s="25"/>
      <c r="I137" s="25"/>
      <c r="J137" s="2"/>
      <c r="K137" s="37"/>
    </row>
    <row r="138" spans="4:11">
      <c r="D138" s="1" t="s">
        <v>47</v>
      </c>
      <c r="E138" s="25">
        <f>+E135+E136</f>
        <v>82902</v>
      </c>
      <c r="F138" s="2">
        <f>+G138/E138*100</f>
        <v>10.117921763045524</v>
      </c>
      <c r="G138" s="25">
        <f>+G135+G136</f>
        <v>8387.9595000000008</v>
      </c>
      <c r="H138" s="25">
        <f>+H135+H136</f>
        <v>2866.6338000000005</v>
      </c>
      <c r="I138" s="25">
        <f>+I135+I136</f>
        <v>11254.5933</v>
      </c>
      <c r="J138" s="5">
        <f>I138/E138*100</f>
        <v>13.575780198306434</v>
      </c>
      <c r="K138" s="7">
        <f>(J138-F138)/F138</f>
        <v>0.34175579889244806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G58" sqref="G58"/>
    </sheetView>
  </sheetViews>
  <sheetFormatPr defaultRowHeight="13.2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>
      <c r="D6" s="1" t="s">
        <v>105</v>
      </c>
    </row>
    <row r="7" spans="1:11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107</v>
      </c>
    </row>
    <row r="24" spans="1:11">
      <c r="D24" s="1" t="s">
        <v>108</v>
      </c>
    </row>
    <row r="25" spans="1:11">
      <c r="A25" s="1" t="s">
        <v>131</v>
      </c>
      <c r="C25" s="1" t="s">
        <v>183</v>
      </c>
      <c r="D25" s="1" t="s">
        <v>22</v>
      </c>
      <c r="G25" s="4">
        <v>10.4</v>
      </c>
      <c r="I25" s="4">
        <v>10.4</v>
      </c>
    </row>
    <row r="26" spans="1:11">
      <c r="A26" s="1" t="s">
        <v>131</v>
      </c>
      <c r="D26" s="1" t="s">
        <v>109</v>
      </c>
    </row>
    <row r="27" spans="1:11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131</v>
      </c>
      <c r="B29" s="1" t="s">
        <v>144</v>
      </c>
      <c r="D29" s="1" t="s">
        <v>112</v>
      </c>
    </row>
    <row r="30" spans="1:11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114</v>
      </c>
    </row>
    <row r="38" spans="1:11">
      <c r="A38" s="1" t="s">
        <v>104</v>
      </c>
      <c r="C38" s="1" t="s">
        <v>184</v>
      </c>
      <c r="D38" s="1" t="s">
        <v>22</v>
      </c>
      <c r="G38" s="4">
        <v>278.5</v>
      </c>
      <c r="I38" s="4">
        <v>278.5</v>
      </c>
    </row>
    <row r="39" spans="1:11">
      <c r="A39" s="1" t="s">
        <v>104</v>
      </c>
      <c r="C39" s="1" t="s">
        <v>184</v>
      </c>
      <c r="D39" s="1" t="s">
        <v>115</v>
      </c>
    </row>
    <row r="40" spans="1:11">
      <c r="A40" s="1" t="s">
        <v>104</v>
      </c>
      <c r="C40" s="1" t="s">
        <v>184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104</v>
      </c>
      <c r="C41" s="1" t="s">
        <v>184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104</v>
      </c>
      <c r="C42" s="1" t="s">
        <v>184</v>
      </c>
      <c r="D42" s="1" t="s">
        <v>117</v>
      </c>
    </row>
    <row r="43" spans="1:11">
      <c r="A43" s="1" t="s">
        <v>104</v>
      </c>
      <c r="C43" s="1" t="s">
        <v>184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104</v>
      </c>
      <c r="C44" s="1" t="s">
        <v>184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104</v>
      </c>
      <c r="C45" s="1" t="s">
        <v>184</v>
      </c>
      <c r="D45" s="1" t="s">
        <v>118</v>
      </c>
    </row>
    <row r="46" spans="1:11">
      <c r="A46" s="1" t="s">
        <v>104</v>
      </c>
      <c r="C46" s="1" t="s">
        <v>184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104</v>
      </c>
      <c r="C47" s="1" t="s">
        <v>184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104</v>
      </c>
      <c r="C49" s="1" t="s">
        <v>184</v>
      </c>
      <c r="D49" s="1" t="s">
        <v>115</v>
      </c>
    </row>
    <row r="50" spans="1:11">
      <c r="A50" s="1" t="s">
        <v>104</v>
      </c>
      <c r="C50" s="1" t="s">
        <v>184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104</v>
      </c>
      <c r="C51" s="1" t="s">
        <v>184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104</v>
      </c>
      <c r="C52" s="1" t="s">
        <v>184</v>
      </c>
      <c r="D52" s="1" t="s">
        <v>117</v>
      </c>
    </row>
    <row r="53" spans="1:11">
      <c r="A53" s="1" t="s">
        <v>104</v>
      </c>
      <c r="C53" s="1" t="s">
        <v>184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104</v>
      </c>
      <c r="C54" s="1" t="s">
        <v>184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104</v>
      </c>
      <c r="C55" s="1" t="s">
        <v>184</v>
      </c>
      <c r="D55" s="1" t="s">
        <v>118</v>
      </c>
    </row>
    <row r="56" spans="1:11">
      <c r="A56" s="1" t="s">
        <v>104</v>
      </c>
      <c r="C56" s="1" t="s">
        <v>184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104</v>
      </c>
      <c r="C57" s="1" t="s">
        <v>184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120</v>
      </c>
    </row>
    <row r="63" spans="1:11">
      <c r="A63" s="1" t="s">
        <v>104</v>
      </c>
      <c r="B63" s="1" t="s">
        <v>143</v>
      </c>
      <c r="C63" s="1" t="s">
        <v>185</v>
      </c>
      <c r="D63" s="1" t="s">
        <v>22</v>
      </c>
      <c r="G63" s="4">
        <v>6.5</v>
      </c>
      <c r="I63" s="4">
        <v>6.5</v>
      </c>
    </row>
    <row r="64" spans="1:11">
      <c r="A64" s="1" t="s">
        <v>104</v>
      </c>
      <c r="B64" s="1" t="s">
        <v>143</v>
      </c>
      <c r="C64" s="1" t="s">
        <v>185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104</v>
      </c>
      <c r="B65" s="1" t="s">
        <v>143</v>
      </c>
      <c r="C65" s="1" t="s">
        <v>185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123</v>
      </c>
    </row>
    <row r="71" spans="1:11">
      <c r="D71" s="1" t="s">
        <v>124</v>
      </c>
    </row>
    <row r="72" spans="1:11">
      <c r="A72" s="1" t="s">
        <v>82</v>
      </c>
      <c r="C72" s="1" t="s">
        <v>186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82</v>
      </c>
      <c r="C73" s="1" t="s">
        <v>186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82</v>
      </c>
      <c r="C74" s="1" t="s">
        <v>186</v>
      </c>
      <c r="D74" s="1" t="s">
        <v>127</v>
      </c>
    </row>
    <row r="75" spans="1:11">
      <c r="A75" s="1" t="s">
        <v>82</v>
      </c>
      <c r="C75" s="1" t="s">
        <v>186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82</v>
      </c>
      <c r="C76" s="1" t="s">
        <v>186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78</v>
      </c>
    </row>
    <row r="82" spans="1:11">
      <c r="A82" s="1" t="s">
        <v>78</v>
      </c>
      <c r="D82" s="1" t="s">
        <v>22</v>
      </c>
      <c r="G82" s="4">
        <v>9.9</v>
      </c>
      <c r="I82" s="4">
        <v>9.9</v>
      </c>
    </row>
    <row r="83" spans="1:11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6">
        <f>+G12+G20</f>
        <v>856.90000000000009</v>
      </c>
      <c r="H95" s="46">
        <f>+H12+H20</f>
        <v>158.80000000000001</v>
      </c>
      <c r="I95" s="46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136</v>
      </c>
      <c r="E96" s="3">
        <f>+E33</f>
        <v>2069</v>
      </c>
      <c r="F96" s="2">
        <f t="shared" si="0"/>
        <v>14.108264862252298</v>
      </c>
      <c r="G96" s="46">
        <f>+G33</f>
        <v>291.90000000000003</v>
      </c>
      <c r="H96" s="46">
        <f>+H33</f>
        <v>62.1</v>
      </c>
      <c r="I96" s="46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82</v>
      </c>
      <c r="E97" s="3">
        <f>+E78</f>
        <v>128</v>
      </c>
      <c r="F97" s="2">
        <f t="shared" si="0"/>
        <v>12.734375</v>
      </c>
      <c r="G97" s="46">
        <f>+G78</f>
        <v>16.3</v>
      </c>
      <c r="H97" s="46">
        <f>+H78</f>
        <v>3.8</v>
      </c>
      <c r="I97" s="46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137</v>
      </c>
      <c r="E98" s="3">
        <f>+E86</f>
        <v>86</v>
      </c>
      <c r="F98" s="2">
        <f t="shared" si="0"/>
        <v>14.651162790697676</v>
      </c>
      <c r="G98" s="46">
        <f>+G86</f>
        <v>12.6</v>
      </c>
      <c r="H98" s="46">
        <f>+H86</f>
        <v>2.6</v>
      </c>
      <c r="I98" s="46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104</v>
      </c>
      <c r="E99" s="3">
        <f>+E59+E67</f>
        <v>8663</v>
      </c>
      <c r="F99" s="2">
        <f t="shared" si="0"/>
        <v>11.689945746277273</v>
      </c>
      <c r="G99" s="46">
        <f>+G59+G67</f>
        <v>1012.7</v>
      </c>
      <c r="H99" s="46">
        <f>+H59+H67</f>
        <v>296</v>
      </c>
      <c r="I99" s="46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46"/>
      <c r="H100" s="46"/>
      <c r="I100" s="46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46">
        <f>SUM(G95:G100)</f>
        <v>2190.4</v>
      </c>
      <c r="H101" s="46">
        <f>SUM(H95:H100)</f>
        <v>523.29999999999995</v>
      </c>
      <c r="I101" s="46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193</v>
      </c>
      <c r="E104" s="25">
        <f>+E12+E20+E33+E59+E86+E78</f>
        <v>16548</v>
      </c>
      <c r="F104" s="2">
        <f>+G104/E104*100</f>
        <v>12.912134396905973</v>
      </c>
      <c r="G104" s="25">
        <f>+G12+G20+G33+G59+G86+G78</f>
        <v>2136.7000000000003</v>
      </c>
      <c r="H104" s="25">
        <f>+H12+H20+H33+H59+H86+H78</f>
        <v>498.3</v>
      </c>
      <c r="I104" s="25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194</v>
      </c>
      <c r="E105" s="25">
        <f>+E67</f>
        <v>657</v>
      </c>
      <c r="F105" s="2">
        <f>+G105/E105*100</f>
        <v>8.1735159817351608</v>
      </c>
      <c r="G105" s="25">
        <f>+G67</f>
        <v>53.7</v>
      </c>
      <c r="H105" s="25">
        <f>+H67</f>
        <v>25</v>
      </c>
      <c r="I105" s="25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5"/>
      <c r="G106" s="25"/>
      <c r="H106" s="25"/>
      <c r="I106" s="25"/>
      <c r="K106" s="37"/>
    </row>
    <row r="107" spans="4:11">
      <c r="D107" s="1" t="s">
        <v>47</v>
      </c>
      <c r="E107" s="25">
        <f>+E104+E105</f>
        <v>17205</v>
      </c>
      <c r="F107" s="2">
        <f>+G107/E107*100</f>
        <v>12.731182795698926</v>
      </c>
      <c r="G107" s="25">
        <f>+G104+G105</f>
        <v>2190.4</v>
      </c>
      <c r="H107" s="25">
        <f>+H104+H105</f>
        <v>523.29999999999995</v>
      </c>
      <c r="I107" s="25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44" bestFit="1" customWidth="1"/>
  </cols>
  <sheetData>
    <row r="5" spans="1:8">
      <c r="D5" s="43" t="s">
        <v>140</v>
      </c>
    </row>
    <row r="7" spans="1:8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>
      <c r="A12" t="str">
        <f>+PGE!D135</f>
        <v>Agricultural</v>
      </c>
      <c r="B12" s="3">
        <f>+PGE!E135</f>
        <v>2725</v>
      </c>
      <c r="C12" s="15">
        <f>+PGE!F135</f>
        <v>10.242201834862385</v>
      </c>
      <c r="D12" s="4">
        <f>+PGE!G135</f>
        <v>279.10000000000002</v>
      </c>
      <c r="E12" s="4">
        <f>+PGE!H135</f>
        <v>58.1</v>
      </c>
      <c r="F12" s="4">
        <f>+PGE!I135</f>
        <v>337.30000000000007</v>
      </c>
      <c r="G12" s="15">
        <f>+PGE!J135</f>
        <v>12.37798165137615</v>
      </c>
      <c r="H12" s="44">
        <f>+PGE!K135</f>
        <v>0.20852740953063448</v>
      </c>
    </row>
    <row r="13" spans="1:8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>
      <c r="A14" t="str">
        <f>+PGE!D137</f>
        <v>Industrial</v>
      </c>
      <c r="B14" s="3">
        <f>+PGE!E137</f>
        <v>27460</v>
      </c>
      <c r="C14" s="15">
        <f>+PGE!F137</f>
        <v>7.5768390386016016</v>
      </c>
      <c r="D14" s="4">
        <f>+PGE!G137</f>
        <v>2080.6</v>
      </c>
      <c r="E14" s="4">
        <f>+PGE!H137</f>
        <v>1098.5</v>
      </c>
      <c r="F14" s="4">
        <f>+PGE!I137</f>
        <v>3179.2</v>
      </c>
      <c r="G14" s="15">
        <f>+PGE!J137</f>
        <v>11.577567370721049</v>
      </c>
      <c r="H14" s="44">
        <f>+PGE!K137</f>
        <v>0.52802076324137281</v>
      </c>
    </row>
    <row r="16" spans="1:8">
      <c r="A16" t="str">
        <f>+PGE!D139</f>
        <v>Total</v>
      </c>
      <c r="B16" s="3">
        <f>+PGE!E139</f>
        <v>80335</v>
      </c>
      <c r="C16" s="15">
        <f>+PGE!F139</f>
        <v>9.9195867305657579</v>
      </c>
      <c r="D16" s="4">
        <f>+PGE!G139</f>
        <v>7968.9000000000015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0.28829574972706357</v>
      </c>
    </row>
    <row r="20" spans="1:8">
      <c r="D20" s="43" t="s">
        <v>141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>
      <c r="D35" s="43" t="s">
        <v>142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>
      <c r="D50" s="43" t="s">
        <v>155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>
      <c r="A57" t="str">
        <f>+A42</f>
        <v>Agricultural</v>
      </c>
      <c r="B57" s="3">
        <f t="shared" si="2"/>
        <v>5799</v>
      </c>
      <c r="C57" s="15">
        <f t="shared" si="3"/>
        <v>10.269941369201586</v>
      </c>
      <c r="D57" s="4">
        <f t="shared" si="4"/>
        <v>595.5539</v>
      </c>
      <c r="E57" s="4">
        <f t="shared" si="4"/>
        <v>165.59559999999996</v>
      </c>
      <c r="F57" s="4">
        <f t="shared" si="4"/>
        <v>761.14949999999999</v>
      </c>
      <c r="G57" s="15">
        <f t="shared" si="5"/>
        <v>13.125530263838591</v>
      </c>
      <c r="H57" s="44">
        <f t="shared" si="6"/>
        <v>0.2780530863789154</v>
      </c>
    </row>
    <row r="58" spans="1:8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>
      <c r="A59" t="str">
        <f>+A44</f>
        <v>Industrial</v>
      </c>
      <c r="B59" s="3">
        <f t="shared" si="2"/>
        <v>60109</v>
      </c>
      <c r="C59" s="15">
        <f t="shared" si="3"/>
        <v>8.4010913507128713</v>
      </c>
      <c r="D59" s="4">
        <f t="shared" si="4"/>
        <v>5049.8119999999999</v>
      </c>
      <c r="E59" s="4">
        <f t="shared" si="4"/>
        <v>2370.6576999999997</v>
      </c>
      <c r="F59" s="4">
        <f t="shared" si="4"/>
        <v>7420.7696999999989</v>
      </c>
      <c r="G59" s="15">
        <f t="shared" si="5"/>
        <v>12.34552180205959</v>
      </c>
      <c r="H59" s="44">
        <f t="shared" si="6"/>
        <v>0.46945464504421153</v>
      </c>
    </row>
    <row r="61" spans="1:8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/>
  <cols>
    <col min="3" max="3" width="23.5546875" customWidth="1"/>
    <col min="4" max="4" width="11.88671875" style="3" bestFit="1" customWidth="1"/>
    <col min="5" max="5" width="12" style="45" bestFit="1" customWidth="1"/>
    <col min="6" max="6" width="13.33203125" style="46" bestFit="1" customWidth="1"/>
    <col min="7" max="7" width="12" style="2" bestFit="1" customWidth="1"/>
    <col min="8" max="8" width="12" style="8" bestFit="1" customWidth="1"/>
  </cols>
  <sheetData>
    <row r="7" spans="3:8">
      <c r="F7" s="47" t="str">
        <f>+'All Summary'!D5</f>
        <v>PGE</v>
      </c>
    </row>
    <row r="9" spans="3:8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>
      <c r="C14" t="str">
        <f>+'All Summary'!A12</f>
        <v>Agricultural</v>
      </c>
      <c r="D14" s="3">
        <f>+'All Summary'!B12</f>
        <v>2725</v>
      </c>
      <c r="E14" s="45">
        <f>+'All Summary'!C12</f>
        <v>10.242201834862385</v>
      </c>
      <c r="F14" s="46">
        <f>+'All Summary'!E12</f>
        <v>58.1</v>
      </c>
      <c r="G14" s="2">
        <f>+'All Summary'!G12</f>
        <v>12.37798165137615</v>
      </c>
      <c r="H14" s="8">
        <f>+'All Summary'!H12</f>
        <v>0.20852740953063448</v>
      </c>
    </row>
    <row r="15" spans="3:8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>
      <c r="C16" t="str">
        <f>+'All Summary'!A14</f>
        <v>Industrial</v>
      </c>
      <c r="D16" s="3">
        <f>+'All Summary'!B14</f>
        <v>27460</v>
      </c>
      <c r="E16" s="45">
        <f>+'All Summary'!C14</f>
        <v>7.5768390386016016</v>
      </c>
      <c r="F16" s="46">
        <f>+'All Summary'!E14</f>
        <v>1098.5</v>
      </c>
      <c r="G16" s="2">
        <f>+'All Summary'!G14</f>
        <v>11.577567370721049</v>
      </c>
      <c r="H16" s="8">
        <f>+'All Summary'!H14</f>
        <v>0.52802076324137281</v>
      </c>
    </row>
    <row r="18" spans="3:8">
      <c r="C18" t="str">
        <f>+'All Summary'!A16</f>
        <v>Total</v>
      </c>
      <c r="D18" s="3">
        <f>+'All Summary'!B16</f>
        <v>80335</v>
      </c>
      <c r="E18" s="45">
        <f>+'All Summary'!C16</f>
        <v>9.9195867305657579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0.28829574972706357</v>
      </c>
    </row>
    <row r="20" spans="3:8">
      <c r="C20" t="s">
        <v>156</v>
      </c>
      <c r="D20" s="3">
        <f>93000*0.58</f>
        <v>53939.999999999993</v>
      </c>
    </row>
    <row r="23" spans="3:8">
      <c r="F23" s="47" t="str">
        <f>+'All Summary'!D20</f>
        <v>SCE</v>
      </c>
    </row>
    <row r="25" spans="3:8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>
      <c r="C36" t="s">
        <v>157</v>
      </c>
      <c r="D36" s="3">
        <f>83000*0.66</f>
        <v>54780</v>
      </c>
    </row>
    <row r="38" spans="3:8">
      <c r="F38" s="47" t="str">
        <f>+'All Summary'!D35</f>
        <v>SDGE</v>
      </c>
    </row>
    <row r="40" spans="3:8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158</v>
      </c>
      <c r="D51" s="3">
        <f>16000*0.33</f>
        <v>5280</v>
      </c>
    </row>
    <row r="53" spans="3:8">
      <c r="F53" s="47" t="str">
        <f>+'All Summary'!D50</f>
        <v>TOTAL</v>
      </c>
    </row>
    <row r="55" spans="3:8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>
      <c r="C60" t="str">
        <f>+'All Summary'!A57</f>
        <v>Agricultural</v>
      </c>
      <c r="D60" s="3">
        <f>+'All Summary'!B57</f>
        <v>5799</v>
      </c>
      <c r="E60" s="45">
        <f>+'All Summary'!C57</f>
        <v>10.269941369201586</v>
      </c>
      <c r="F60" s="46">
        <f>+'All Summary'!E57</f>
        <v>165.59559999999996</v>
      </c>
      <c r="G60" s="2">
        <f>+'All Summary'!G57</f>
        <v>13.125530263838591</v>
      </c>
      <c r="H60" s="8">
        <f>+'All Summary'!H57</f>
        <v>0.2780530863789154</v>
      </c>
    </row>
    <row r="61" spans="3:8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>
      <c r="C62" t="str">
        <f>+'All Summary'!A59</f>
        <v>Industrial</v>
      </c>
      <c r="D62" s="3">
        <f>+'All Summary'!B59</f>
        <v>60109</v>
      </c>
      <c r="E62" s="45">
        <f>+'All Summary'!C59</f>
        <v>8.4010913507128713</v>
      </c>
      <c r="F62" s="46">
        <f>+'All Summary'!E59</f>
        <v>2370.6576999999997</v>
      </c>
      <c r="G62" s="2">
        <f>+'All Summary'!G59</f>
        <v>12.34552180205959</v>
      </c>
      <c r="H62" s="8">
        <f>+'All Summary'!H59</f>
        <v>0.46945464504421153</v>
      </c>
    </row>
    <row r="64" spans="3:8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>
      <c r="C66" t="s">
        <v>158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A2" workbookViewId="0">
      <selection activeCell="I29" sqref="I29"/>
    </sheetView>
  </sheetViews>
  <sheetFormatPr defaultRowHeight="13.2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4140625" style="51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>
      <c r="D3" s="49" t="s">
        <v>168</v>
      </c>
      <c r="H3" s="49" t="s">
        <v>173</v>
      </c>
      <c r="L3" s="52" t="s">
        <v>175</v>
      </c>
    </row>
    <row r="5" spans="1:14">
      <c r="C5" s="3" t="s">
        <v>169</v>
      </c>
      <c r="D5" s="3" t="s">
        <v>172</v>
      </c>
      <c r="E5" s="3" t="s">
        <v>171</v>
      </c>
      <c r="G5" s="3" t="s">
        <v>169</v>
      </c>
      <c r="H5" s="3" t="s">
        <v>172</v>
      </c>
      <c r="I5" s="3" t="s">
        <v>171</v>
      </c>
      <c r="K5" s="51" t="s">
        <v>176</v>
      </c>
      <c r="L5" s="3" t="s">
        <v>174</v>
      </c>
      <c r="M5" s="1" t="s">
        <v>177</v>
      </c>
    </row>
    <row r="6" spans="1:14">
      <c r="A6" s="1" t="s">
        <v>164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165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1">
        <f>+E7-I7</f>
        <v>-210.93998128655269</v>
      </c>
      <c r="L7" s="3">
        <f>+(C7*(E7-I7))/1000</f>
        <v>-1441781.1002930263</v>
      </c>
      <c r="M7" s="53">
        <f>(M6*1.01625)+L7</f>
        <v>-1441781.1002930263</v>
      </c>
      <c r="N7" s="50"/>
    </row>
    <row r="8" spans="1:14">
      <c r="A8" s="1" t="s">
        <v>166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1">
        <f t="shared" ref="K8:K45" si="2">+E8-I8</f>
        <v>-56.4854491471431</v>
      </c>
      <c r="L8" s="3">
        <f t="shared" ref="L8:L45" si="3">+(C8*(E8-I8))/1000</f>
        <v>-465506.81028790196</v>
      </c>
      <c r="M8" s="53">
        <f>(M7*1.01625)+L8</f>
        <v>-1930716.85346069</v>
      </c>
    </row>
    <row r="9" spans="1:14">
      <c r="A9" s="1" t="s">
        <v>167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1">
        <f t="shared" si="2"/>
        <v>-92.052256370479313</v>
      </c>
      <c r="L9" s="3">
        <f t="shared" si="3"/>
        <v>-698081.41596224636</v>
      </c>
      <c r="M9" s="53">
        <f t="shared" ref="M9:M45" si="4">(M8*1.01625)+L9</f>
        <v>-2660172.4182916726</v>
      </c>
    </row>
    <row r="10" spans="1:14">
      <c r="A10" s="1" t="s">
        <v>164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1">
        <f t="shared" si="2"/>
        <v>-100.29640316011525</v>
      </c>
      <c r="L10" s="3">
        <f t="shared" si="3"/>
        <v>-890110.21787618136</v>
      </c>
      <c r="M10" s="53">
        <f t="shared" si="4"/>
        <v>-3593510.4379650941</v>
      </c>
    </row>
    <row r="11" spans="1:14">
      <c r="A11" s="1" t="s">
        <v>165</v>
      </c>
      <c r="B11" s="48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1">
        <f t="shared" si="2"/>
        <v>-59.318543505283571</v>
      </c>
      <c r="L11" s="3">
        <f t="shared" si="3"/>
        <v>-577580.32785727025</v>
      </c>
      <c r="M11" s="53">
        <f t="shared" si="4"/>
        <v>-4229485.310439297</v>
      </c>
    </row>
    <row r="12" spans="1:14">
      <c r="A12" s="1" t="s">
        <v>166</v>
      </c>
      <c r="B12" s="48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1">
        <f t="shared" si="2"/>
        <v>-44.501553798309814</v>
      </c>
      <c r="L12" s="3">
        <f t="shared" si="3"/>
        <v>-554750.27293685975</v>
      </c>
      <c r="M12" s="53">
        <f t="shared" si="4"/>
        <v>-4852964.7196707958</v>
      </c>
    </row>
    <row r="13" spans="1:14">
      <c r="A13" s="1" t="s">
        <v>167</v>
      </c>
      <c r="B13" s="48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1">
        <f t="shared" si="2"/>
        <v>-75.485873684551265</v>
      </c>
      <c r="L13" s="3">
        <f t="shared" si="3"/>
        <v>-861240.2237704139</v>
      </c>
      <c r="M13" s="53">
        <f t="shared" si="4"/>
        <v>-5793065.6201358605</v>
      </c>
    </row>
    <row r="14" spans="1:14">
      <c r="A14" s="1" t="s">
        <v>164</v>
      </c>
      <c r="B14" s="48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1">
        <f t="shared" si="2"/>
        <v>-50.466851801364442</v>
      </c>
      <c r="L14" s="3">
        <f t="shared" si="3"/>
        <v>-632283.49102838489</v>
      </c>
      <c r="M14" s="53">
        <f t="shared" si="4"/>
        <v>-6519486.4274914544</v>
      </c>
    </row>
    <row r="15" spans="1:14">
      <c r="A15" s="1" t="s">
        <v>165</v>
      </c>
      <c r="B15" s="48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1">
        <f t="shared" si="2"/>
        <v>-30.03451987967567</v>
      </c>
      <c r="L15" s="3">
        <f t="shared" si="3"/>
        <v>-416968.60876461992</v>
      </c>
      <c r="M15" s="53">
        <f t="shared" si="4"/>
        <v>-7042396.6907028109</v>
      </c>
    </row>
    <row r="16" spans="1:14">
      <c r="A16" s="1" t="s">
        <v>166</v>
      </c>
      <c r="B16" s="48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1">
        <f t="shared" si="2"/>
        <v>-28.300111926184854</v>
      </c>
      <c r="L16" s="3">
        <f t="shared" si="3"/>
        <v>-518931.28495933622</v>
      </c>
      <c r="M16" s="53">
        <f t="shared" si="4"/>
        <v>-7675766.9218860678</v>
      </c>
    </row>
    <row r="17" spans="1:13">
      <c r="A17" s="1" t="s">
        <v>167</v>
      </c>
      <c r="B17" s="48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1">
        <f t="shared" si="2"/>
        <v>-22.125127626336649</v>
      </c>
      <c r="L17" s="3">
        <f t="shared" si="3"/>
        <v>-436695.98978222191</v>
      </c>
      <c r="M17" s="53">
        <f t="shared" si="4"/>
        <v>-8237194.1241489388</v>
      </c>
    </row>
    <row r="18" spans="1:13">
      <c r="A18" s="1" t="s">
        <v>164</v>
      </c>
      <c r="B18" s="48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1">
        <f t="shared" si="2"/>
        <v>-14.661541942833395</v>
      </c>
      <c r="L18" s="3">
        <f t="shared" si="3"/>
        <v>-313735.45977152063</v>
      </c>
      <c r="M18" s="53">
        <f t="shared" si="4"/>
        <v>-8684783.9884378817</v>
      </c>
    </row>
    <row r="19" spans="1:13">
      <c r="A19" s="1" t="s">
        <v>165</v>
      </c>
      <c r="B19" s="48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1">
        <f t="shared" si="2"/>
        <v>-14.385499250884479</v>
      </c>
      <c r="L19" s="3">
        <f t="shared" si="3"/>
        <v>-287996.96134224546</v>
      </c>
      <c r="M19" s="53">
        <f t="shared" si="4"/>
        <v>-9113908.6895922441</v>
      </c>
    </row>
    <row r="20" spans="1:13">
      <c r="A20" s="1" t="s">
        <v>166</v>
      </c>
      <c r="B20" s="48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1">
        <f t="shared" si="2"/>
        <v>-4.2932534689763031</v>
      </c>
      <c r="L20" s="3">
        <f t="shared" si="3"/>
        <v>-91928.843406094311</v>
      </c>
      <c r="M20" s="53">
        <f t="shared" si="4"/>
        <v>-9353938.5492042135</v>
      </c>
    </row>
    <row r="21" spans="1:13">
      <c r="A21" s="1" t="s">
        <v>167</v>
      </c>
      <c r="B21" s="48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1">
        <f t="shared" si="2"/>
        <v>6.699458532281767</v>
      </c>
      <c r="L21" s="3">
        <f t="shared" si="3"/>
        <v>155312.62932806928</v>
      </c>
      <c r="M21" s="53">
        <f t="shared" si="4"/>
        <v>-9350627.421300713</v>
      </c>
    </row>
    <row r="22" spans="1:13">
      <c r="A22" s="1" t="s">
        <v>164</v>
      </c>
      <c r="B22" s="48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1">
        <f t="shared" si="2"/>
        <v>-14.085991922580604</v>
      </c>
      <c r="L22" s="3">
        <f t="shared" si="3"/>
        <v>-292286.98056002898</v>
      </c>
      <c r="M22" s="53">
        <f t="shared" si="4"/>
        <v>-9794862.0974568799</v>
      </c>
    </row>
    <row r="23" spans="1:13">
      <c r="A23" s="1" t="s">
        <v>165</v>
      </c>
      <c r="B23" s="48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1">
        <f t="shared" si="2"/>
        <v>-11.132712658006952</v>
      </c>
      <c r="L23" s="3">
        <f t="shared" si="3"/>
        <v>-217559.95724597303</v>
      </c>
      <c r="M23" s="53">
        <f t="shared" si="4"/>
        <v>-10171588.563786529</v>
      </c>
    </row>
    <row r="24" spans="1:13">
      <c r="A24" s="1" t="s">
        <v>166</v>
      </c>
      <c r="B24" s="48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1">
        <f t="shared" si="2"/>
        <v>2.991975589987419</v>
      </c>
      <c r="L24" s="3">
        <f t="shared" si="3"/>
        <v>61296.119212026679</v>
      </c>
      <c r="M24" s="53">
        <f t="shared" si="4"/>
        <v>-10275580.758736035</v>
      </c>
    </row>
    <row r="25" spans="1:13">
      <c r="A25" s="1" t="s">
        <v>167</v>
      </c>
      <c r="B25" s="48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1">
        <f t="shared" si="2"/>
        <v>-2.6232331603105195</v>
      </c>
      <c r="L25" s="3">
        <f t="shared" si="3"/>
        <v>-55245.64186938302</v>
      </c>
      <c r="M25" s="53">
        <f t="shared" si="4"/>
        <v>-10497804.58793488</v>
      </c>
    </row>
    <row r="26" spans="1:13">
      <c r="A26" s="1" t="s">
        <v>164</v>
      </c>
      <c r="B26" s="48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1">
        <f t="shared" si="2"/>
        <v>-23.10746156744068</v>
      </c>
      <c r="L26" s="3">
        <f t="shared" si="3"/>
        <v>-488746.58972932328</v>
      </c>
      <c r="M26" s="53">
        <f t="shared" si="4"/>
        <v>-11157140.502218146</v>
      </c>
    </row>
    <row r="27" spans="1:13">
      <c r="A27" s="1" t="s">
        <v>165</v>
      </c>
      <c r="B27" s="48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1">
        <f t="shared" si="2"/>
        <v>-18.660092374572947</v>
      </c>
      <c r="L27" s="3">
        <f t="shared" si="3"/>
        <v>-365273.71538418176</v>
      </c>
      <c r="M27" s="53">
        <f t="shared" si="4"/>
        <v>-11703717.750763373</v>
      </c>
    </row>
    <row r="28" spans="1:13">
      <c r="A28" s="1" t="s">
        <v>166</v>
      </c>
      <c r="B28" s="48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1">
        <f t="shared" si="2"/>
        <v>-4.1896709101622207</v>
      </c>
      <c r="L28" s="3">
        <f t="shared" si="3"/>
        <v>-82758.929800132624</v>
      </c>
      <c r="M28" s="53">
        <f t="shared" si="4"/>
        <v>-11976662.094013412</v>
      </c>
    </row>
    <row r="29" spans="1:13">
      <c r="A29" s="1" t="s">
        <v>167</v>
      </c>
      <c r="B29" s="48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1" t="e">
        <f t="shared" si="2"/>
        <v>#DIV/0!</v>
      </c>
      <c r="L29" s="3" t="e">
        <f t="shared" si="3"/>
        <v>#DIV/0!</v>
      </c>
      <c r="M29" s="53" t="e">
        <f t="shared" si="4"/>
        <v>#DIV/0!</v>
      </c>
    </row>
    <row r="30" spans="1:13">
      <c r="A30" s="1" t="s">
        <v>164</v>
      </c>
      <c r="B30" s="48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1" t="e">
        <f t="shared" si="2"/>
        <v>#DIV/0!</v>
      </c>
      <c r="L30" s="3" t="e">
        <f t="shared" si="3"/>
        <v>#DIV/0!</v>
      </c>
      <c r="M30" s="53" t="e">
        <f t="shared" si="4"/>
        <v>#DIV/0!</v>
      </c>
    </row>
    <row r="31" spans="1:13">
      <c r="A31" s="1" t="s">
        <v>165</v>
      </c>
      <c r="B31" s="48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1" t="e">
        <f t="shared" si="2"/>
        <v>#DIV/0!</v>
      </c>
      <c r="L31" s="3" t="e">
        <f t="shared" si="3"/>
        <v>#DIV/0!</v>
      </c>
      <c r="M31" s="53" t="e">
        <f t="shared" si="4"/>
        <v>#DIV/0!</v>
      </c>
    </row>
    <row r="32" spans="1:13">
      <c r="A32" s="1" t="s">
        <v>166</v>
      </c>
      <c r="B32" s="48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1" t="e">
        <f t="shared" si="2"/>
        <v>#DIV/0!</v>
      </c>
      <c r="L32" s="3" t="e">
        <f t="shared" si="3"/>
        <v>#DIV/0!</v>
      </c>
      <c r="M32" s="53" t="e">
        <f t="shared" si="4"/>
        <v>#DIV/0!</v>
      </c>
    </row>
    <row r="33" spans="1:13">
      <c r="A33" s="1" t="s">
        <v>167</v>
      </c>
      <c r="B33" s="48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1" t="e">
        <f t="shared" si="2"/>
        <v>#DIV/0!</v>
      </c>
      <c r="L33" s="3" t="e">
        <f t="shared" si="3"/>
        <v>#DIV/0!</v>
      </c>
      <c r="M33" s="53" t="e">
        <f t="shared" si="4"/>
        <v>#DIV/0!</v>
      </c>
    </row>
    <row r="34" spans="1:13">
      <c r="A34" s="1" t="s">
        <v>164</v>
      </c>
      <c r="B34" s="48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1" t="e">
        <f t="shared" si="2"/>
        <v>#DIV/0!</v>
      </c>
      <c r="L34" s="3" t="e">
        <f t="shared" si="3"/>
        <v>#DIV/0!</v>
      </c>
      <c r="M34" s="53" t="e">
        <f t="shared" si="4"/>
        <v>#DIV/0!</v>
      </c>
    </row>
    <row r="35" spans="1:13">
      <c r="A35" s="1" t="s">
        <v>165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1" t="e">
        <f t="shared" si="2"/>
        <v>#DIV/0!</v>
      </c>
      <c r="L35" s="3" t="e">
        <f t="shared" si="3"/>
        <v>#DIV/0!</v>
      </c>
      <c r="M35" s="53" t="e">
        <f t="shared" si="4"/>
        <v>#DIV/0!</v>
      </c>
    </row>
    <row r="36" spans="1:13">
      <c r="A36" s="1" t="s">
        <v>166</v>
      </c>
      <c r="B36" s="48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1" t="e">
        <f t="shared" si="2"/>
        <v>#DIV/0!</v>
      </c>
      <c r="L36" s="3" t="e">
        <f t="shared" si="3"/>
        <v>#DIV/0!</v>
      </c>
      <c r="M36" s="53" t="e">
        <f t="shared" si="4"/>
        <v>#DIV/0!</v>
      </c>
    </row>
    <row r="37" spans="1:13">
      <c r="A37" s="1" t="s">
        <v>167</v>
      </c>
      <c r="B37" s="48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1" t="e">
        <f t="shared" si="2"/>
        <v>#DIV/0!</v>
      </c>
      <c r="L37" s="3" t="e">
        <f t="shared" si="3"/>
        <v>#DIV/0!</v>
      </c>
      <c r="M37" s="53" t="e">
        <f t="shared" si="4"/>
        <v>#DIV/0!</v>
      </c>
    </row>
    <row r="38" spans="1:13">
      <c r="A38" s="1" t="s">
        <v>164</v>
      </c>
      <c r="B38" s="48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1" t="e">
        <f t="shared" si="2"/>
        <v>#DIV/0!</v>
      </c>
      <c r="L38" s="3" t="e">
        <f t="shared" si="3"/>
        <v>#DIV/0!</v>
      </c>
      <c r="M38" s="53" t="e">
        <f t="shared" si="4"/>
        <v>#DIV/0!</v>
      </c>
    </row>
    <row r="39" spans="1:13">
      <c r="A39" s="1" t="s">
        <v>165</v>
      </c>
      <c r="B39" s="48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1" t="e">
        <f t="shared" si="2"/>
        <v>#DIV/0!</v>
      </c>
      <c r="L39" s="3" t="e">
        <f t="shared" si="3"/>
        <v>#DIV/0!</v>
      </c>
      <c r="M39" s="53" t="e">
        <f t="shared" si="4"/>
        <v>#DIV/0!</v>
      </c>
    </row>
    <row r="40" spans="1:13">
      <c r="A40" s="1" t="s">
        <v>166</v>
      </c>
      <c r="B40" s="48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1" t="e">
        <f t="shared" si="2"/>
        <v>#DIV/0!</v>
      </c>
      <c r="L40" s="3" t="e">
        <f t="shared" si="3"/>
        <v>#DIV/0!</v>
      </c>
      <c r="M40" s="53" t="e">
        <f t="shared" si="4"/>
        <v>#DIV/0!</v>
      </c>
    </row>
    <row r="41" spans="1:13">
      <c r="A41" s="1" t="s">
        <v>167</v>
      </c>
      <c r="B41" s="48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1" t="e">
        <f t="shared" si="2"/>
        <v>#DIV/0!</v>
      </c>
      <c r="L41" s="3" t="e">
        <f t="shared" si="3"/>
        <v>#DIV/0!</v>
      </c>
      <c r="M41" s="53" t="e">
        <f t="shared" si="4"/>
        <v>#DIV/0!</v>
      </c>
    </row>
    <row r="42" spans="1:13">
      <c r="A42" s="1" t="s">
        <v>164</v>
      </c>
      <c r="B42" s="48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1" t="e">
        <f t="shared" si="2"/>
        <v>#DIV/0!</v>
      </c>
      <c r="L42" s="3" t="e">
        <f t="shared" si="3"/>
        <v>#DIV/0!</v>
      </c>
      <c r="M42" s="53" t="e">
        <f t="shared" si="4"/>
        <v>#DIV/0!</v>
      </c>
    </row>
    <row r="43" spans="1:13">
      <c r="A43" s="1" t="s">
        <v>165</v>
      </c>
      <c r="B43" s="48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1" t="e">
        <f t="shared" si="2"/>
        <v>#DIV/0!</v>
      </c>
      <c r="L43" s="3" t="e">
        <f t="shared" si="3"/>
        <v>#DIV/0!</v>
      </c>
      <c r="M43" s="53" t="e">
        <f t="shared" si="4"/>
        <v>#DIV/0!</v>
      </c>
    </row>
    <row r="44" spans="1:13">
      <c r="A44" s="1" t="s">
        <v>166</v>
      </c>
      <c r="B44" s="48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1" t="e">
        <f t="shared" si="2"/>
        <v>#DIV/0!</v>
      </c>
      <c r="L44" s="3" t="e">
        <f t="shared" si="3"/>
        <v>#DIV/0!</v>
      </c>
      <c r="M44" s="53" t="e">
        <f t="shared" si="4"/>
        <v>#DIV/0!</v>
      </c>
    </row>
    <row r="45" spans="1:13">
      <c r="A45" s="1" t="s">
        <v>167</v>
      </c>
      <c r="B45" s="48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1" t="e">
        <f t="shared" si="2"/>
        <v>#DIV/0!</v>
      </c>
      <c r="L45" s="3" t="e">
        <f t="shared" si="3"/>
        <v>#DIV/0!</v>
      </c>
      <c r="M45" s="53" t="e">
        <f t="shared" si="4"/>
        <v>#DIV/0!</v>
      </c>
    </row>
    <row r="49" spans="1:5">
      <c r="C49" s="3" t="s">
        <v>170</v>
      </c>
    </row>
    <row r="51" spans="1:5">
      <c r="A51" s="1" t="s">
        <v>164</v>
      </c>
      <c r="B51" s="48">
        <v>2001</v>
      </c>
      <c r="C51" s="3">
        <f>+D6+H6</f>
        <v>3798465</v>
      </c>
    </row>
    <row r="52" spans="1:5">
      <c r="A52" s="1" t="s">
        <v>165</v>
      </c>
      <c r="B52" s="48">
        <v>2001</v>
      </c>
      <c r="C52" s="3">
        <f t="shared" ref="C52:C62" si="6">+D7+H7</f>
        <v>4550488</v>
      </c>
    </row>
    <row r="53" spans="1:5">
      <c r="A53" s="1" t="s">
        <v>166</v>
      </c>
      <c r="B53" s="48">
        <v>2001</v>
      </c>
      <c r="C53" s="3">
        <f t="shared" si="6"/>
        <v>3672830</v>
      </c>
    </row>
    <row r="54" spans="1:5">
      <c r="A54" s="1" t="s">
        <v>167</v>
      </c>
      <c r="B54" s="48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164</v>
      </c>
      <c r="B55" s="48">
        <f>+B51+1</f>
        <v>2002</v>
      </c>
      <c r="C55" s="3">
        <f t="shared" si="6"/>
        <v>1835879</v>
      </c>
    </row>
    <row r="56" spans="1:5">
      <c r="A56" s="1" t="s">
        <v>165</v>
      </c>
      <c r="B56" s="48">
        <f t="shared" ref="B56:B62" si="7">+B52+1</f>
        <v>2002</v>
      </c>
      <c r="C56" s="3">
        <f t="shared" si="6"/>
        <v>1921539</v>
      </c>
    </row>
    <row r="57" spans="1:5">
      <c r="A57" s="1" t="s">
        <v>166</v>
      </c>
      <c r="B57" s="48">
        <f t="shared" si="7"/>
        <v>2002</v>
      </c>
      <c r="C57" s="3">
        <f t="shared" si="6"/>
        <v>2823681</v>
      </c>
    </row>
    <row r="58" spans="1:5">
      <c r="A58" s="1" t="s">
        <v>167</v>
      </c>
      <c r="B58" s="48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164</v>
      </c>
      <c r="B59" s="48">
        <f t="shared" si="7"/>
        <v>2003</v>
      </c>
      <c r="C59" s="3">
        <f t="shared" si="6"/>
        <v>1564717</v>
      </c>
    </row>
    <row r="60" spans="1:5">
      <c r="A60" s="1" t="s">
        <v>165</v>
      </c>
      <c r="B60" s="48">
        <f t="shared" si="7"/>
        <v>2003</v>
      </c>
      <c r="C60" s="3">
        <f t="shared" si="6"/>
        <v>1524643</v>
      </c>
    </row>
    <row r="61" spans="1:5">
      <c r="A61" s="1" t="s">
        <v>166</v>
      </c>
      <c r="B61" s="48">
        <f t="shared" si="7"/>
        <v>2003</v>
      </c>
      <c r="C61" s="3">
        <f t="shared" si="6"/>
        <v>2371656</v>
      </c>
    </row>
    <row r="62" spans="1:5">
      <c r="A62" s="1" t="s">
        <v>167</v>
      </c>
      <c r="B62" s="48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85"/>
  <sheetViews>
    <sheetView workbookViewId="0">
      <selection activeCell="B30" sqref="B30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</cols>
  <sheetData>
    <row r="2" spans="1:8">
      <c r="B2" s="104">
        <v>2001</v>
      </c>
      <c r="C2" s="104"/>
      <c r="D2" s="104"/>
      <c r="F2" s="9"/>
      <c r="G2" s="9"/>
      <c r="H2" s="9"/>
    </row>
    <row r="4" spans="1:8" s="16" customFormat="1">
      <c r="B4" s="54" t="s">
        <v>140</v>
      </c>
      <c r="C4" s="54" t="s">
        <v>141</v>
      </c>
      <c r="D4" s="54" t="s">
        <v>142</v>
      </c>
      <c r="F4" s="54"/>
      <c r="G4" s="54"/>
      <c r="H4" s="54"/>
    </row>
    <row r="6" spans="1:8">
      <c r="A6" t="s">
        <v>188</v>
      </c>
      <c r="B6" s="25">
        <f>+PGE!E142</f>
        <v>50774</v>
      </c>
      <c r="C6" s="25">
        <f>+SCE!E135</f>
        <v>58229</v>
      </c>
      <c r="D6" s="25">
        <f>+SDGE!E104</f>
        <v>16548</v>
      </c>
      <c r="E6" s="25"/>
    </row>
    <row r="7" spans="1:8">
      <c r="A7" t="s">
        <v>189</v>
      </c>
      <c r="B7" s="25">
        <f>+PGE!E143</f>
        <v>29561</v>
      </c>
      <c r="C7" s="25">
        <f>+SCE!E136</f>
        <v>24673</v>
      </c>
      <c r="D7" s="25">
        <f>+SDGE!E105</f>
        <v>657</v>
      </c>
      <c r="E7" s="25"/>
    </row>
    <row r="8" spans="1:8">
      <c r="A8" t="s">
        <v>214</v>
      </c>
      <c r="B8" s="25">
        <f>+PGE!E139</f>
        <v>80335</v>
      </c>
      <c r="C8" s="25">
        <f>+SCE!E132</f>
        <v>82902</v>
      </c>
      <c r="D8" s="25">
        <f>+SDGE!E101</f>
        <v>17205</v>
      </c>
      <c r="E8" s="25"/>
    </row>
    <row r="9" spans="1:8">
      <c r="B9" s="25"/>
      <c r="C9" s="25"/>
      <c r="D9" s="25"/>
      <c r="E9" s="25"/>
    </row>
    <row r="10" spans="1:8">
      <c r="A10" t="s">
        <v>218</v>
      </c>
      <c r="B10" s="61">
        <f>93000*0.58</f>
        <v>53939.999999999993</v>
      </c>
      <c r="C10" s="25">
        <f>83000*0.66</f>
        <v>54780</v>
      </c>
      <c r="D10" s="25">
        <f>16000*0.33</f>
        <v>5280</v>
      </c>
      <c r="E10" s="25"/>
    </row>
    <row r="11" spans="1:8">
      <c r="A11" t="s">
        <v>223</v>
      </c>
      <c r="B11" s="61">
        <f>93000*0.08</f>
        <v>7440</v>
      </c>
      <c r="C11" s="25">
        <f>83000*0.14</f>
        <v>11620.000000000002</v>
      </c>
      <c r="D11" s="25">
        <f>16000*0.3</f>
        <v>4800</v>
      </c>
      <c r="E11" s="25"/>
    </row>
    <row r="12" spans="1:8">
      <c r="A12" t="s">
        <v>222</v>
      </c>
      <c r="B12" s="61">
        <f>SUM(B10:B11)</f>
        <v>61379.999999999993</v>
      </c>
      <c r="C12" s="61">
        <f>SUM(C10:C11)</f>
        <v>66400</v>
      </c>
      <c r="D12" s="61">
        <f>SUM(D10:D11)</f>
        <v>10080</v>
      </c>
      <c r="E12" s="25"/>
    </row>
    <row r="13" spans="1:8">
      <c r="B13" s="61"/>
      <c r="C13" s="25"/>
      <c r="D13" s="25"/>
      <c r="E13" s="25"/>
    </row>
    <row r="14" spans="1:8">
      <c r="A14" t="s">
        <v>221</v>
      </c>
      <c r="B14" s="25"/>
      <c r="C14" s="25"/>
      <c r="D14" s="25"/>
      <c r="E14" s="25"/>
    </row>
    <row r="15" spans="1:8">
      <c r="A15" t="s">
        <v>187</v>
      </c>
      <c r="B15" s="25">
        <f>+B10-B8</f>
        <v>-26395.000000000007</v>
      </c>
      <c r="C15" s="25">
        <f>+C10-C8</f>
        <v>-28122</v>
      </c>
      <c r="D15" s="25">
        <f>+D10-D8</f>
        <v>-11925</v>
      </c>
      <c r="E15" s="25"/>
    </row>
    <row r="16" spans="1:8">
      <c r="A16" t="s">
        <v>181</v>
      </c>
      <c r="B16" s="25">
        <f>+B10-B6</f>
        <v>3165.9999999999927</v>
      </c>
      <c r="C16" s="25">
        <f>+C10-C6</f>
        <v>-3449</v>
      </c>
      <c r="D16" s="25">
        <f>+D10-D6</f>
        <v>-11268</v>
      </c>
      <c r="E16" s="25"/>
    </row>
    <row r="17" spans="1:4">
      <c r="B17" s="50"/>
    </row>
    <row r="18" spans="1:4">
      <c r="A18" t="s">
        <v>222</v>
      </c>
      <c r="B18" s="50"/>
      <c r="C18" s="50"/>
      <c r="D18" s="50"/>
    </row>
    <row r="19" spans="1:4">
      <c r="A19" t="s">
        <v>187</v>
      </c>
      <c r="B19" s="50">
        <f>+B12-B8</f>
        <v>-18955.000000000007</v>
      </c>
      <c r="C19" s="50">
        <f>+C12-C8</f>
        <v>-16502</v>
      </c>
      <c r="D19" s="50">
        <f>+D12-D8</f>
        <v>-7125</v>
      </c>
    </row>
    <row r="20" spans="1:4">
      <c r="A20" t="s">
        <v>181</v>
      </c>
      <c r="B20" s="50">
        <f>+B12-B6</f>
        <v>10605.999999999993</v>
      </c>
      <c r="C20" s="50">
        <f>+C12-C6</f>
        <v>8171</v>
      </c>
      <c r="D20" s="50">
        <f>+D12-D6</f>
        <v>-6468</v>
      </c>
    </row>
    <row r="21" spans="1:4">
      <c r="A21" t="s">
        <v>257</v>
      </c>
      <c r="B21" s="50">
        <f>-B20/SUM($B$20:$C$20)*-$D$20</f>
        <v>-3653.384885764498</v>
      </c>
      <c r="C21" s="50">
        <f>-C20/SUM($B$20:$C$20)*-$D$20</f>
        <v>-2814.615114235502</v>
      </c>
      <c r="D21" s="50">
        <f>-(B21+C21)</f>
        <v>6468</v>
      </c>
    </row>
    <row r="22" spans="1:4">
      <c r="A22" t="s">
        <v>258</v>
      </c>
      <c r="B22" s="50">
        <f>B20+B21</f>
        <v>6952.6151142354947</v>
      </c>
      <c r="C22" s="50">
        <f>C20+C21</f>
        <v>5356.384885764498</v>
      </c>
      <c r="D22" s="50">
        <f>D20+D21</f>
        <v>0</v>
      </c>
    </row>
    <row r="23" spans="1:4">
      <c r="B23" s="50"/>
      <c r="C23" s="50"/>
      <c r="D23" s="50"/>
    </row>
    <row r="24" spans="1:4">
      <c r="A24" t="s">
        <v>259</v>
      </c>
      <c r="B24" s="98">
        <f>SUM(B22:D22)/SUM(B11:D11)</f>
        <v>0.51588432523051098</v>
      </c>
      <c r="C24" s="98"/>
      <c r="D24" s="98"/>
    </row>
    <row r="25" spans="1:4">
      <c r="A25" t="s">
        <v>260</v>
      </c>
      <c r="B25" s="58">
        <f>$B$24*-SUM(Curves!$O$7:$O$9)*'Core &amp; Non-core'!B22/SUM('Core &amp; Non-core'!$B$22:$D$22)/1000</f>
        <v>760.42370915898096</v>
      </c>
      <c r="C25" s="58">
        <f>$B$24*-SUM(Curves!$O$7:$O$9)*'Core &amp; Non-core'!C22/SUM('Core &amp; Non-core'!$B$22:$D$22)/1000</f>
        <v>585.84029111239283</v>
      </c>
      <c r="D25" s="58">
        <f>$B$24*-SUM(Curves!$O$7:$O$9)*'Core &amp; Non-core'!D22/SUM('Core &amp; Non-core'!$B$22:$D$22)/1000</f>
        <v>0</v>
      </c>
    </row>
    <row r="27" spans="1:4">
      <c r="A27" t="s">
        <v>180</v>
      </c>
    </row>
    <row r="29" spans="1:4">
      <c r="B29" s="54" t="s">
        <v>140</v>
      </c>
      <c r="C29" s="54" t="s">
        <v>141</v>
      </c>
      <c r="D29" s="54" t="s">
        <v>142</v>
      </c>
    </row>
    <row r="30" spans="1:4">
      <c r="B30" s="54"/>
      <c r="C30" s="54"/>
      <c r="D30" s="54"/>
    </row>
    <row r="31" spans="1:4">
      <c r="A31" t="s">
        <v>195</v>
      </c>
      <c r="B31" s="56">
        <f>+PGE!E13+PGE!E21</f>
        <v>28846</v>
      </c>
      <c r="C31" s="56">
        <f>+SCE!E11+SCE!E20</f>
        <v>25149</v>
      </c>
      <c r="D31" s="56">
        <f>+SDGE!E12+SDGE!E20</f>
        <v>6259</v>
      </c>
    </row>
    <row r="32" spans="1:4" s="58" customFormat="1">
      <c r="A32" s="58" t="s">
        <v>196</v>
      </c>
      <c r="B32" s="59">
        <f>+PGE!I13+PGE!I21</f>
        <v>4023.5000000000005</v>
      </c>
      <c r="C32" s="59">
        <f>+SCE!I11+SCE!I20</f>
        <v>3773.8324000000007</v>
      </c>
      <c r="D32" s="59">
        <f>+SDGE!I12+SDGE!I20</f>
        <v>1015.6</v>
      </c>
    </row>
    <row r="33" spans="1:4">
      <c r="A33" t="s">
        <v>208</v>
      </c>
      <c r="B33" s="57">
        <f>+B32/B31*100</f>
        <v>13.948207723774528</v>
      </c>
      <c r="C33" s="57">
        <f>+C32/C31*100</f>
        <v>15.005894468964973</v>
      </c>
      <c r="D33" s="57">
        <f>+D32/D31*100</f>
        <v>16.226234222719285</v>
      </c>
    </row>
    <row r="34" spans="1:4">
      <c r="B34" s="56"/>
      <c r="C34" s="56"/>
      <c r="D34" s="56"/>
    </row>
    <row r="35" spans="1:4">
      <c r="A35" t="s">
        <v>198</v>
      </c>
      <c r="B35" s="56">
        <f t="shared" ref="B35:D36" si="0">+B39-B31</f>
        <v>21928</v>
      </c>
      <c r="C35" s="56">
        <f t="shared" si="0"/>
        <v>33080</v>
      </c>
      <c r="D35" s="56">
        <f t="shared" si="0"/>
        <v>10289</v>
      </c>
    </row>
    <row r="36" spans="1:4" s="58" customFormat="1">
      <c r="A36" s="58" t="s">
        <v>197</v>
      </c>
      <c r="B36" s="59">
        <f t="shared" si="0"/>
        <v>2828.1</v>
      </c>
      <c r="C36" s="59">
        <f t="shared" si="0"/>
        <v>4471.6088</v>
      </c>
      <c r="D36" s="59">
        <f t="shared" si="0"/>
        <v>1619.4</v>
      </c>
    </row>
    <row r="37" spans="1:4">
      <c r="A37" t="s">
        <v>208</v>
      </c>
      <c r="B37" s="57">
        <f>+B36/B35*100</f>
        <v>12.897209047792776</v>
      </c>
      <c r="C37" s="57">
        <f>+C36/C35*100</f>
        <v>13.517559854897218</v>
      </c>
      <c r="D37" s="57">
        <f>+D36/D35*100</f>
        <v>15.739138886189135</v>
      </c>
    </row>
    <row r="39" spans="1:4">
      <c r="A39" t="s">
        <v>190</v>
      </c>
      <c r="B39" s="25">
        <f>+B6</f>
        <v>50774</v>
      </c>
      <c r="C39" s="25">
        <f>+C6</f>
        <v>58229</v>
      </c>
      <c r="D39" s="25">
        <f>+D6</f>
        <v>16548</v>
      </c>
    </row>
    <row r="40" spans="1:4" s="58" customFormat="1">
      <c r="A40" s="58" t="s">
        <v>191</v>
      </c>
      <c r="B40" s="58">
        <f>+PGE!I142</f>
        <v>6851.6</v>
      </c>
      <c r="C40" s="58">
        <f>+SCE!I135</f>
        <v>8245.4412000000011</v>
      </c>
      <c r="D40" s="58">
        <f>+SDGE!I104</f>
        <v>2635</v>
      </c>
    </row>
    <row r="41" spans="1:4">
      <c r="A41" t="s">
        <v>208</v>
      </c>
      <c r="B41" s="55">
        <f>+B40/B39*100</f>
        <v>13.494308110450232</v>
      </c>
      <c r="C41" s="55">
        <f>+C40/C39*100</f>
        <v>14.160368888354602</v>
      </c>
      <c r="D41" s="55">
        <f>+D40/D39*100</f>
        <v>15.923374425912499</v>
      </c>
    </row>
    <row r="43" spans="1:4">
      <c r="A43" t="s">
        <v>192</v>
      </c>
      <c r="B43" s="50">
        <f>+B7</f>
        <v>29561</v>
      </c>
      <c r="C43" s="50">
        <f>+C7</f>
        <v>24673</v>
      </c>
      <c r="D43" s="50">
        <f>+D7</f>
        <v>657</v>
      </c>
    </row>
    <row r="44" spans="1:4" s="58" customFormat="1">
      <c r="A44" s="58" t="s">
        <v>206</v>
      </c>
      <c r="B44" s="58">
        <f>+PGE!I143</f>
        <v>3414.7</v>
      </c>
      <c r="C44" s="58">
        <f>+SCE!I136</f>
        <v>3009.1520999999998</v>
      </c>
      <c r="D44" s="58">
        <f>+SDGE!I105</f>
        <v>78.8</v>
      </c>
    </row>
    <row r="45" spans="1:4">
      <c r="A45" t="s">
        <v>208</v>
      </c>
      <c r="B45" s="55">
        <f>+B44/B43*100</f>
        <v>11.5513683569568</v>
      </c>
      <c r="C45" s="55">
        <f>+C44/C43*100</f>
        <v>12.196133830502978</v>
      </c>
      <c r="D45" s="55">
        <f>+D44/D43*100</f>
        <v>11.993911719939117</v>
      </c>
    </row>
    <row r="48" spans="1:4">
      <c r="B48" s="54" t="s">
        <v>140</v>
      </c>
      <c r="C48" s="54" t="s">
        <v>141</v>
      </c>
      <c r="D48" s="54" t="s">
        <v>142</v>
      </c>
    </row>
    <row r="50" spans="1:4">
      <c r="A50" t="s">
        <v>199</v>
      </c>
      <c r="B50" s="58">
        <f>83000*0.98*0.01</f>
        <v>813.4</v>
      </c>
      <c r="C50" s="58">
        <v>400</v>
      </c>
      <c r="D50" s="58">
        <f>16000*0.96*0.012</f>
        <v>184.32</v>
      </c>
    </row>
    <row r="51" spans="1:4">
      <c r="A51" t="s">
        <v>200</v>
      </c>
      <c r="B51" s="58">
        <f>83000*0.98*0.033</f>
        <v>2684.2200000000003</v>
      </c>
      <c r="C51" s="58">
        <v>2700</v>
      </c>
      <c r="D51" s="58">
        <f>16000*0.96*0.053</f>
        <v>814.07999999999993</v>
      </c>
    </row>
    <row r="52" spans="1:4">
      <c r="A52" t="s">
        <v>201</v>
      </c>
      <c r="B52" s="58">
        <f>83000*0.98*0.007</f>
        <v>569.38</v>
      </c>
      <c r="C52" s="58">
        <v>300</v>
      </c>
      <c r="D52" s="58">
        <f>16000*0.96*0.004</f>
        <v>61.44</v>
      </c>
    </row>
    <row r="53" spans="1:4">
      <c r="A53" t="s">
        <v>202</v>
      </c>
      <c r="B53" s="58">
        <f>83000*0.98*0.043</f>
        <v>3497.62</v>
      </c>
      <c r="C53" s="58">
        <v>3900</v>
      </c>
      <c r="D53" s="58">
        <f>16000*0.96*0.024</f>
        <v>368.64</v>
      </c>
    </row>
    <row r="54" spans="1:4">
      <c r="B54" s="58"/>
      <c r="C54" s="58"/>
      <c r="D54" s="58"/>
    </row>
    <row r="55" spans="1:4">
      <c r="A55" t="s">
        <v>203</v>
      </c>
      <c r="B55" s="58">
        <f>SUM(B50:B54)</f>
        <v>7564.6200000000008</v>
      </c>
      <c r="C55" s="58">
        <f>SUM(C50:C54)</f>
        <v>7300</v>
      </c>
      <c r="D55" s="58">
        <f>SUM(D50:D54)</f>
        <v>1428.48</v>
      </c>
    </row>
    <row r="56" spans="1:4">
      <c r="B56" s="58"/>
      <c r="C56" s="58"/>
      <c r="D56" s="58"/>
    </row>
    <row r="57" spans="1:4">
      <c r="A57" t="s">
        <v>204</v>
      </c>
      <c r="B57" s="58">
        <f>+B59-B55</f>
        <v>2701.6799999999985</v>
      </c>
      <c r="C57" s="58">
        <f>+C59-C55</f>
        <v>3954.5933000000005</v>
      </c>
      <c r="D57" s="58">
        <f>+D59-D55</f>
        <v>1285.3200000000002</v>
      </c>
    </row>
    <row r="58" spans="1:4">
      <c r="B58" s="58"/>
      <c r="C58" s="58"/>
      <c r="D58" s="58"/>
    </row>
    <row r="59" spans="1:4">
      <c r="A59" t="s">
        <v>205</v>
      </c>
      <c r="B59" s="58">
        <f>+B40+B44</f>
        <v>10266.299999999999</v>
      </c>
      <c r="C59" s="58">
        <f>+C40+C44</f>
        <v>11254.5933</v>
      </c>
      <c r="D59" s="58">
        <f>+D40+D44</f>
        <v>2713.8</v>
      </c>
    </row>
    <row r="61" spans="1:4">
      <c r="A61" t="s">
        <v>207</v>
      </c>
      <c r="B61" s="60">
        <f>+B57/B8*100</f>
        <v>3.3630173647849615</v>
      </c>
      <c r="C61" s="60">
        <f>+C57/C8*100</f>
        <v>4.7702025282864113</v>
      </c>
      <c r="D61" s="60">
        <f>+D57/D8*100</f>
        <v>7.4706190061028783</v>
      </c>
    </row>
    <row r="64" spans="1:4">
      <c r="A64" s="63" t="s">
        <v>209</v>
      </c>
      <c r="B64" s="64"/>
      <c r="C64" s="64"/>
      <c r="D64" s="65"/>
    </row>
    <row r="65" spans="1:4">
      <c r="A65" s="66"/>
      <c r="B65" s="67"/>
      <c r="C65" s="68"/>
      <c r="D65" s="69"/>
    </row>
    <row r="66" spans="1:4">
      <c r="A66" s="66" t="s">
        <v>213</v>
      </c>
      <c r="B66" s="70">
        <f>+B52*(B39/B8)</f>
        <v>359.86431966141782</v>
      </c>
      <c r="C66" s="70">
        <f>+C52*(C39/C8)</f>
        <v>210.71506115654626</v>
      </c>
      <c r="D66" s="71">
        <f>+D52*(D39/D8)</f>
        <v>59.093816913687881</v>
      </c>
    </row>
    <row r="67" spans="1:4">
      <c r="A67" s="66" t="s">
        <v>202</v>
      </c>
      <c r="B67" s="70">
        <f>+B53</f>
        <v>3497.62</v>
      </c>
      <c r="C67" s="70">
        <f>+C53</f>
        <v>3900</v>
      </c>
      <c r="D67" s="71">
        <f>+D53</f>
        <v>368.64</v>
      </c>
    </row>
    <row r="68" spans="1:4">
      <c r="A68" s="66" t="s">
        <v>210</v>
      </c>
      <c r="B68" s="70">
        <f>+B50*(B39/B8)</f>
        <v>514.09188523059686</v>
      </c>
      <c r="C68" s="70">
        <f>+C50*(C39/C8)</f>
        <v>280.95341487539503</v>
      </c>
      <c r="D68" s="71">
        <f>+D50*(D39/D8)</f>
        <v>177.28145074106362</v>
      </c>
    </row>
    <row r="69" spans="1:4">
      <c r="A69" s="66" t="s">
        <v>215</v>
      </c>
      <c r="B69" s="70">
        <f>((0.08*B8)*133)/1000</f>
        <v>854.76440000000002</v>
      </c>
      <c r="C69" s="70">
        <f>((0.14*C8)*133)/1000</f>
        <v>1543.6352400000001</v>
      </c>
      <c r="D69" s="71">
        <f>((0.3*D8)*133)/1000</f>
        <v>686.47950000000003</v>
      </c>
    </row>
    <row r="70" spans="1:4">
      <c r="A70" s="66" t="s">
        <v>219</v>
      </c>
      <c r="B70" s="99">
        <f>+B57*(B39/B8)</f>
        <v>1707.5384367959164</v>
      </c>
      <c r="C70" s="99">
        <f>+C57*(C39/C8)</f>
        <v>2777.641230195894</v>
      </c>
      <c r="D70" s="100">
        <f>+D57*(D39/D8)</f>
        <v>1236.2380331299044</v>
      </c>
    </row>
    <row r="71" spans="1:4">
      <c r="A71" s="66" t="s">
        <v>261</v>
      </c>
      <c r="B71" s="99">
        <f>-B25</f>
        <v>-760.42370915898096</v>
      </c>
      <c r="C71" s="99">
        <f>-C25</f>
        <v>-585.84029111239283</v>
      </c>
      <c r="D71" s="100">
        <f>-D25</f>
        <v>0</v>
      </c>
    </row>
    <row r="72" spans="1:4">
      <c r="A72" s="66"/>
      <c r="B72" s="70"/>
      <c r="C72" s="70"/>
      <c r="D72" s="71"/>
    </row>
    <row r="73" spans="1:4">
      <c r="A73" s="66" t="s">
        <v>47</v>
      </c>
      <c r="B73" s="70">
        <f>SUM(B66:B72)</f>
        <v>6173.4553325289498</v>
      </c>
      <c r="C73" s="70">
        <f>SUM(C66:C72)</f>
        <v>8127.1046551154423</v>
      </c>
      <c r="D73" s="71">
        <f>SUM(D66:D72)</f>
        <v>2527.7328007846559</v>
      </c>
    </row>
    <row r="74" spans="1:4">
      <c r="A74" s="66"/>
      <c r="B74" s="67"/>
      <c r="C74" s="67"/>
      <c r="D74" s="72"/>
    </row>
    <row r="75" spans="1:4">
      <c r="A75" s="66" t="s">
        <v>220</v>
      </c>
      <c r="B75" s="73">
        <f>+B39</f>
        <v>50774</v>
      </c>
      <c r="C75" s="73">
        <f>+C39</f>
        <v>58229</v>
      </c>
      <c r="D75" s="74">
        <f>+D39</f>
        <v>16548</v>
      </c>
    </row>
    <row r="76" spans="1:4">
      <c r="A76" s="66"/>
      <c r="B76" s="67"/>
      <c r="C76" s="67"/>
      <c r="D76" s="72"/>
    </row>
    <row r="77" spans="1:4">
      <c r="A77" s="66" t="s">
        <v>211</v>
      </c>
      <c r="B77" s="75">
        <f>+B73/B75*100</f>
        <v>12.158694080688836</v>
      </c>
      <c r="C77" s="75">
        <f>+C73/C75*100</f>
        <v>13.957142755526355</v>
      </c>
      <c r="D77" s="76">
        <f>+D73/D75*100</f>
        <v>15.275155914821465</v>
      </c>
    </row>
    <row r="78" spans="1:4">
      <c r="A78" s="66"/>
      <c r="B78" s="67"/>
      <c r="C78" s="68"/>
      <c r="D78" s="69"/>
    </row>
    <row r="79" spans="1:4">
      <c r="A79" s="77" t="s">
        <v>212</v>
      </c>
      <c r="B79" s="78">
        <f>+B41</f>
        <v>13.494308110450232</v>
      </c>
      <c r="C79" s="78">
        <f>+C41</f>
        <v>14.160368888354602</v>
      </c>
      <c r="D79" s="79">
        <f>+D41</f>
        <v>15.923374425912499</v>
      </c>
    </row>
    <row r="80" spans="1:4">
      <c r="B80" s="31"/>
    </row>
    <row r="81" spans="1:2">
      <c r="A81" t="s">
        <v>217</v>
      </c>
      <c r="B81" s="31"/>
    </row>
    <row r="82" spans="1:2">
      <c r="A82" s="62" t="s">
        <v>216</v>
      </c>
      <c r="B82" s="31"/>
    </row>
    <row r="83" spans="1:2">
      <c r="B83" s="31"/>
    </row>
    <row r="84" spans="1:2">
      <c r="B84" s="31"/>
    </row>
    <row r="85" spans="1:2">
      <c r="B85" s="31"/>
    </row>
  </sheetData>
  <mergeCells count="1">
    <mergeCell ref="B2:D2"/>
  </mergeCells>
  <phoneticPr fontId="0" type="noConversion"/>
  <pageMargins left="0.75" right="0.75" top="1" bottom="1" header="0.5" footer="0.5"/>
  <pageSetup scale="61" orientation="portrait" horizontalDpi="12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tabSelected="1" workbookViewId="0">
      <selection activeCell="B6" sqref="B6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8.88671875" customWidth="1"/>
  </cols>
  <sheetData>
    <row r="2" spans="1:11">
      <c r="B2" s="54"/>
      <c r="C2" s="54"/>
      <c r="D2" s="9"/>
      <c r="F2" s="9"/>
      <c r="G2" s="9"/>
      <c r="H2" s="9"/>
    </row>
    <row r="4" spans="1:11" s="16" customFormat="1">
      <c r="B4" s="54">
        <v>2001</v>
      </c>
      <c r="C4" s="54">
        <v>2002</v>
      </c>
      <c r="D4" s="54">
        <v>2003</v>
      </c>
      <c r="E4" s="54">
        <v>2004</v>
      </c>
      <c r="F4" s="54">
        <v>2005</v>
      </c>
      <c r="G4" s="54">
        <v>2006</v>
      </c>
      <c r="H4" s="54">
        <v>2007</v>
      </c>
      <c r="I4" s="54">
        <v>2008</v>
      </c>
      <c r="J4" s="54">
        <v>2009</v>
      </c>
      <c r="K4" s="54">
        <v>2010</v>
      </c>
    </row>
    <row r="6" spans="1:11">
      <c r="A6" t="s">
        <v>188</v>
      </c>
      <c r="B6" s="81">
        <f>'Core &amp; Non-core'!B6</f>
        <v>50774</v>
      </c>
      <c r="C6" s="81"/>
    </row>
    <row r="7" spans="1:11">
      <c r="A7" t="s">
        <v>189</v>
      </c>
      <c r="B7" s="81">
        <f>'Core &amp; Non-core'!B7</f>
        <v>29561</v>
      </c>
      <c r="C7" s="81"/>
    </row>
    <row r="8" spans="1:11">
      <c r="A8" t="s">
        <v>214</v>
      </c>
      <c r="B8" s="81">
        <f>'Core &amp; Non-core'!B8</f>
        <v>80335</v>
      </c>
      <c r="C8" s="81"/>
    </row>
    <row r="9" spans="1:11">
      <c r="B9" s="81"/>
      <c r="C9" s="81"/>
    </row>
    <row r="10" spans="1:11">
      <c r="A10" t="s">
        <v>218</v>
      </c>
      <c r="B10" s="81">
        <f>'Core &amp; Non-core'!B10</f>
        <v>53939.999999999993</v>
      </c>
      <c r="C10" s="81"/>
    </row>
    <row r="11" spans="1:11">
      <c r="A11" t="s">
        <v>223</v>
      </c>
      <c r="B11" s="81">
        <f>'Core &amp; Non-core'!B11</f>
        <v>7440</v>
      </c>
      <c r="C11" s="81"/>
    </row>
    <row r="12" spans="1:11">
      <c r="A12" t="s">
        <v>222</v>
      </c>
      <c r="B12" s="81">
        <f>'Core &amp; Non-core'!B12</f>
        <v>61379.999999999993</v>
      </c>
      <c r="C12" s="81"/>
    </row>
    <row r="13" spans="1:11">
      <c r="B13" s="86"/>
      <c r="C13" s="81"/>
    </row>
    <row r="14" spans="1:11">
      <c r="A14" t="s">
        <v>221</v>
      </c>
      <c r="B14" s="81"/>
      <c r="C14" s="81"/>
    </row>
    <row r="15" spans="1:11">
      <c r="A15" t="s">
        <v>187</v>
      </c>
      <c r="B15" s="81">
        <f>'Core &amp; Non-core'!B15</f>
        <v>-26395.000000000007</v>
      </c>
      <c r="C15" s="81"/>
    </row>
    <row r="16" spans="1:11">
      <c r="A16" t="s">
        <v>181</v>
      </c>
      <c r="B16" s="81">
        <f>'Core &amp; Non-core'!B16</f>
        <v>3165.9999999999927</v>
      </c>
      <c r="C16" s="81"/>
    </row>
    <row r="17" spans="1:2">
      <c r="B17" s="50"/>
    </row>
    <row r="18" spans="1:2">
      <c r="A18" t="s">
        <v>222</v>
      </c>
      <c r="B18" s="50"/>
    </row>
    <row r="19" spans="1:2">
      <c r="A19" t="s">
        <v>187</v>
      </c>
      <c r="B19" s="81">
        <f>'Core &amp; Non-core'!B19</f>
        <v>-18955.000000000007</v>
      </c>
    </row>
    <row r="20" spans="1:2">
      <c r="A20" t="s">
        <v>181</v>
      </c>
      <c r="B20" s="81">
        <f>'Core &amp; Non-core'!B20</f>
        <v>10605.999999999993</v>
      </c>
    </row>
    <row r="21" spans="1:2">
      <c r="A21" t="s">
        <v>257</v>
      </c>
      <c r="B21" s="81">
        <f>'Core &amp; Non-core'!B21</f>
        <v>-3653.384885764498</v>
      </c>
    </row>
    <row r="22" spans="1:2">
      <c r="A22" t="s">
        <v>258</v>
      </c>
      <c r="B22" s="81">
        <f>'Core &amp; Non-core'!B22</f>
        <v>6952.6151142354947</v>
      </c>
    </row>
    <row r="23" spans="1:2">
      <c r="B23" s="50"/>
    </row>
    <row r="24" spans="1:2">
      <c r="A24" t="s">
        <v>259</v>
      </c>
      <c r="B24" s="101">
        <f>SUM(B22:B22)/SUM(B11:B11)</f>
        <v>0.93449127879509342</v>
      </c>
    </row>
    <row r="25" spans="1:2">
      <c r="A25" t="s">
        <v>260</v>
      </c>
      <c r="B25" s="82">
        <f>$B$24*-SUM(Curves!$O$7:$O$9)*'PGE - Core Analysis'!B22/SUM('PGE - Core Analysis'!$B$22:$B$22)/1000</f>
        <v>2438.6706586738296</v>
      </c>
    </row>
    <row r="27" spans="1:2">
      <c r="A27" t="s">
        <v>180</v>
      </c>
    </row>
    <row r="29" spans="1:2">
      <c r="B29" s="54" t="s">
        <v>140</v>
      </c>
    </row>
    <row r="30" spans="1:2">
      <c r="B30" s="54"/>
    </row>
    <row r="31" spans="1:2">
      <c r="A31" t="s">
        <v>195</v>
      </c>
      <c r="B31" s="81">
        <f>'Core &amp; Non-core'!B31</f>
        <v>28846</v>
      </c>
    </row>
    <row r="32" spans="1:2" s="82" customFormat="1">
      <c r="A32" s="82" t="s">
        <v>196</v>
      </c>
      <c r="B32" s="81">
        <f>'Core &amp; Non-core'!B32</f>
        <v>4023.5000000000005</v>
      </c>
    </row>
    <row r="33" spans="1:2">
      <c r="A33" t="s">
        <v>208</v>
      </c>
      <c r="B33" s="57">
        <f>+B32/B31*100</f>
        <v>13.948207723774528</v>
      </c>
    </row>
    <row r="34" spans="1:2">
      <c r="B34" s="56"/>
    </row>
    <row r="35" spans="1:2">
      <c r="A35" t="s">
        <v>198</v>
      </c>
      <c r="B35" s="81">
        <f>'Core &amp; Non-core'!B35</f>
        <v>21928</v>
      </c>
    </row>
    <row r="36" spans="1:2" s="82" customFormat="1">
      <c r="A36" s="82" t="s">
        <v>197</v>
      </c>
      <c r="B36" s="81">
        <f>'Core &amp; Non-core'!B36</f>
        <v>2828.1</v>
      </c>
    </row>
    <row r="37" spans="1:2">
      <c r="A37" t="s">
        <v>208</v>
      </c>
      <c r="B37" s="57">
        <f>+B36/B35*100</f>
        <v>12.897209047792776</v>
      </c>
    </row>
    <row r="39" spans="1:2">
      <c r="A39" t="s">
        <v>190</v>
      </c>
      <c r="B39" s="81">
        <f>'Core &amp; Non-core'!B39</f>
        <v>50774</v>
      </c>
    </row>
    <row r="40" spans="1:2" s="82" customFormat="1">
      <c r="A40" s="82" t="s">
        <v>191</v>
      </c>
      <c r="B40" s="81">
        <f>'Core &amp; Non-core'!B40</f>
        <v>6851.6</v>
      </c>
    </row>
    <row r="41" spans="1:2">
      <c r="A41" t="s">
        <v>208</v>
      </c>
      <c r="B41" s="55">
        <f>+B40/B39*100</f>
        <v>13.494308110450232</v>
      </c>
    </row>
    <row r="43" spans="1:2">
      <c r="A43" t="s">
        <v>192</v>
      </c>
      <c r="B43" s="81">
        <f>'Core &amp; Non-core'!B43</f>
        <v>29561</v>
      </c>
    </row>
    <row r="44" spans="1:2" s="82" customFormat="1">
      <c r="A44" s="82" t="s">
        <v>206</v>
      </c>
      <c r="B44" s="81">
        <f>'Core &amp; Non-core'!B44</f>
        <v>3414.7</v>
      </c>
    </row>
    <row r="45" spans="1:2">
      <c r="A45" t="s">
        <v>208</v>
      </c>
      <c r="B45" s="55">
        <f>+B44/B43*100</f>
        <v>11.5513683569568</v>
      </c>
    </row>
    <row r="48" spans="1:2">
      <c r="B48" s="54" t="s">
        <v>140</v>
      </c>
    </row>
    <row r="50" spans="1:2">
      <c r="A50" t="s">
        <v>199</v>
      </c>
      <c r="B50" s="82">
        <f>83000*0.98*0.01</f>
        <v>813.4</v>
      </c>
    </row>
    <row r="51" spans="1:2">
      <c r="A51" t="s">
        <v>200</v>
      </c>
      <c r="B51" s="82">
        <f>83000*0.98*0.033</f>
        <v>2684.2200000000003</v>
      </c>
    </row>
    <row r="52" spans="1:2">
      <c r="A52" t="s">
        <v>201</v>
      </c>
      <c r="B52" s="82">
        <f>83000*0.98*0.007</f>
        <v>569.38</v>
      </c>
    </row>
    <row r="53" spans="1:2">
      <c r="A53" t="s">
        <v>202</v>
      </c>
      <c r="B53" s="82">
        <f>83000*0.98*0.043</f>
        <v>3497.62</v>
      </c>
    </row>
    <row r="54" spans="1:2">
      <c r="B54" s="82"/>
    </row>
    <row r="55" spans="1:2">
      <c r="A55" t="s">
        <v>203</v>
      </c>
      <c r="B55" s="82">
        <f>SUM(B50:B54)</f>
        <v>7564.6200000000008</v>
      </c>
    </row>
    <row r="56" spans="1:2">
      <c r="B56" s="82"/>
    </row>
    <row r="57" spans="1:2">
      <c r="A57" t="s">
        <v>204</v>
      </c>
      <c r="B57" s="82">
        <f>+B59-B55</f>
        <v>2701.6799999999985</v>
      </c>
    </row>
    <row r="58" spans="1:2">
      <c r="B58" s="82"/>
    </row>
    <row r="59" spans="1:2">
      <c r="A59" t="s">
        <v>205</v>
      </c>
      <c r="B59" s="82">
        <f>+B40+B44</f>
        <v>10266.299999999999</v>
      </c>
    </row>
    <row r="61" spans="1:2">
      <c r="A61" t="s">
        <v>207</v>
      </c>
      <c r="B61" s="87">
        <f>+B57/B8*100</f>
        <v>3.3630173647849615</v>
      </c>
    </row>
    <row r="64" spans="1:2">
      <c r="A64" s="63" t="s">
        <v>209</v>
      </c>
      <c r="B64" s="64"/>
    </row>
    <row r="65" spans="1:2">
      <c r="A65" s="66"/>
      <c r="B65" s="88"/>
    </row>
    <row r="66" spans="1:2">
      <c r="A66" s="66" t="s">
        <v>213</v>
      </c>
      <c r="B66" s="85">
        <f>+B52*(B39/B8)</f>
        <v>359.86431966141782</v>
      </c>
    </row>
    <row r="67" spans="1:2">
      <c r="A67" s="66" t="s">
        <v>202</v>
      </c>
      <c r="B67" s="85">
        <f>+B53</f>
        <v>3497.62</v>
      </c>
    </row>
    <row r="68" spans="1:2">
      <c r="A68" s="66" t="s">
        <v>210</v>
      </c>
      <c r="B68" s="85">
        <f>+B50*(B39/B8)</f>
        <v>514.09188523059686</v>
      </c>
    </row>
    <row r="69" spans="1:2">
      <c r="A69" s="66" t="s">
        <v>215</v>
      </c>
      <c r="B69" s="85">
        <f>((0.08*B8)*133)/1000</f>
        <v>854.76440000000002</v>
      </c>
    </row>
    <row r="70" spans="1:2">
      <c r="A70" s="66" t="s">
        <v>219</v>
      </c>
      <c r="B70" s="102">
        <f>+B57*(B39/B8)</f>
        <v>1707.5384367959164</v>
      </c>
    </row>
    <row r="71" spans="1:2">
      <c r="A71" s="66" t="s">
        <v>261</v>
      </c>
      <c r="B71" s="102">
        <f>-B25</f>
        <v>-2438.6706586738296</v>
      </c>
    </row>
    <row r="72" spans="1:2">
      <c r="A72" s="66"/>
      <c r="B72" s="85"/>
    </row>
    <row r="73" spans="1:2">
      <c r="A73" s="66" t="s">
        <v>47</v>
      </c>
      <c r="B73" s="85">
        <f>SUM(B66:B72)</f>
        <v>4495.2083830141019</v>
      </c>
    </row>
    <row r="74" spans="1:2">
      <c r="A74" s="66"/>
      <c r="B74" s="88"/>
    </row>
    <row r="75" spans="1:2">
      <c r="A75" s="66" t="s">
        <v>220</v>
      </c>
      <c r="B75" s="91">
        <f>+B39</f>
        <v>50774</v>
      </c>
    </row>
    <row r="76" spans="1:2">
      <c r="A76" s="66"/>
      <c r="B76" s="88"/>
    </row>
    <row r="77" spans="1:2">
      <c r="A77" s="66" t="s">
        <v>211</v>
      </c>
      <c r="B77" s="93">
        <f>+B73/B75*100</f>
        <v>8.8533666502818402</v>
      </c>
    </row>
    <row r="78" spans="1:2">
      <c r="A78" s="66"/>
      <c r="B78" s="88"/>
    </row>
    <row r="79" spans="1:2">
      <c r="A79" s="77" t="s">
        <v>212</v>
      </c>
      <c r="B79" s="95">
        <f>+B41</f>
        <v>13.494308110450232</v>
      </c>
    </row>
    <row r="80" spans="1:2">
      <c r="B80" s="97"/>
    </row>
    <row r="81" spans="1:2">
      <c r="A81" t="s">
        <v>217</v>
      </c>
      <c r="B81" s="97"/>
    </row>
    <row r="82" spans="1:2">
      <c r="A82" s="62" t="s">
        <v>216</v>
      </c>
      <c r="B82" s="97"/>
    </row>
    <row r="83" spans="1:2">
      <c r="B83" s="97"/>
    </row>
    <row r="84" spans="1:2">
      <c r="B84" s="97"/>
    </row>
    <row r="85" spans="1:2">
      <c r="B85" s="97"/>
    </row>
  </sheetData>
  <phoneticPr fontId="0" type="noConversion"/>
  <pageMargins left="0.75" right="0.75" top="1" bottom="1" header="0.5" footer="0.5"/>
  <pageSetup scale="61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85"/>
  <sheetViews>
    <sheetView topLeftCell="A6" workbookViewId="0">
      <selection activeCell="B30" sqref="B30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</cols>
  <sheetData>
    <row r="2" spans="1:8">
      <c r="B2" s="104">
        <v>2001</v>
      </c>
      <c r="C2" s="104"/>
      <c r="D2" s="104"/>
      <c r="F2" s="9"/>
      <c r="G2" s="9"/>
      <c r="H2" s="9"/>
    </row>
    <row r="4" spans="1:8" s="16" customFormat="1">
      <c r="B4" s="54" t="s">
        <v>140</v>
      </c>
      <c r="C4" s="54" t="s">
        <v>141</v>
      </c>
      <c r="D4" s="54" t="s">
        <v>142</v>
      </c>
      <c r="F4" s="54"/>
      <c r="G4" s="54"/>
      <c r="H4" s="54"/>
    </row>
    <row r="6" spans="1:8">
      <c r="A6" t="s">
        <v>188</v>
      </c>
      <c r="B6" s="81">
        <f>+PGE!E142</f>
        <v>50774</v>
      </c>
      <c r="C6" s="81">
        <f>+SCE!E135</f>
        <v>58229</v>
      </c>
      <c r="D6" s="81">
        <f>+SDGE!E104</f>
        <v>16548</v>
      </c>
      <c r="E6" s="81"/>
    </row>
    <row r="7" spans="1:8">
      <c r="A7" t="s">
        <v>189</v>
      </c>
      <c r="B7" s="81">
        <f>+PGE!E143</f>
        <v>29561</v>
      </c>
      <c r="C7" s="81">
        <f>+SCE!E136</f>
        <v>24673</v>
      </c>
      <c r="D7" s="81">
        <f>+SDGE!E105</f>
        <v>657</v>
      </c>
      <c r="E7" s="81"/>
    </row>
    <row r="8" spans="1:8">
      <c r="A8" t="s">
        <v>214</v>
      </c>
      <c r="B8" s="81">
        <f>+PGE!E139</f>
        <v>80335</v>
      </c>
      <c r="C8" s="81">
        <f>+SCE!E132</f>
        <v>82902</v>
      </c>
      <c r="D8" s="81">
        <f>+SDGE!E101</f>
        <v>17205</v>
      </c>
      <c r="E8" s="81"/>
    </row>
    <row r="9" spans="1:8">
      <c r="B9" s="81"/>
      <c r="C9" s="81"/>
      <c r="D9" s="81"/>
      <c r="E9" s="81"/>
    </row>
    <row r="10" spans="1:8">
      <c r="A10" t="s">
        <v>218</v>
      </c>
      <c r="B10" s="86">
        <f>93000*0.58</f>
        <v>53939.999999999993</v>
      </c>
      <c r="C10" s="81">
        <f>83000*0.66</f>
        <v>54780</v>
      </c>
      <c r="D10" s="81">
        <f>16000*0.33</f>
        <v>5280</v>
      </c>
      <c r="E10" s="81"/>
    </row>
    <row r="11" spans="1:8">
      <c r="A11" t="s">
        <v>223</v>
      </c>
      <c r="B11" s="86">
        <f>93000*0.08</f>
        <v>7440</v>
      </c>
      <c r="C11" s="81">
        <f>83000*0.14</f>
        <v>11620.000000000002</v>
      </c>
      <c r="D11" s="81">
        <f>16000*0.3</f>
        <v>4800</v>
      </c>
      <c r="E11" s="81"/>
    </row>
    <row r="12" spans="1:8">
      <c r="A12" t="s">
        <v>222</v>
      </c>
      <c r="B12" s="86">
        <f>SUM(B10:B11)</f>
        <v>61379.999999999993</v>
      </c>
      <c r="C12" s="86">
        <f>SUM(C10:C11)</f>
        <v>66400</v>
      </c>
      <c r="D12" s="86">
        <f>SUM(D10:D11)</f>
        <v>10080</v>
      </c>
      <c r="E12" s="81"/>
    </row>
    <row r="13" spans="1:8">
      <c r="B13" s="86"/>
      <c r="C13" s="81"/>
      <c r="D13" s="81"/>
      <c r="E13" s="81"/>
    </row>
    <row r="14" spans="1:8">
      <c r="A14" t="s">
        <v>221</v>
      </c>
      <c r="B14" s="81"/>
      <c r="C14" s="81"/>
      <c r="D14" s="81"/>
      <c r="E14" s="81"/>
    </row>
    <row r="15" spans="1:8">
      <c r="A15" t="s">
        <v>187</v>
      </c>
      <c r="B15" s="81">
        <f>+B10-B8</f>
        <v>-26395.000000000007</v>
      </c>
      <c r="C15" s="81">
        <f>+C10-C8</f>
        <v>-28122</v>
      </c>
      <c r="D15" s="81">
        <f>+D10-D8</f>
        <v>-11925</v>
      </c>
      <c r="E15" s="81"/>
    </row>
    <row r="16" spans="1:8">
      <c r="A16" t="s">
        <v>181</v>
      </c>
      <c r="B16" s="81">
        <f>+B10-B6</f>
        <v>3165.9999999999927</v>
      </c>
      <c r="C16" s="81">
        <f>+C10-C6</f>
        <v>-3449</v>
      </c>
      <c r="D16" s="81">
        <f>+D10-D6</f>
        <v>-11268</v>
      </c>
      <c r="E16" s="81"/>
    </row>
    <row r="17" spans="1:4">
      <c r="B17" s="50"/>
    </row>
    <row r="18" spans="1:4">
      <c r="A18" t="s">
        <v>222</v>
      </c>
      <c r="B18" s="50"/>
      <c r="C18" s="50"/>
      <c r="D18" s="50"/>
    </row>
    <row r="19" spans="1:4">
      <c r="A19" t="s">
        <v>187</v>
      </c>
      <c r="B19" s="50">
        <f>+B12-B8</f>
        <v>-18955.000000000007</v>
      </c>
      <c r="C19" s="50">
        <f>+C12-C8</f>
        <v>-16502</v>
      </c>
      <c r="D19" s="50">
        <f>+D12-D8</f>
        <v>-7125</v>
      </c>
    </row>
    <row r="20" spans="1:4">
      <c r="A20" t="s">
        <v>181</v>
      </c>
      <c r="B20" s="50">
        <f>+B12-B6</f>
        <v>10605.999999999993</v>
      </c>
      <c r="C20" s="50">
        <f>+C12-C6</f>
        <v>8171</v>
      </c>
      <c r="D20" s="50">
        <f>+D12-D6</f>
        <v>-6468</v>
      </c>
    </row>
    <row r="21" spans="1:4">
      <c r="A21" t="s">
        <v>257</v>
      </c>
      <c r="B21" s="50">
        <f>-B20/SUM($B$20:$C$20)*-$D$20</f>
        <v>-3653.384885764498</v>
      </c>
      <c r="C21" s="50">
        <f>-C20/SUM($B$20:$C$20)*-$D$20</f>
        <v>-2814.615114235502</v>
      </c>
      <c r="D21" s="50">
        <f>-(B21+C21)</f>
        <v>6468</v>
      </c>
    </row>
    <row r="22" spans="1:4">
      <c r="A22" t="s">
        <v>258</v>
      </c>
      <c r="B22" s="50">
        <f>B20+B21</f>
        <v>6952.6151142354947</v>
      </c>
      <c r="C22" s="50">
        <f>C20+C21</f>
        <v>5356.384885764498</v>
      </c>
      <c r="D22" s="50">
        <f>D20+D21</f>
        <v>0</v>
      </c>
    </row>
    <row r="23" spans="1:4">
      <c r="B23" s="50"/>
      <c r="C23" s="50"/>
      <c r="D23" s="50"/>
    </row>
    <row r="24" spans="1:4">
      <c r="A24" t="s">
        <v>259</v>
      </c>
      <c r="B24" s="101">
        <f>SUM(B22:D22)/SUM(B11:D11)</f>
        <v>0.51588432523051098</v>
      </c>
      <c r="C24" s="101"/>
      <c r="D24" s="101"/>
    </row>
    <row r="25" spans="1:4">
      <c r="A25" t="s">
        <v>260</v>
      </c>
      <c r="B25" s="82">
        <f>$B$24*-SUM(Curves!$O$7:$O$9)*'SCE - Core Analysis'!B22/SUM('SCE - Core Analysis'!$B$22:$D$22)/1000</f>
        <v>760.42370915898096</v>
      </c>
      <c r="C25" s="82">
        <f>$B$24*-SUM(Curves!$O$7:$O$9)*'SCE - Core Analysis'!C22/SUM('SCE - Core Analysis'!$B$22:$D$22)/1000</f>
        <v>585.84029111239283</v>
      </c>
      <c r="D25" s="82">
        <f>$B$24*-SUM(Curves!$O$7:$O$9)*'SCE - Core Analysis'!D22/SUM('SCE - Core Analysis'!$B$22:$D$22)/1000</f>
        <v>0</v>
      </c>
    </row>
    <row r="27" spans="1:4">
      <c r="A27" t="s">
        <v>180</v>
      </c>
    </row>
    <row r="29" spans="1:4">
      <c r="B29" s="54" t="s">
        <v>140</v>
      </c>
      <c r="C29" s="54" t="s">
        <v>141</v>
      </c>
      <c r="D29" s="54" t="s">
        <v>142</v>
      </c>
    </row>
    <row r="30" spans="1:4">
      <c r="B30" s="54"/>
      <c r="C30" s="54"/>
      <c r="D30" s="54"/>
    </row>
    <row r="31" spans="1:4">
      <c r="A31" t="s">
        <v>195</v>
      </c>
      <c r="B31" s="56">
        <f>+PGE!E13+PGE!E21</f>
        <v>28846</v>
      </c>
      <c r="C31" s="56">
        <f>+SCE!E11+SCE!E20</f>
        <v>25149</v>
      </c>
      <c r="D31" s="56">
        <f>+SDGE!E12+SDGE!E20</f>
        <v>6259</v>
      </c>
    </row>
    <row r="32" spans="1:4" s="82" customFormat="1">
      <c r="A32" s="82" t="s">
        <v>196</v>
      </c>
      <c r="B32" s="59">
        <f>+PGE!I13+PGE!I21</f>
        <v>4023.5000000000005</v>
      </c>
      <c r="C32" s="59">
        <f>+SCE!I11+SCE!I20</f>
        <v>3773.8324000000007</v>
      </c>
      <c r="D32" s="59">
        <f>+SDGE!I12+SDGE!I20</f>
        <v>1015.6</v>
      </c>
    </row>
    <row r="33" spans="1:4">
      <c r="A33" t="s">
        <v>208</v>
      </c>
      <c r="B33" s="57">
        <f>+B32/B31*100</f>
        <v>13.948207723774528</v>
      </c>
      <c r="C33" s="57">
        <f>+C32/C31*100</f>
        <v>15.005894468964973</v>
      </c>
      <c r="D33" s="57">
        <f>+D32/D31*100</f>
        <v>16.226234222719285</v>
      </c>
    </row>
    <row r="34" spans="1:4">
      <c r="B34" s="56"/>
      <c r="C34" s="56"/>
      <c r="D34" s="56"/>
    </row>
    <row r="35" spans="1:4">
      <c r="A35" t="s">
        <v>198</v>
      </c>
      <c r="B35" s="56">
        <f t="shared" ref="B35:D36" si="0">+B39-B31</f>
        <v>21928</v>
      </c>
      <c r="C35" s="56">
        <f t="shared" si="0"/>
        <v>33080</v>
      </c>
      <c r="D35" s="56">
        <f t="shared" si="0"/>
        <v>10289</v>
      </c>
    </row>
    <row r="36" spans="1:4" s="82" customFormat="1">
      <c r="A36" s="82" t="s">
        <v>197</v>
      </c>
      <c r="B36" s="59">
        <f t="shared" si="0"/>
        <v>2828.1</v>
      </c>
      <c r="C36" s="59">
        <f t="shared" si="0"/>
        <v>4471.6088</v>
      </c>
      <c r="D36" s="59">
        <f t="shared" si="0"/>
        <v>1619.4</v>
      </c>
    </row>
    <row r="37" spans="1:4">
      <c r="A37" t="s">
        <v>208</v>
      </c>
      <c r="B37" s="57">
        <f>+B36/B35*100</f>
        <v>12.897209047792776</v>
      </c>
      <c r="C37" s="57">
        <f>+C36/C35*100</f>
        <v>13.517559854897218</v>
      </c>
      <c r="D37" s="57">
        <f>+D36/D35*100</f>
        <v>15.739138886189135</v>
      </c>
    </row>
    <row r="39" spans="1:4">
      <c r="A39" t="s">
        <v>190</v>
      </c>
      <c r="B39" s="81">
        <f>+B6</f>
        <v>50774</v>
      </c>
      <c r="C39" s="81">
        <f>+C6</f>
        <v>58229</v>
      </c>
      <c r="D39" s="81">
        <f>+D6</f>
        <v>16548</v>
      </c>
    </row>
    <row r="40" spans="1:4" s="82" customFormat="1">
      <c r="A40" s="82" t="s">
        <v>191</v>
      </c>
      <c r="B40" s="82">
        <f>+PGE!I142</f>
        <v>6851.6</v>
      </c>
      <c r="C40" s="82">
        <f>+SCE!I135</f>
        <v>8245.4412000000011</v>
      </c>
      <c r="D40" s="82">
        <f>+SDGE!I104</f>
        <v>2635</v>
      </c>
    </row>
    <row r="41" spans="1:4">
      <c r="A41" t="s">
        <v>208</v>
      </c>
      <c r="B41" s="55">
        <f>+B40/B39*100</f>
        <v>13.494308110450232</v>
      </c>
      <c r="C41" s="55">
        <f>+C40/C39*100</f>
        <v>14.160368888354602</v>
      </c>
      <c r="D41" s="55">
        <f>+D40/D39*100</f>
        <v>15.923374425912499</v>
      </c>
    </row>
    <row r="43" spans="1:4">
      <c r="A43" t="s">
        <v>192</v>
      </c>
      <c r="B43" s="50">
        <f>+B7</f>
        <v>29561</v>
      </c>
      <c r="C43" s="50">
        <f>+C7</f>
        <v>24673</v>
      </c>
      <c r="D43" s="50">
        <f>+D7</f>
        <v>657</v>
      </c>
    </row>
    <row r="44" spans="1:4" s="82" customFormat="1">
      <c r="A44" s="82" t="s">
        <v>206</v>
      </c>
      <c r="B44" s="82">
        <f>+PGE!I143</f>
        <v>3414.7</v>
      </c>
      <c r="C44" s="82">
        <f>+SCE!I136</f>
        <v>3009.1520999999998</v>
      </c>
      <c r="D44" s="82">
        <f>+SDGE!I105</f>
        <v>78.8</v>
      </c>
    </row>
    <row r="45" spans="1:4">
      <c r="A45" t="s">
        <v>208</v>
      </c>
      <c r="B45" s="55">
        <f>+B44/B43*100</f>
        <v>11.5513683569568</v>
      </c>
      <c r="C45" s="55">
        <f>+C44/C43*100</f>
        <v>12.196133830502978</v>
      </c>
      <c r="D45" s="55">
        <f>+D44/D43*100</f>
        <v>11.993911719939117</v>
      </c>
    </row>
    <row r="48" spans="1:4">
      <c r="B48" s="54" t="s">
        <v>140</v>
      </c>
      <c r="C48" s="54" t="s">
        <v>141</v>
      </c>
      <c r="D48" s="54" t="s">
        <v>142</v>
      </c>
    </row>
    <row r="50" spans="1:4">
      <c r="A50" t="s">
        <v>199</v>
      </c>
      <c r="B50" s="82">
        <f>83000*0.98*0.01</f>
        <v>813.4</v>
      </c>
      <c r="C50" s="82">
        <v>400</v>
      </c>
      <c r="D50" s="82">
        <f>16000*0.96*0.012</f>
        <v>184.32</v>
      </c>
    </row>
    <row r="51" spans="1:4">
      <c r="A51" t="s">
        <v>200</v>
      </c>
      <c r="B51" s="82">
        <f>83000*0.98*0.033</f>
        <v>2684.2200000000003</v>
      </c>
      <c r="C51" s="82">
        <v>2700</v>
      </c>
      <c r="D51" s="82">
        <f>16000*0.96*0.053</f>
        <v>814.07999999999993</v>
      </c>
    </row>
    <row r="52" spans="1:4">
      <c r="A52" t="s">
        <v>201</v>
      </c>
      <c r="B52" s="82">
        <f>83000*0.98*0.007</f>
        <v>569.38</v>
      </c>
      <c r="C52" s="82">
        <v>300</v>
      </c>
      <c r="D52" s="82">
        <f>16000*0.96*0.004</f>
        <v>61.44</v>
      </c>
    </row>
    <row r="53" spans="1:4">
      <c r="A53" t="s">
        <v>202</v>
      </c>
      <c r="B53" s="82">
        <f>83000*0.98*0.043</f>
        <v>3497.62</v>
      </c>
      <c r="C53" s="82">
        <v>3900</v>
      </c>
      <c r="D53" s="82">
        <f>16000*0.96*0.024</f>
        <v>368.64</v>
      </c>
    </row>
    <row r="54" spans="1:4">
      <c r="B54" s="82"/>
      <c r="C54" s="82"/>
      <c r="D54" s="82"/>
    </row>
    <row r="55" spans="1:4">
      <c r="A55" t="s">
        <v>203</v>
      </c>
      <c r="B55" s="82">
        <f>SUM(B50:B54)</f>
        <v>7564.6200000000008</v>
      </c>
      <c r="C55" s="82">
        <f>SUM(C50:C54)</f>
        <v>7300</v>
      </c>
      <c r="D55" s="82">
        <f>SUM(D50:D54)</f>
        <v>1428.48</v>
      </c>
    </row>
    <row r="56" spans="1:4">
      <c r="B56" s="82"/>
      <c r="C56" s="82"/>
      <c r="D56" s="82"/>
    </row>
    <row r="57" spans="1:4">
      <c r="A57" t="s">
        <v>204</v>
      </c>
      <c r="B57" s="82">
        <f>+B59-B55</f>
        <v>2701.6799999999985</v>
      </c>
      <c r="C57" s="82">
        <f>+C59-C55</f>
        <v>3954.5933000000005</v>
      </c>
      <c r="D57" s="82">
        <f>+D59-D55</f>
        <v>1285.3200000000002</v>
      </c>
    </row>
    <row r="58" spans="1:4">
      <c r="B58" s="82"/>
      <c r="C58" s="82"/>
      <c r="D58" s="82"/>
    </row>
    <row r="59" spans="1:4">
      <c r="A59" t="s">
        <v>205</v>
      </c>
      <c r="B59" s="82">
        <f>+B40+B44</f>
        <v>10266.299999999999</v>
      </c>
      <c r="C59" s="82">
        <f>+C40+C44</f>
        <v>11254.5933</v>
      </c>
      <c r="D59" s="82">
        <f>+D40+D44</f>
        <v>2713.8</v>
      </c>
    </row>
    <row r="61" spans="1:4">
      <c r="A61" t="s">
        <v>207</v>
      </c>
      <c r="B61" s="87">
        <f>+B57/B8*100</f>
        <v>3.3630173647849615</v>
      </c>
      <c r="C61" s="87">
        <f>+C57/C8*100</f>
        <v>4.7702025282864113</v>
      </c>
      <c r="D61" s="87">
        <f>+D57/D8*100</f>
        <v>7.4706190061028783</v>
      </c>
    </row>
    <row r="64" spans="1:4">
      <c r="A64" s="63" t="s">
        <v>209</v>
      </c>
      <c r="B64" s="64"/>
      <c r="C64" s="64"/>
      <c r="D64" s="65"/>
    </row>
    <row r="65" spans="1:4">
      <c r="A65" s="66"/>
      <c r="B65" s="88"/>
      <c r="C65" s="68"/>
      <c r="D65" s="69"/>
    </row>
    <row r="66" spans="1:4">
      <c r="A66" s="66" t="s">
        <v>213</v>
      </c>
      <c r="B66" s="85">
        <f>+B52*(B39/B8)</f>
        <v>359.86431966141782</v>
      </c>
      <c r="C66" s="85">
        <f>+C52*(C39/C8)</f>
        <v>210.71506115654626</v>
      </c>
      <c r="D66" s="89">
        <f>+D52*(D39/D8)</f>
        <v>59.093816913687881</v>
      </c>
    </row>
    <row r="67" spans="1:4">
      <c r="A67" s="66" t="s">
        <v>202</v>
      </c>
      <c r="B67" s="85">
        <f>+B53</f>
        <v>3497.62</v>
      </c>
      <c r="C67" s="85">
        <f>+C53</f>
        <v>3900</v>
      </c>
      <c r="D67" s="89">
        <f>+D53</f>
        <v>368.64</v>
      </c>
    </row>
    <row r="68" spans="1:4">
      <c r="A68" s="66" t="s">
        <v>210</v>
      </c>
      <c r="B68" s="85">
        <f>+B50*(B39/B8)</f>
        <v>514.09188523059686</v>
      </c>
      <c r="C68" s="85">
        <f>+C50*(C39/C8)</f>
        <v>280.95341487539503</v>
      </c>
      <c r="D68" s="89">
        <f>+D50*(D39/D8)</f>
        <v>177.28145074106362</v>
      </c>
    </row>
    <row r="69" spans="1:4">
      <c r="A69" s="66" t="s">
        <v>215</v>
      </c>
      <c r="B69" s="85">
        <f>((0.08*B8)*133)/1000</f>
        <v>854.76440000000002</v>
      </c>
      <c r="C69" s="85">
        <f>((0.14*C8)*133)/1000</f>
        <v>1543.6352400000001</v>
      </c>
      <c r="D69" s="89">
        <f>((0.3*D8)*133)/1000</f>
        <v>686.47950000000003</v>
      </c>
    </row>
    <row r="70" spans="1:4">
      <c r="A70" s="66" t="s">
        <v>219</v>
      </c>
      <c r="B70" s="102">
        <f>+B57*(B39/B8)</f>
        <v>1707.5384367959164</v>
      </c>
      <c r="C70" s="102">
        <f>+C57*(C39/C8)</f>
        <v>2777.641230195894</v>
      </c>
      <c r="D70" s="103">
        <f>+D57*(D39/D8)</f>
        <v>1236.2380331299044</v>
      </c>
    </row>
    <row r="71" spans="1:4">
      <c r="A71" s="66" t="s">
        <v>261</v>
      </c>
      <c r="B71" s="102">
        <f>-B25</f>
        <v>-760.42370915898096</v>
      </c>
      <c r="C71" s="102">
        <f>-C25</f>
        <v>-585.84029111239283</v>
      </c>
      <c r="D71" s="103">
        <f>-D25</f>
        <v>0</v>
      </c>
    </row>
    <row r="72" spans="1:4">
      <c r="A72" s="66"/>
      <c r="B72" s="85"/>
      <c r="C72" s="85"/>
      <c r="D72" s="89"/>
    </row>
    <row r="73" spans="1:4">
      <c r="A73" s="66" t="s">
        <v>47</v>
      </c>
      <c r="B73" s="85">
        <f>SUM(B66:B72)</f>
        <v>6173.4553325289498</v>
      </c>
      <c r="C73" s="85">
        <f>SUM(C66:C72)</f>
        <v>8127.1046551154423</v>
      </c>
      <c r="D73" s="89">
        <f>SUM(D66:D72)</f>
        <v>2527.7328007846559</v>
      </c>
    </row>
    <row r="74" spans="1:4">
      <c r="A74" s="66"/>
      <c r="B74" s="88"/>
      <c r="C74" s="88"/>
      <c r="D74" s="90"/>
    </row>
    <row r="75" spans="1:4">
      <c r="A75" s="66" t="s">
        <v>220</v>
      </c>
      <c r="B75" s="91">
        <f>+B39</f>
        <v>50774</v>
      </c>
      <c r="C75" s="91">
        <f>+C39</f>
        <v>58229</v>
      </c>
      <c r="D75" s="92">
        <f>+D39</f>
        <v>16548</v>
      </c>
    </row>
    <row r="76" spans="1:4">
      <c r="A76" s="66"/>
      <c r="B76" s="88"/>
      <c r="C76" s="88"/>
      <c r="D76" s="90"/>
    </row>
    <row r="77" spans="1:4">
      <c r="A77" s="66" t="s">
        <v>211</v>
      </c>
      <c r="B77" s="93">
        <f>+B73/B75*100</f>
        <v>12.158694080688836</v>
      </c>
      <c r="C77" s="93">
        <f>+C73/C75*100</f>
        <v>13.957142755526355</v>
      </c>
      <c r="D77" s="94">
        <f>+D73/D75*100</f>
        <v>15.275155914821465</v>
      </c>
    </row>
    <row r="78" spans="1:4">
      <c r="A78" s="66"/>
      <c r="B78" s="88"/>
      <c r="C78" s="68"/>
      <c r="D78" s="69"/>
    </row>
    <row r="79" spans="1:4">
      <c r="A79" s="77" t="s">
        <v>212</v>
      </c>
      <c r="B79" s="95">
        <f>+B41</f>
        <v>13.494308110450232</v>
      </c>
      <c r="C79" s="95">
        <f>+C41</f>
        <v>14.160368888354602</v>
      </c>
      <c r="D79" s="96">
        <f>+D41</f>
        <v>15.923374425912499</v>
      </c>
    </row>
    <row r="80" spans="1:4">
      <c r="B80" s="97"/>
    </row>
    <row r="81" spans="1:2">
      <c r="A81" t="s">
        <v>217</v>
      </c>
      <c r="B81" s="97"/>
    </row>
    <row r="82" spans="1:2">
      <c r="A82" s="62" t="s">
        <v>216</v>
      </c>
      <c r="B82" s="97"/>
    </row>
    <row r="83" spans="1:2">
      <c r="B83" s="97"/>
    </row>
    <row r="84" spans="1:2">
      <c r="B84" s="97"/>
    </row>
    <row r="85" spans="1:2">
      <c r="B85" s="97"/>
    </row>
  </sheetData>
  <mergeCells count="1">
    <mergeCell ref="B2:D2"/>
  </mergeCells>
  <phoneticPr fontId="0" type="noConversion"/>
  <pageMargins left="0.75" right="0.75" top="1" bottom="1" header="0.5" footer="0.5"/>
  <pageSetup scale="61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PGE</vt:lpstr>
      <vt:lpstr>SCE</vt:lpstr>
      <vt:lpstr>SDGE</vt:lpstr>
      <vt:lpstr>All Summary</vt:lpstr>
      <vt:lpstr>Redacted Summary</vt:lpstr>
      <vt:lpstr>DWR purchases</vt:lpstr>
      <vt:lpstr>Core &amp; Non-core</vt:lpstr>
      <vt:lpstr>PGE - Core Analysis</vt:lpstr>
      <vt:lpstr>SCE - Core Analysis</vt:lpstr>
      <vt:lpstr>SDGE - Core Analysis</vt:lpstr>
      <vt:lpstr>Curves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2001-05-16T21:15:23Z</cp:lastPrinted>
  <dcterms:created xsi:type="dcterms:W3CDTF">2001-05-08T18:12:48Z</dcterms:created>
  <dcterms:modified xsi:type="dcterms:W3CDTF">2023-09-10T15:00:45Z</dcterms:modified>
</cp:coreProperties>
</file>