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2" activeTab="4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Sheet1" sheetId="5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I5" i="3" l="1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B88" i="3"/>
  <c r="C88" i="3"/>
  <c r="D88" i="3"/>
  <c r="E88" i="3"/>
  <c r="F88" i="3"/>
  <c r="G88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4" i="3"/>
  <c r="C94" i="3"/>
  <c r="D94" i="3"/>
  <c r="E94" i="3"/>
  <c r="F94" i="3"/>
  <c r="G94" i="3"/>
  <c r="B96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E15" i="4"/>
  <c r="F15" i="4"/>
  <c r="G15" i="4"/>
  <c r="H15" i="4"/>
  <c r="I15" i="4"/>
  <c r="J15" i="4"/>
  <c r="K15" i="4"/>
  <c r="L15" i="4"/>
  <c r="M15" i="4"/>
  <c r="N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18" i="4"/>
  <c r="C18" i="4"/>
  <c r="E18" i="4"/>
  <c r="F18" i="4"/>
  <c r="G18" i="4"/>
  <c r="H18" i="4"/>
  <c r="I18" i="4"/>
  <c r="J18" i="4"/>
  <c r="K18" i="4"/>
  <c r="L18" i="4"/>
  <c r="M18" i="4"/>
  <c r="N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5" i="4"/>
  <c r="C25" i="4"/>
  <c r="E25" i="4"/>
  <c r="F25" i="4"/>
  <c r="G25" i="4"/>
  <c r="H25" i="4"/>
  <c r="I25" i="4"/>
  <c r="J25" i="4"/>
  <c r="K25" i="4"/>
  <c r="L25" i="4"/>
  <c r="M25" i="4"/>
  <c r="N25" i="4"/>
  <c r="B26" i="4"/>
  <c r="C26" i="4"/>
  <c r="E26" i="4"/>
  <c r="F26" i="4"/>
  <c r="G26" i="4"/>
  <c r="H26" i="4"/>
  <c r="I26" i="4"/>
  <c r="J26" i="4"/>
  <c r="K26" i="4"/>
  <c r="L26" i="4"/>
  <c r="M26" i="4"/>
  <c r="N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29" i="4"/>
  <c r="C29" i="4"/>
  <c r="E29" i="4"/>
  <c r="F29" i="4"/>
  <c r="G29" i="4"/>
  <c r="H29" i="4"/>
  <c r="I29" i="4"/>
  <c r="J29" i="4"/>
  <c r="K29" i="4"/>
  <c r="L29" i="4"/>
  <c r="M29" i="4"/>
  <c r="N29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F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C33" i="4"/>
  <c r="N33" i="4"/>
  <c r="E34" i="4"/>
  <c r="F34" i="4"/>
  <c r="G34" i="4"/>
  <c r="H34" i="4"/>
  <c r="I34" i="4"/>
  <c r="J34" i="4"/>
  <c r="K34" i="4"/>
  <c r="L34" i="4"/>
  <c r="M34" i="4"/>
  <c r="N34" i="4"/>
  <c r="C36" i="4"/>
  <c r="E36" i="4"/>
  <c r="E37" i="4"/>
  <c r="E39" i="4"/>
  <c r="E40" i="4"/>
  <c r="E41" i="4"/>
  <c r="A44" i="4"/>
  <c r="B47" i="4"/>
  <c r="C47" i="4"/>
  <c r="E47" i="4"/>
  <c r="F47" i="4"/>
  <c r="G47" i="4"/>
  <c r="H47" i="4"/>
  <c r="I47" i="4"/>
  <c r="J47" i="4"/>
  <c r="K47" i="4"/>
  <c r="L47" i="4"/>
  <c r="M47" i="4"/>
  <c r="N47" i="4"/>
  <c r="B48" i="4"/>
  <c r="C48" i="4"/>
  <c r="E48" i="4"/>
  <c r="F48" i="4"/>
  <c r="G48" i="4"/>
  <c r="H48" i="4"/>
  <c r="I48" i="4"/>
  <c r="J48" i="4"/>
  <c r="K48" i="4"/>
  <c r="L48" i="4"/>
  <c r="M48" i="4"/>
  <c r="N48" i="4"/>
  <c r="B49" i="4"/>
  <c r="C49" i="4"/>
  <c r="E49" i="4"/>
  <c r="F49" i="4"/>
  <c r="G49" i="4"/>
  <c r="H49" i="4"/>
  <c r="I49" i="4"/>
  <c r="J49" i="4"/>
  <c r="K49" i="4"/>
  <c r="L49" i="4"/>
  <c r="M49" i="4"/>
  <c r="N49" i="4"/>
  <c r="B50" i="4"/>
  <c r="C50" i="4"/>
  <c r="E50" i="4"/>
  <c r="F50" i="4"/>
  <c r="G50" i="4"/>
  <c r="H50" i="4"/>
  <c r="I50" i="4"/>
  <c r="J50" i="4"/>
  <c r="K50" i="4"/>
  <c r="L50" i="4"/>
  <c r="M50" i="4"/>
  <c r="N50" i="4"/>
  <c r="B51" i="4"/>
  <c r="C51" i="4"/>
  <c r="E51" i="4"/>
  <c r="F51" i="4"/>
  <c r="G51" i="4"/>
  <c r="H51" i="4"/>
  <c r="I51" i="4"/>
  <c r="J51" i="4"/>
  <c r="K51" i="4"/>
  <c r="L51" i="4"/>
  <c r="M51" i="4"/>
  <c r="N51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7" i="4"/>
  <c r="C57" i="4"/>
  <c r="E57" i="4"/>
  <c r="F57" i="4"/>
  <c r="G57" i="4"/>
  <c r="H57" i="4"/>
  <c r="I57" i="4"/>
  <c r="J57" i="4"/>
  <c r="K57" i="4"/>
  <c r="L57" i="4"/>
  <c r="M57" i="4"/>
  <c r="N57" i="4"/>
  <c r="B58" i="4"/>
  <c r="C58" i="4"/>
  <c r="E58" i="4"/>
  <c r="F58" i="4"/>
  <c r="G58" i="4"/>
  <c r="H58" i="4"/>
  <c r="I58" i="4"/>
  <c r="J58" i="4"/>
  <c r="K58" i="4"/>
  <c r="L58" i="4"/>
  <c r="M58" i="4"/>
  <c r="N58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5" i="4"/>
  <c r="C65" i="4"/>
  <c r="E65" i="4"/>
  <c r="F65" i="4"/>
  <c r="G65" i="4"/>
  <c r="H65" i="4"/>
  <c r="I65" i="4"/>
  <c r="J65" i="4"/>
  <c r="K65" i="4"/>
  <c r="L65" i="4"/>
  <c r="M65" i="4"/>
  <c r="N65" i="4"/>
  <c r="B67" i="4"/>
  <c r="C67" i="4"/>
  <c r="E67" i="4"/>
  <c r="F67" i="4"/>
  <c r="G67" i="4"/>
  <c r="H67" i="4"/>
  <c r="I67" i="4"/>
  <c r="J67" i="4"/>
  <c r="K67" i="4"/>
  <c r="L67" i="4"/>
  <c r="M67" i="4"/>
  <c r="N67" i="4"/>
  <c r="B68" i="4"/>
  <c r="C68" i="4"/>
  <c r="E68" i="4"/>
  <c r="F68" i="4"/>
  <c r="G68" i="4"/>
  <c r="H68" i="4"/>
  <c r="I68" i="4"/>
  <c r="J68" i="4"/>
  <c r="K68" i="4"/>
  <c r="L68" i="4"/>
  <c r="M68" i="4"/>
  <c r="N68" i="4"/>
  <c r="W3" i="2"/>
  <c r="X3" i="2"/>
  <c r="Y3" i="2"/>
  <c r="Z3" i="2"/>
  <c r="AA3" i="2"/>
  <c r="AB3" i="2"/>
  <c r="AC3" i="2"/>
  <c r="AD3" i="2"/>
  <c r="AE3" i="2"/>
  <c r="I4" i="2"/>
  <c r="J4" i="2"/>
  <c r="K4" i="2"/>
  <c r="L4" i="2"/>
  <c r="M4" i="2"/>
  <c r="O4" i="2"/>
  <c r="I5" i="2"/>
  <c r="J5" i="2"/>
  <c r="K5" i="2"/>
  <c r="L5" i="2"/>
  <c r="M5" i="2"/>
  <c r="O5" i="2"/>
  <c r="V5" i="2"/>
  <c r="W5" i="2"/>
  <c r="X5" i="2"/>
  <c r="Y5" i="2"/>
  <c r="Z5" i="2"/>
  <c r="AA5" i="2"/>
  <c r="AB5" i="2"/>
  <c r="AC5" i="2"/>
  <c r="AD5" i="2"/>
  <c r="AE5" i="2"/>
  <c r="I7" i="2"/>
  <c r="J7" i="2"/>
  <c r="K7" i="2"/>
  <c r="L7" i="2"/>
  <c r="M7" i="2"/>
  <c r="O7" i="2"/>
  <c r="I8" i="2"/>
  <c r="J8" i="2"/>
  <c r="K8" i="2"/>
  <c r="L8" i="2"/>
  <c r="M8" i="2"/>
  <c r="O8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E14" i="6"/>
  <c r="E15" i="6"/>
  <c r="G18" i="6"/>
  <c r="H18" i="6"/>
  <c r="I18" i="6"/>
  <c r="J18" i="6"/>
  <c r="K18" i="6"/>
  <c r="E20" i="6"/>
  <c r="G25" i="6"/>
  <c r="H25" i="6"/>
  <c r="I25" i="6"/>
  <c r="J25" i="6"/>
  <c r="K25" i="6"/>
  <c r="G26" i="6"/>
  <c r="H26" i="6"/>
  <c r="I26" i="6"/>
  <c r="J26" i="6"/>
  <c r="K26" i="6"/>
  <c r="K32" i="6"/>
  <c r="K36" i="6"/>
  <c r="K37" i="6"/>
  <c r="K39" i="6"/>
  <c r="K40" i="6"/>
  <c r="K41" i="6"/>
  <c r="K42" i="6"/>
  <c r="K45" i="6"/>
  <c r="K46" i="6"/>
  <c r="F47" i="6"/>
  <c r="K47" i="6"/>
  <c r="F48" i="6"/>
  <c r="K48" i="6"/>
  <c r="F50" i="6"/>
  <c r="K50" i="6"/>
  <c r="F51" i="6"/>
  <c r="F52" i="6"/>
  <c r="F54" i="6"/>
  <c r="L54" i="6"/>
  <c r="F55" i="6"/>
  <c r="L55" i="6"/>
  <c r="F56" i="6"/>
</calcChain>
</file>

<file path=xl/sharedStrings.xml><?xml version="1.0" encoding="utf-8"?>
<sst xmlns="http://schemas.openxmlformats.org/spreadsheetml/2006/main" count="547" uniqueCount="305">
  <si>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</si>
  <si>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</si>
  <si>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</si>
  <si>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</si>
  <si>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</si>
  <si>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</si>
  <si>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</si>
  <si>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</si>
  <si>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</si>
  <si>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</si>
  <si>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</si>
  <si>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</si>
  <si>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</si>
  <si>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</si>
  <si>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</si>
  <si>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</si>
  <si>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</si>
  <si>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</si>
  <si>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</si>
  <si>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</si>
  <si>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</si>
  <si>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</si>
  <si>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</si>
  <si>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</si>
  <si>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</si>
  <si>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</si>
  <si>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</si>
  <si>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</si>
  <si>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</si>
  <si>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</si>
  <si>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</si>
  <si>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</si>
  <si>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</si>
  <si>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</si>
  <si>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</si>
  <si>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</si>
  <si>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</si>
  <si>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</si>
  <si>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</si>
  <si>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</si>
  <si>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</si>
  <si>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</si>
  <si>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</si>
  <si>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</si>
  <si>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</si>
  <si>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</si>
  <si>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</si>
  <si>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</si>
  <si>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</si>
  <si>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</si>
  <si>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</si>
  <si>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</si>
  <si>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</si>
  <si>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</si>
  <si>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</si>
  <si>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</si>
  <si>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</si>
  <si>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</si>
  <si>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</si>
  <si>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</si>
  <si>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</si>
  <si>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</si>
  <si>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</si>
  <si>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</si>
  <si>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</si>
  <si>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</si>
  <si>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</si>
  <si>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</si>
  <si>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</si>
  <si>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</si>
  <si>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</si>
  <si>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</si>
  <si>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</si>
  <si>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</si>
  <si>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</si>
  <si>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</si>
  <si>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</si>
  <si>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</si>
  <si>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</si>
  <si>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</si>
  <si>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</si>
  <si>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</si>
  <si>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</si>
  <si>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</si>
  <si>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</si>
  <si>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</si>
  <si>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</si>
  <si>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</si>
  <si>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</si>
  <si>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</si>
  <si>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</si>
  <si>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</si>
  <si>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</si>
  <si>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</si>
  <si>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</si>
  <si>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</si>
  <si>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</si>
  <si>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</si>
  <si>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</si>
  <si>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</si>
  <si>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</si>
  <si>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</si>
  <si>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</si>
  <si>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</si>
  <si>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</si>
  <si>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</si>
  <si>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</si>
  <si>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</si>
  <si>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</si>
  <si>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</si>
  <si>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</si>
  <si>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</si>
  <si>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</si>
  <si>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</si>
  <si>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</si>
  <si>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</si>
  <si>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</si>
  <si>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</si>
  <si>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</si>
  <si>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</si>
  <si>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</si>
  <si>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</si>
  <si>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</si>
  <si>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</si>
  <si>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</si>
  <si>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</si>
  <si>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</si>
  <si>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</si>
  <si>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</si>
  <si>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</si>
  <si>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</si>
  <si>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</si>
  <si>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</si>
  <si>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</si>
  <si>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</si>
  <si>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</si>
  <si>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</si>
  <si>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</si>
  <si>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FORECAST</t>
  </si>
  <si>
    <t>Total Sales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</si>
  <si>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</si>
  <si>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</si>
  <si>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</si>
  <si>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</si>
  <si>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</si>
  <si>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</si>
  <si>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</si>
  <si>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</si>
  <si>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</si>
  <si>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</si>
  <si>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 xml:space="preserve">   Goodwill amortization</t>
  </si>
  <si>
    <t>flat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</si>
  <si>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</si>
  <si>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</si>
  <si>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</si>
  <si>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</si>
  <si>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</si>
  <si>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</si>
  <si>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</si>
  <si>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>Add: Depreciation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</si>
  <si>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</si>
  <si>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</si>
  <si>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</si>
  <si>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</si>
  <si>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</si>
  <si>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</si>
  <si>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</si>
  <si>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</si>
  <si>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</si>
  <si>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</si>
  <si>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</si>
  <si>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</si>
  <si>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</si>
  <si>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</si>
  <si>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</si>
  <si>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</si>
  <si>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</si>
  <si>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</si>
  <si>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</si>
  <si>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</si>
  <si>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</si>
  <si>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</si>
  <si>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Appendix 6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</si>
  <si>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</si>
  <si>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</si>
  <si>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</si>
  <si>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</si>
  <si>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</si>
  <si>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</si>
  <si>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</si>
  <si>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</si>
  <si>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</si>
  <si>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</si>
  <si>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</si>
  <si>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</si>
  <si>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Accrued liabilities</t>
  </si>
  <si>
    <t>Total Cur Liab (excl L/T Debt)</t>
  </si>
  <si>
    <t>Deferred income taxes</t>
  </si>
  <si>
    <t>Other noncurrent liabilities</t>
  </si>
  <si>
    <t>Capital lease obligations</t>
  </si>
  <si>
    <t>Debt (including S/T debt)</t>
  </si>
  <si>
    <t>Total liabilities</t>
  </si>
  <si>
    <t>Shareholders' equity</t>
  </si>
  <si>
    <t>TOT LIAB &amp; NET WORTH</t>
  </si>
  <si>
    <t>Tax Rate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</si>
  <si>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</si>
  <si>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</si>
  <si>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</si>
  <si>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</si>
  <si>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</si>
  <si>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</si>
  <si>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</si>
  <si>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</si>
  <si>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</si>
  <si>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</si>
  <si>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</si>
  <si>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</si>
  <si>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</si>
  <si>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</si>
  <si>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</si>
  <si>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</si>
  <si>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</si>
  <si>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reduce by amort.</t>
  </si>
  <si>
    <t>reduce bal by amort of 3 per pd.</t>
  </si>
  <si>
    <t>% of total assets</t>
  </si>
  <si>
    <t>PLUG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</si>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</sst>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3" fillId="0" borderId="3" xfId="0" applyFont="1" applyBorder="1"/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89" fontId="3" fillId="0" borderId="3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0" borderId="3" xfId="1" applyNumberFormat="1" applyFont="1" applyBorder="1"/>
    <xf numFmtId="168" fontId="3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54" sqref="L54"/>
    </sheetView>
  </sheetViews>
  <sheetFormatPr defaultRowHeight="10.199999999999999" x14ac:dyDescent="0.2"/>
  <cols>
    <col min="5" max="5" width="12" customWidth="1"/>
    <col min="6" max="6" width="9.85546875" bestFit="1" customWidth="1"/>
  </cols>
  <sheetData>
    <row r="1" spans="1:12" ht="13.2" x14ac:dyDescent="0.25">
      <c r="A1" s="82" t="s">
        <v>236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4"/>
    </row>
    <row r="2" spans="1:12" ht="13.2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1:12" ht="13.2" x14ac:dyDescent="0.25">
      <c r="A3" s="88" t="s">
        <v>237</v>
      </c>
      <c r="B3" s="19"/>
      <c r="C3" s="19"/>
      <c r="D3" s="19"/>
      <c r="E3" s="19"/>
      <c r="F3" s="19"/>
      <c r="G3" s="19"/>
      <c r="H3" s="19" t="s">
        <v>238</v>
      </c>
      <c r="I3" s="19"/>
      <c r="J3" s="19"/>
      <c r="K3" s="89">
        <v>36861</v>
      </c>
      <c r="L3" s="90">
        <v>2000</v>
      </c>
    </row>
    <row r="4" spans="1:12" ht="13.2" x14ac:dyDescent="0.25">
      <c r="A4" s="88" t="s">
        <v>239</v>
      </c>
      <c r="B4" s="19"/>
      <c r="C4" s="19"/>
      <c r="D4" s="19"/>
      <c r="E4" s="19" t="s">
        <v>302</v>
      </c>
      <c r="F4" s="19"/>
      <c r="G4" s="19"/>
      <c r="H4" s="19" t="s">
        <v>240</v>
      </c>
      <c r="I4" s="19"/>
      <c r="J4" s="19"/>
      <c r="K4" s="91" t="s">
        <v>241</v>
      </c>
      <c r="L4" s="92"/>
    </row>
    <row r="5" spans="1:12" ht="13.2" x14ac:dyDescent="0.25">
      <c r="A5" s="88"/>
      <c r="B5" s="19"/>
      <c r="C5" s="19"/>
      <c r="D5" s="19"/>
      <c r="E5" s="19"/>
      <c r="F5" s="19"/>
      <c r="G5" s="19"/>
      <c r="H5" s="19"/>
      <c r="I5" s="19"/>
      <c r="J5" s="19"/>
      <c r="K5" s="19"/>
      <c r="L5" s="93"/>
    </row>
    <row r="6" spans="1:12" ht="13.2" x14ac:dyDescent="0.25">
      <c r="A6" s="88"/>
      <c r="B6" s="19"/>
      <c r="C6" s="19"/>
      <c r="D6" s="19"/>
      <c r="E6" s="19"/>
      <c r="F6" s="19"/>
      <c r="G6" s="19"/>
      <c r="H6" s="19"/>
      <c r="I6" s="19"/>
      <c r="J6" s="19"/>
      <c r="K6" s="19"/>
      <c r="L6" s="93"/>
    </row>
    <row r="7" spans="1:12" ht="13.2" x14ac:dyDescent="0.25">
      <c r="A7" s="94"/>
      <c r="B7" s="7"/>
      <c r="C7" s="7"/>
      <c r="D7" s="7"/>
      <c r="E7" s="7"/>
      <c r="F7" s="7"/>
      <c r="G7" s="7"/>
      <c r="H7" s="7"/>
      <c r="I7" s="7"/>
      <c r="J7" s="7"/>
      <c r="K7" s="7"/>
      <c r="L7" s="95"/>
    </row>
    <row r="8" spans="1:12" ht="13.2" x14ac:dyDescent="0.25">
      <c r="A8" s="82" t="s">
        <v>242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ht="13.2" x14ac:dyDescent="0.2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7"/>
    </row>
    <row r="10" spans="1:12" ht="13.2" x14ac:dyDescent="0.25">
      <c r="A10" s="88" t="s">
        <v>243</v>
      </c>
      <c r="B10" s="19"/>
      <c r="C10" s="19"/>
      <c r="D10" s="19"/>
      <c r="E10" s="96">
        <v>0.12</v>
      </c>
      <c r="F10" s="19"/>
      <c r="G10" s="19"/>
      <c r="H10" s="19" t="s">
        <v>304</v>
      </c>
      <c r="I10" s="19"/>
      <c r="J10" s="19"/>
      <c r="K10" s="19"/>
      <c r="L10" s="97">
        <f>'OAT DCF'!D17</f>
        <v>0.34567229178007619</v>
      </c>
    </row>
    <row r="11" spans="1:12" ht="13.2" x14ac:dyDescent="0.25">
      <c r="A11" s="88" t="s">
        <v>244</v>
      </c>
      <c r="B11" s="19"/>
      <c r="C11" s="19"/>
      <c r="D11" s="19"/>
      <c r="E11" s="98">
        <v>7</v>
      </c>
      <c r="F11" s="19"/>
      <c r="G11" s="19"/>
      <c r="H11" s="19"/>
      <c r="I11" s="19"/>
      <c r="J11" s="19"/>
      <c r="K11" s="19"/>
      <c r="L11" s="93"/>
    </row>
    <row r="12" spans="1:12" ht="13.2" x14ac:dyDescent="0.25">
      <c r="A12" s="8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93"/>
    </row>
    <row r="13" spans="1:12" ht="13.2" x14ac:dyDescent="0.25">
      <c r="A13" s="99" t="s">
        <v>245</v>
      </c>
      <c r="B13" s="100"/>
      <c r="C13" s="100"/>
      <c r="D13" s="100"/>
      <c r="E13" s="101"/>
      <c r="F13" s="19"/>
      <c r="G13" s="19"/>
      <c r="H13" s="19"/>
      <c r="I13" s="19"/>
      <c r="J13" s="19"/>
      <c r="K13" s="19"/>
      <c r="L13" s="93"/>
    </row>
    <row r="14" spans="1:12" ht="13.2" x14ac:dyDescent="0.25">
      <c r="A14" s="102" t="s">
        <v>246</v>
      </c>
      <c r="B14" s="103"/>
      <c r="C14" s="103"/>
      <c r="D14" s="103"/>
      <c r="E14" s="104">
        <f>'OAT DCF'!E36</f>
        <v>5774.5788319244784</v>
      </c>
      <c r="F14" s="19"/>
      <c r="G14" s="19"/>
      <c r="H14" s="19"/>
      <c r="I14" s="19"/>
      <c r="J14" s="19"/>
      <c r="K14" s="19"/>
      <c r="L14" s="93"/>
    </row>
    <row r="15" spans="1:12" ht="13.2" x14ac:dyDescent="0.25">
      <c r="A15" s="105" t="s">
        <v>247</v>
      </c>
      <c r="B15" s="106"/>
      <c r="C15" s="106"/>
      <c r="D15" s="106"/>
      <c r="E15" s="107">
        <f>'OAT DCF'!E41</f>
        <v>37.753093099713332</v>
      </c>
      <c r="F15" s="7"/>
      <c r="G15" s="7"/>
      <c r="H15" s="7"/>
      <c r="I15" s="7"/>
      <c r="J15" s="7"/>
      <c r="K15" s="7"/>
      <c r="L15" s="95"/>
    </row>
    <row r="16" spans="1:12" ht="13.2" x14ac:dyDescent="0.25">
      <c r="A16" s="82" t="s">
        <v>248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4"/>
    </row>
    <row r="17" spans="1:12" ht="13.2" x14ac:dyDescent="0.25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7"/>
    </row>
    <row r="18" spans="1:12" ht="13.2" x14ac:dyDescent="0.25">
      <c r="A18" s="108" t="s">
        <v>249</v>
      </c>
      <c r="B18" s="19"/>
      <c r="C18" s="19"/>
      <c r="D18" s="19"/>
      <c r="E18" s="19"/>
      <c r="F18" s="19"/>
      <c r="G18" s="109">
        <f>+K3+365</f>
        <v>37226</v>
      </c>
      <c r="H18" s="109">
        <f>+G18+365</f>
        <v>37591</v>
      </c>
      <c r="I18" s="109">
        <f>+H18+365</f>
        <v>37956</v>
      </c>
      <c r="J18" s="109">
        <f>+I18+370</f>
        <v>38326</v>
      </c>
      <c r="K18" s="109">
        <f>+J18+365</f>
        <v>38691</v>
      </c>
      <c r="L18" s="110" t="s">
        <v>250</v>
      </c>
    </row>
    <row r="19" spans="1:12" ht="13.2" x14ac:dyDescent="0.25">
      <c r="A19" s="8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11"/>
    </row>
    <row r="20" spans="1:12" ht="13.2" x14ac:dyDescent="0.25">
      <c r="A20" s="88"/>
      <c r="B20" s="19"/>
      <c r="C20" s="19"/>
      <c r="D20" s="19"/>
      <c r="E20" s="19">
        <f>+E3</f>
        <v>0</v>
      </c>
      <c r="F20" s="19"/>
      <c r="G20" s="112">
        <v>0</v>
      </c>
      <c r="H20" s="112">
        <v>0</v>
      </c>
      <c r="I20" s="113"/>
      <c r="J20" s="113"/>
      <c r="K20" s="113"/>
      <c r="L20" s="114">
        <v>0</v>
      </c>
    </row>
    <row r="21" spans="1:12" ht="13.2" x14ac:dyDescent="0.25">
      <c r="A21" s="8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93"/>
    </row>
    <row r="22" spans="1:12" ht="13.2" x14ac:dyDescent="0.25">
      <c r="A22" s="108" t="s">
        <v>251</v>
      </c>
      <c r="B22" s="19"/>
      <c r="C22" s="19"/>
      <c r="D22" s="19"/>
      <c r="E22" s="19" t="s">
        <v>252</v>
      </c>
      <c r="F22" s="19"/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3"/>
    </row>
    <row r="23" spans="1:12" ht="13.2" x14ac:dyDescent="0.25">
      <c r="A23" s="115" t="s">
        <v>253</v>
      </c>
      <c r="B23" s="19"/>
      <c r="C23" s="19"/>
      <c r="D23" s="19"/>
      <c r="E23" s="19" t="s">
        <v>254</v>
      </c>
      <c r="F23" s="19"/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3"/>
    </row>
    <row r="24" spans="1:12" ht="13.2" x14ac:dyDescent="0.25">
      <c r="A24" s="115"/>
      <c r="B24" s="19"/>
      <c r="C24" s="19"/>
      <c r="D24" s="19"/>
      <c r="E24" s="19"/>
      <c r="F24" s="19"/>
      <c r="G24" s="116"/>
      <c r="H24" s="116"/>
      <c r="I24" s="116"/>
      <c r="J24" s="116"/>
      <c r="K24" s="116"/>
      <c r="L24" s="93"/>
    </row>
    <row r="25" spans="1:12" ht="13.2" x14ac:dyDescent="0.25">
      <c r="A25" s="115"/>
      <c r="B25" s="19"/>
      <c r="C25" s="19"/>
      <c r="D25" s="19"/>
      <c r="E25" s="19" t="s">
        <v>255</v>
      </c>
      <c r="F25" s="77" t="s">
        <v>256</v>
      </c>
      <c r="G25" s="117">
        <f>+'[1]EPS Accretion'!G60</f>
        <v>0</v>
      </c>
      <c r="H25" s="118">
        <f>+'[1]EPS Accretion'!H60</f>
        <v>0</v>
      </c>
      <c r="I25" s="118">
        <f>+'[1]EPS Accretion'!I60</f>
        <v>0</v>
      </c>
      <c r="J25" s="118">
        <f>+'[1]EPS Accretion'!J60</f>
        <v>0</v>
      </c>
      <c r="K25" s="119">
        <f>+'[1]EPS Accretion'!K60</f>
        <v>0</v>
      </c>
      <c r="L25" s="93"/>
    </row>
    <row r="26" spans="1:12" ht="13.2" x14ac:dyDescent="0.25">
      <c r="A26" s="88"/>
      <c r="B26" s="19"/>
      <c r="C26" s="19"/>
      <c r="D26" s="19"/>
      <c r="E26" s="19"/>
      <c r="F26" s="77" t="s">
        <v>257</v>
      </c>
      <c r="G26" s="117">
        <f>+'[1]EPS Accretion'!G29</f>
        <v>0</v>
      </c>
      <c r="H26" s="118">
        <f>+'[1]EPS Accretion'!H29</f>
        <v>0</v>
      </c>
      <c r="I26" s="118">
        <f>+'[1]EPS Accretion'!I29</f>
        <v>0</v>
      </c>
      <c r="J26" s="118">
        <f>+'[1]EPS Accretion'!J29</f>
        <v>0</v>
      </c>
      <c r="K26" s="119">
        <f>+'[1]EPS Accretion'!K29</f>
        <v>0</v>
      </c>
      <c r="L26" s="93"/>
    </row>
    <row r="27" spans="1:12" ht="13.2" x14ac:dyDescent="0.25">
      <c r="A27" s="108" t="s">
        <v>258</v>
      </c>
      <c r="B27" s="19"/>
      <c r="C27" s="19"/>
      <c r="D27" s="19"/>
      <c r="E27" s="19"/>
      <c r="F27" s="19"/>
      <c r="G27" s="85" t="s">
        <v>259</v>
      </c>
      <c r="H27" s="86"/>
      <c r="I27" s="86"/>
      <c r="J27" s="86"/>
      <c r="K27" s="120"/>
      <c r="L27" s="87"/>
    </row>
    <row r="28" spans="1:12" ht="13.2" x14ac:dyDescent="0.25">
      <c r="A28" s="88"/>
      <c r="B28" s="19"/>
      <c r="C28" s="19"/>
      <c r="D28" s="19"/>
      <c r="E28" s="19"/>
      <c r="F28" s="19"/>
      <c r="G28" s="108" t="s">
        <v>260</v>
      </c>
      <c r="H28" s="19"/>
      <c r="I28" s="19"/>
      <c r="J28" s="19"/>
      <c r="K28" s="19"/>
      <c r="L28" s="93"/>
    </row>
    <row r="29" spans="1:12" ht="13.2" x14ac:dyDescent="0.25">
      <c r="A29" s="88"/>
      <c r="B29" s="19"/>
      <c r="C29" s="19"/>
      <c r="D29" s="19"/>
      <c r="E29" s="19"/>
      <c r="F29" s="19"/>
      <c r="G29" s="88"/>
      <c r="H29" s="19"/>
      <c r="I29" s="19"/>
      <c r="J29" s="19"/>
      <c r="K29" s="19"/>
      <c r="L29" s="93"/>
    </row>
    <row r="30" spans="1:12" ht="13.2" x14ac:dyDescent="0.25">
      <c r="A30" s="88" t="s">
        <v>261</v>
      </c>
      <c r="B30" s="19"/>
      <c r="C30" s="19"/>
      <c r="D30" s="19"/>
      <c r="E30" s="147">
        <v>131933000</v>
      </c>
      <c r="F30" s="19"/>
      <c r="G30" s="88" t="s">
        <v>262</v>
      </c>
      <c r="H30" s="19"/>
      <c r="I30" s="19"/>
      <c r="J30" s="19"/>
      <c r="K30" s="48">
        <v>28.8</v>
      </c>
      <c r="L30" s="93" t="s">
        <v>263</v>
      </c>
    </row>
    <row r="31" spans="1:12" ht="13.2" x14ac:dyDescent="0.25">
      <c r="A31" s="88" t="s">
        <v>264</v>
      </c>
      <c r="B31" s="19"/>
      <c r="C31" s="19"/>
      <c r="D31" s="19"/>
      <c r="E31" s="46">
        <v>232200000</v>
      </c>
      <c r="F31" s="19"/>
      <c r="G31" s="88" t="s">
        <v>265</v>
      </c>
      <c r="H31" s="19"/>
      <c r="I31" s="19"/>
      <c r="J31" s="19"/>
      <c r="K31" s="121">
        <v>0</v>
      </c>
      <c r="L31" s="93"/>
    </row>
    <row r="32" spans="1:12" ht="13.2" x14ac:dyDescent="0.25">
      <c r="A32" s="88"/>
      <c r="B32" s="19"/>
      <c r="C32" s="19"/>
      <c r="D32" s="19"/>
      <c r="E32" s="19"/>
      <c r="F32" s="19"/>
      <c r="G32" s="88" t="s">
        <v>266</v>
      </c>
      <c r="H32" s="19"/>
      <c r="I32" s="19"/>
      <c r="J32" s="19"/>
      <c r="K32" s="48">
        <f>+K30*K31</f>
        <v>0</v>
      </c>
      <c r="L32" s="93" t="s">
        <v>263</v>
      </c>
    </row>
    <row r="33" spans="1:12" ht="13.2" x14ac:dyDescent="0.25">
      <c r="A33" s="88" t="s">
        <v>267</v>
      </c>
      <c r="B33" s="19"/>
      <c r="C33" s="19"/>
      <c r="D33" s="19"/>
      <c r="E33" s="122" t="s">
        <v>268</v>
      </c>
      <c r="F33" s="19"/>
      <c r="G33" s="88"/>
      <c r="H33" s="19"/>
      <c r="I33" s="19"/>
      <c r="J33" s="19"/>
      <c r="K33" s="19"/>
      <c r="L33" s="93"/>
    </row>
    <row r="34" spans="1:12" ht="13.2" x14ac:dyDescent="0.25">
      <c r="A34" s="88" t="s">
        <v>269</v>
      </c>
      <c r="B34" s="19"/>
      <c r="C34" s="19"/>
      <c r="D34" s="19"/>
      <c r="E34" s="123">
        <v>0</v>
      </c>
      <c r="F34" s="19"/>
      <c r="G34" s="88" t="s">
        <v>270</v>
      </c>
      <c r="H34" s="19"/>
      <c r="I34" s="19"/>
      <c r="J34" s="19"/>
      <c r="K34" s="112">
        <v>0</v>
      </c>
      <c r="L34" s="93"/>
    </row>
    <row r="35" spans="1:12" ht="13.2" x14ac:dyDescent="0.25">
      <c r="A35" s="88"/>
      <c r="B35" s="19"/>
      <c r="C35" s="19"/>
      <c r="D35" s="19"/>
      <c r="E35" s="19"/>
      <c r="F35" s="19"/>
      <c r="G35" s="88"/>
      <c r="H35" s="19"/>
      <c r="I35" s="19"/>
      <c r="J35" s="19"/>
      <c r="K35" s="19"/>
      <c r="L35" s="93"/>
    </row>
    <row r="36" spans="1:12" ht="13.2" x14ac:dyDescent="0.25">
      <c r="A36" s="88" t="s">
        <v>271</v>
      </c>
      <c r="B36" s="19"/>
      <c r="C36" s="19"/>
      <c r="D36" s="19"/>
      <c r="E36" s="96">
        <v>0</v>
      </c>
      <c r="F36" s="19"/>
      <c r="G36" s="88" t="s">
        <v>272</v>
      </c>
      <c r="H36" s="19"/>
      <c r="I36" s="19"/>
      <c r="J36" s="19"/>
      <c r="K36" s="124">
        <f>+K32*K34</f>
        <v>0</v>
      </c>
      <c r="L36" s="93"/>
    </row>
    <row r="37" spans="1:12" ht="13.2" x14ac:dyDescent="0.25">
      <c r="A37" s="88" t="s">
        <v>273</v>
      </c>
      <c r="B37" s="19"/>
      <c r="C37" s="19"/>
      <c r="D37" s="19"/>
      <c r="E37" s="48">
        <v>34</v>
      </c>
      <c r="F37" s="19"/>
      <c r="G37" s="88" t="s">
        <v>274</v>
      </c>
      <c r="H37" s="19"/>
      <c r="I37" s="19"/>
      <c r="J37" s="19"/>
      <c r="K37" s="48">
        <f>IF(K36=0,0,286.4)</f>
        <v>0</v>
      </c>
      <c r="L37" s="93"/>
    </row>
    <row r="38" spans="1:12" ht="13.2" x14ac:dyDescent="0.25">
      <c r="A38" s="125" t="s">
        <v>275</v>
      </c>
      <c r="B38" s="86"/>
      <c r="C38" s="86"/>
      <c r="D38" s="126"/>
      <c r="E38" s="86"/>
      <c r="F38" s="87"/>
      <c r="G38" s="88" t="s">
        <v>276</v>
      </c>
      <c r="H38" s="19"/>
      <c r="I38" s="19"/>
      <c r="J38" s="19"/>
      <c r="K38" s="19"/>
      <c r="L38" s="93"/>
    </row>
    <row r="39" spans="1:12" ht="13.2" x14ac:dyDescent="0.25">
      <c r="A39" s="88" t="s">
        <v>270</v>
      </c>
      <c r="B39" s="19"/>
      <c r="C39" s="19"/>
      <c r="D39" s="18"/>
      <c r="E39" s="112">
        <v>0</v>
      </c>
      <c r="F39" s="93"/>
      <c r="G39" s="88" t="s">
        <v>277</v>
      </c>
      <c r="H39" s="19"/>
      <c r="I39" s="19"/>
      <c r="J39" s="19"/>
      <c r="K39" s="127">
        <f>IF(K36=0,0,102.9)</f>
        <v>0</v>
      </c>
      <c r="L39" s="93"/>
    </row>
    <row r="40" spans="1:12" ht="13.2" x14ac:dyDescent="0.25">
      <c r="A40" s="88" t="s">
        <v>278</v>
      </c>
      <c r="B40" s="19"/>
      <c r="C40" s="19"/>
      <c r="D40" s="18"/>
      <c r="E40" s="19"/>
      <c r="F40" s="93"/>
      <c r="G40" s="88" t="s">
        <v>279</v>
      </c>
      <c r="H40" s="19"/>
      <c r="I40" s="19"/>
      <c r="J40" s="19"/>
      <c r="K40" s="48">
        <f>SUM(K36:K39)</f>
        <v>0</v>
      </c>
      <c r="L40" s="93"/>
    </row>
    <row r="41" spans="1:12" ht="13.2" x14ac:dyDescent="0.25">
      <c r="A41" s="88" t="s">
        <v>280</v>
      </c>
      <c r="B41" s="19"/>
      <c r="C41" s="19"/>
      <c r="D41" s="18"/>
      <c r="E41" s="96">
        <v>0</v>
      </c>
      <c r="F41" s="93"/>
      <c r="G41" s="88" t="s">
        <v>281</v>
      </c>
      <c r="H41" s="19"/>
      <c r="I41" s="19"/>
      <c r="J41" s="19"/>
      <c r="K41" s="127">
        <f>IF(K36=0,0,+[1]Vons!B30)</f>
        <v>0</v>
      </c>
      <c r="L41" s="93"/>
    </row>
    <row r="42" spans="1:12" ht="13.2" x14ac:dyDescent="0.25">
      <c r="A42" s="88" t="s">
        <v>282</v>
      </c>
      <c r="B42" s="19"/>
      <c r="C42" s="19"/>
      <c r="D42" s="18"/>
      <c r="E42" s="98">
        <v>0</v>
      </c>
      <c r="F42" s="93"/>
      <c r="G42" s="88" t="s">
        <v>283</v>
      </c>
      <c r="H42" s="19"/>
      <c r="I42" s="19"/>
      <c r="J42" s="19"/>
      <c r="K42" s="48">
        <f>+K40-K41</f>
        <v>0</v>
      </c>
      <c r="L42" s="93"/>
    </row>
    <row r="43" spans="1:12" ht="13.2" x14ac:dyDescent="0.25">
      <c r="A43" s="88"/>
      <c r="B43" s="19"/>
      <c r="C43" s="19"/>
      <c r="D43" s="18"/>
      <c r="E43" s="19"/>
      <c r="F43" s="93"/>
      <c r="G43" s="88"/>
      <c r="H43" s="19"/>
      <c r="I43" s="19"/>
      <c r="J43" s="19"/>
      <c r="K43" s="19"/>
      <c r="L43" s="93"/>
    </row>
    <row r="44" spans="1:12" ht="13.2" x14ac:dyDescent="0.25">
      <c r="A44" s="94" t="s">
        <v>284</v>
      </c>
      <c r="B44" s="7"/>
      <c r="C44" s="7"/>
      <c r="D44" s="1"/>
      <c r="E44" s="128">
        <v>0</v>
      </c>
      <c r="F44" s="95"/>
      <c r="G44" s="88" t="s">
        <v>285</v>
      </c>
      <c r="H44" s="19"/>
      <c r="I44" s="19"/>
      <c r="J44" s="19"/>
      <c r="K44" s="19"/>
      <c r="L44" s="93"/>
    </row>
    <row r="45" spans="1:12" ht="13.2" x14ac:dyDescent="0.25">
      <c r="A45" s="129" t="s">
        <v>286</v>
      </c>
      <c r="B45" s="103"/>
      <c r="C45" s="130" t="s">
        <v>287</v>
      </c>
      <c r="D45" s="103"/>
      <c r="E45" s="103"/>
      <c r="F45" s="131">
        <v>43</v>
      </c>
      <c r="G45" s="88" t="s">
        <v>288</v>
      </c>
      <c r="H45" s="19"/>
      <c r="I45" s="19"/>
      <c r="J45" s="19"/>
      <c r="K45" s="48">
        <f>IF(K36=0,0,24.3)</f>
        <v>0</v>
      </c>
      <c r="L45" s="93"/>
    </row>
    <row r="46" spans="1:12" ht="13.2" x14ac:dyDescent="0.25">
      <c r="A46" s="102"/>
      <c r="B46" s="103"/>
      <c r="C46" s="130"/>
      <c r="D46" s="103"/>
      <c r="E46" s="103"/>
      <c r="F46" s="103"/>
      <c r="G46" s="88" t="s">
        <v>289</v>
      </c>
      <c r="H46" s="19"/>
      <c r="I46" s="19"/>
      <c r="J46" s="19"/>
      <c r="K46" s="48">
        <f>IF(K36=0,0,-9.8)</f>
        <v>0</v>
      </c>
      <c r="L46" s="93"/>
    </row>
    <row r="47" spans="1:12" ht="13.2" x14ac:dyDescent="0.25">
      <c r="A47" s="129" t="s">
        <v>290</v>
      </c>
      <c r="B47" s="103"/>
      <c r="C47" s="130" t="s">
        <v>291</v>
      </c>
      <c r="D47" s="103"/>
      <c r="E47" s="103"/>
      <c r="F47" s="131">
        <f>'OAT DCF'!E41</f>
        <v>37.753093099713332</v>
      </c>
      <c r="G47" s="88" t="s">
        <v>292</v>
      </c>
      <c r="H47" s="19"/>
      <c r="I47" s="19"/>
      <c r="J47" s="19"/>
      <c r="K47" s="48">
        <f>IF(K36=0,0,18.6)</f>
        <v>0</v>
      </c>
      <c r="L47" s="93"/>
    </row>
    <row r="48" spans="1:12" ht="13.2" x14ac:dyDescent="0.25">
      <c r="A48" s="102"/>
      <c r="B48" s="103"/>
      <c r="C48" s="130" t="s">
        <v>293</v>
      </c>
      <c r="D48" s="103"/>
      <c r="E48" s="103"/>
      <c r="F48" s="132">
        <f>'OAT DCF'!E36</f>
        <v>5774.5788319244784</v>
      </c>
      <c r="G48" s="88" t="s">
        <v>294</v>
      </c>
      <c r="H48" s="19"/>
      <c r="I48" s="19"/>
      <c r="J48" s="19"/>
      <c r="K48" s="127">
        <f>IF(K36=0,0,20.1)</f>
        <v>0</v>
      </c>
      <c r="L48" s="93"/>
    </row>
    <row r="49" spans="1:12" ht="13.2" x14ac:dyDescent="0.25">
      <c r="A49" s="102"/>
      <c r="B49" s="103"/>
      <c r="C49" s="103"/>
      <c r="D49" s="103"/>
      <c r="E49" s="103"/>
      <c r="F49" s="103"/>
      <c r="G49" s="88"/>
      <c r="H49" s="19"/>
      <c r="I49" s="19"/>
      <c r="J49" s="19"/>
      <c r="K49" s="19"/>
      <c r="L49" s="93"/>
    </row>
    <row r="50" spans="1:12" ht="13.2" x14ac:dyDescent="0.25">
      <c r="A50" s="129" t="s">
        <v>295</v>
      </c>
      <c r="B50" s="103"/>
      <c r="C50" s="130" t="s">
        <v>296</v>
      </c>
      <c r="D50" s="103"/>
      <c r="E50" s="103"/>
      <c r="F50" s="132">
        <f>+K40</f>
        <v>0</v>
      </c>
      <c r="G50" s="88" t="s">
        <v>191</v>
      </c>
      <c r="H50" s="19"/>
      <c r="I50" s="19"/>
      <c r="J50" s="19"/>
      <c r="K50" s="48">
        <f>+K42-SUM(K45:K48)</f>
        <v>0</v>
      </c>
      <c r="L50" s="93"/>
    </row>
    <row r="51" spans="1:12" ht="13.2" x14ac:dyDescent="0.25">
      <c r="A51" s="102"/>
      <c r="B51" s="103"/>
      <c r="C51" s="130" t="s">
        <v>303</v>
      </c>
      <c r="D51" s="103"/>
      <c r="E51" s="103"/>
      <c r="F51" s="133">
        <f>+E30/1000000</f>
        <v>131.93299999999999</v>
      </c>
      <c r="G51" s="94"/>
      <c r="H51" s="19"/>
      <c r="I51" s="19"/>
      <c r="J51" s="19"/>
      <c r="K51" s="19"/>
      <c r="L51" s="93"/>
    </row>
    <row r="52" spans="1:12" ht="13.2" x14ac:dyDescent="0.25">
      <c r="A52" s="102"/>
      <c r="B52" s="103"/>
      <c r="C52" s="103"/>
      <c r="D52" s="103"/>
      <c r="E52" s="103"/>
      <c r="F52" s="131">
        <f>+F50/F51</f>
        <v>0</v>
      </c>
      <c r="G52" s="134"/>
      <c r="H52" s="135"/>
      <c r="I52" s="135"/>
      <c r="J52" s="135"/>
      <c r="K52" s="135"/>
      <c r="L52" s="136"/>
    </row>
    <row r="53" spans="1:12" ht="13.2" x14ac:dyDescent="0.25">
      <c r="A53" s="102"/>
      <c r="B53" s="103"/>
      <c r="C53" s="103"/>
      <c r="D53" s="103"/>
      <c r="E53" s="103"/>
      <c r="F53" s="103"/>
      <c r="G53" s="137"/>
      <c r="H53" s="103"/>
      <c r="I53" s="138"/>
      <c r="J53" s="138"/>
      <c r="K53" s="138"/>
      <c r="L53" s="139"/>
    </row>
    <row r="54" spans="1:12" ht="13.2" x14ac:dyDescent="0.25">
      <c r="A54" s="102"/>
      <c r="B54" s="130" t="s">
        <v>297</v>
      </c>
      <c r="C54" s="103"/>
      <c r="D54" s="103"/>
      <c r="E54" s="103"/>
      <c r="F54" s="133">
        <f>+K40-K37</f>
        <v>0</v>
      </c>
      <c r="G54" s="140" t="s">
        <v>298</v>
      </c>
      <c r="H54" s="103"/>
      <c r="I54" s="130" t="s">
        <v>299</v>
      </c>
      <c r="J54" s="103"/>
      <c r="K54" s="141"/>
      <c r="L54" s="142">
        <f>+[1]Purchase!N38</f>
        <v>0.3628965705597077</v>
      </c>
    </row>
    <row r="55" spans="1:12" ht="13.2" x14ac:dyDescent="0.25">
      <c r="A55" s="129"/>
      <c r="B55" s="130" t="s">
        <v>300</v>
      </c>
      <c r="C55" s="130"/>
      <c r="D55" s="103"/>
      <c r="E55" s="103"/>
      <c r="F55" s="133">
        <f>+K30</f>
        <v>28.8</v>
      </c>
      <c r="G55" s="134"/>
      <c r="H55" s="141"/>
      <c r="I55" s="130" t="s">
        <v>301</v>
      </c>
      <c r="J55" s="103"/>
      <c r="K55" s="141"/>
      <c r="L55" s="142">
        <f>+'[1]EPS Accretion'!G60</f>
        <v>0</v>
      </c>
    </row>
    <row r="56" spans="1:12" ht="13.2" x14ac:dyDescent="0.25">
      <c r="A56" s="102"/>
      <c r="B56" s="103"/>
      <c r="C56" s="130"/>
      <c r="D56" s="103"/>
      <c r="E56" s="103"/>
      <c r="F56" s="131">
        <f>+F54/F55</f>
        <v>0</v>
      </c>
      <c r="G56" s="134"/>
      <c r="H56" s="141"/>
      <c r="I56" s="141"/>
      <c r="J56" s="141"/>
      <c r="K56" s="141"/>
      <c r="L56" s="143"/>
    </row>
    <row r="57" spans="1:12" ht="13.2" x14ac:dyDescent="0.25">
      <c r="A57" s="105"/>
      <c r="B57" s="106"/>
      <c r="C57" s="106"/>
      <c r="D57" s="106"/>
      <c r="E57" s="106"/>
      <c r="F57" s="106"/>
      <c r="G57" s="144"/>
      <c r="H57" s="145"/>
      <c r="I57" s="145"/>
      <c r="J57" s="145"/>
      <c r="K57" s="145"/>
      <c r="L57" s="14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D9" sqref="D9"/>
    </sheetView>
  </sheetViews>
  <sheetFormatPr defaultRowHeight="10.199999999999999" x14ac:dyDescent="0.2"/>
  <cols>
    <col min="2" max="2" width="56.140625" bestFit="1" customWidth="1"/>
    <col min="3" max="5" width="10.7109375" bestFit="1" customWidth="1"/>
    <col min="6" max="6" width="11.42578125" bestFit="1" customWidth="1"/>
    <col min="7" max="7" width="11" customWidth="1"/>
    <col min="8" max="8" width="11.42578125" bestFit="1" customWidth="1"/>
  </cols>
  <sheetData>
    <row r="1" spans="1:15" ht="13.2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2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2" x14ac:dyDescent="0.2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.2" x14ac:dyDescent="0.25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3.2" x14ac:dyDescent="0.25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.2" x14ac:dyDescent="0.25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3.2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3.2" x14ac:dyDescent="0.25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3.2" x14ac:dyDescent="0.25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3.2" x14ac:dyDescent="0.25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3.2" x14ac:dyDescent="0.25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3.2" x14ac:dyDescent="0.25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3.2" x14ac:dyDescent="0.25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3.2" x14ac:dyDescent="0.25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3.2" x14ac:dyDescent="0.25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3.2" x14ac:dyDescent="0.25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3.2" x14ac:dyDescent="0.25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3.2" x14ac:dyDescent="0.25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3.2" x14ac:dyDescent="0.25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3.2" x14ac:dyDescent="0.25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3.2" x14ac:dyDescent="0.25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3.2" x14ac:dyDescent="0.25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2" x14ac:dyDescent="0.25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3.2" x14ac:dyDescent="0.25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3.2" x14ac:dyDescent="0.25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3.2" x14ac:dyDescent="0.25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2" x14ac:dyDescent="0.25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3.2" x14ac:dyDescent="0.25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3.2" x14ac:dyDescent="0.25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3.2" x14ac:dyDescent="0.25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3.2" x14ac:dyDescent="0.25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.2" x14ac:dyDescent="0.25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.2" x14ac:dyDescent="0.25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3.2" x14ac:dyDescent="0.25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3.2" x14ac:dyDescent="0.25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3.2" x14ac:dyDescent="0.25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3.2" x14ac:dyDescent="0.25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3.2" x14ac:dyDescent="0.25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3.2" x14ac:dyDescent="0.25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3.2" x14ac:dyDescent="0.25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3.2" x14ac:dyDescent="0.25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3.2" x14ac:dyDescent="0.25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3.2" x14ac:dyDescent="0.25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3.2" x14ac:dyDescent="0.25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3.2" x14ac:dyDescent="0.25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3.2" x14ac:dyDescent="0.25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3.2" x14ac:dyDescent="0.25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3.2" x14ac:dyDescent="0.25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opLeftCell="B1" zoomScaleNormal="100" workbookViewId="0">
      <selection activeCell="H2" sqref="H2"/>
    </sheetView>
  </sheetViews>
  <sheetFormatPr defaultRowHeight="10.199999999999999" x14ac:dyDescent="0.2"/>
  <cols>
    <col min="1" max="1" width="78.7109375" customWidth="1"/>
    <col min="2" max="2" width="14.28515625" bestFit="1" customWidth="1"/>
    <col min="3" max="5" width="12.85546875" bestFit="1" customWidth="1"/>
    <col min="6" max="6" width="14.140625" customWidth="1"/>
    <col min="7" max="7" width="12.28515625" customWidth="1"/>
    <col min="8" max="8" width="10.7109375" bestFit="1" customWidth="1"/>
    <col min="9" max="9" width="12.7109375" customWidth="1"/>
    <col min="10" max="10" width="10.140625" bestFit="1" customWidth="1"/>
    <col min="11" max="11" width="10.42578125" customWidth="1"/>
    <col min="12" max="12" width="11.7109375" customWidth="1"/>
    <col min="13" max="13" width="10.140625" bestFit="1" customWidth="1"/>
    <col min="14" max="14" width="9.85546875" customWidth="1"/>
    <col min="15" max="15" width="11.42578125" customWidth="1"/>
    <col min="16" max="16" width="9.7109375" customWidth="1"/>
    <col min="17" max="17" width="9.85546875" customWidth="1"/>
    <col min="18" max="18" width="9.7109375" customWidth="1"/>
    <col min="19" max="20" width="9.85546875" bestFit="1" customWidth="1"/>
    <col min="21" max="22" width="10.140625" customWidth="1"/>
    <col min="23" max="23" width="10.28515625" customWidth="1"/>
    <col min="24" max="24" width="10.7109375" customWidth="1"/>
    <col min="25" max="25" width="10.42578125" customWidth="1"/>
    <col min="26" max="26" width="11.140625" customWidth="1"/>
    <col min="27" max="27" width="10" customWidth="1"/>
    <col min="28" max="28" width="10.28515625" customWidth="1"/>
  </cols>
  <sheetData>
    <row r="1" spans="1:31" ht="13.2" x14ac:dyDescent="0.25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  <c r="W1" s="21" t="s">
        <v>138</v>
      </c>
      <c r="X1" s="1"/>
    </row>
    <row r="2" spans="1:31" ht="13.2" x14ac:dyDescent="0.25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235</v>
      </c>
      <c r="K2" s="3"/>
      <c r="M2" s="3"/>
      <c r="N2" s="3"/>
      <c r="O2" s="3"/>
      <c r="P2" s="3"/>
      <c r="V2" s="27" t="s">
        <v>137</v>
      </c>
      <c r="W2" s="27" t="s">
        <v>137</v>
      </c>
      <c r="X2" s="27" t="s">
        <v>137</v>
      </c>
      <c r="Y2" s="27" t="s">
        <v>137</v>
      </c>
      <c r="Z2" s="27" t="s">
        <v>137</v>
      </c>
      <c r="AA2" s="27" t="s">
        <v>137</v>
      </c>
      <c r="AB2" s="27" t="s">
        <v>137</v>
      </c>
      <c r="AC2" s="27" t="s">
        <v>137</v>
      </c>
      <c r="AD2" s="27" t="s">
        <v>137</v>
      </c>
      <c r="AE2" s="27" t="s">
        <v>137</v>
      </c>
    </row>
    <row r="3" spans="1:31" ht="13.2" x14ac:dyDescent="0.25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  <c r="V3" s="9">
        <v>2001</v>
      </c>
      <c r="W3" s="7">
        <f>V3+1</f>
        <v>2002</v>
      </c>
      <c r="X3" s="7">
        <f t="shared" ref="X3:AE3" si="0">W3+1</f>
        <v>2003</v>
      </c>
      <c r="Y3" s="7">
        <f t="shared" si="0"/>
        <v>2004</v>
      </c>
      <c r="Z3" s="7">
        <f t="shared" si="0"/>
        <v>2005</v>
      </c>
      <c r="AA3" s="7">
        <f t="shared" si="0"/>
        <v>2006</v>
      </c>
      <c r="AB3" s="7">
        <f t="shared" si="0"/>
        <v>2007</v>
      </c>
      <c r="AC3" s="7">
        <f t="shared" si="0"/>
        <v>2008</v>
      </c>
      <c r="AD3" s="7">
        <f t="shared" si="0"/>
        <v>2009</v>
      </c>
      <c r="AE3" s="7">
        <f t="shared" si="0"/>
        <v>2010</v>
      </c>
    </row>
    <row r="4" spans="1:31" ht="13.2" x14ac:dyDescent="0.25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1">(B4-C4)/C4</f>
        <v>6.683314991958017E-2</v>
      </c>
      <c r="J4" s="10">
        <f t="shared" si="1"/>
        <v>-2.4223025296850838E-2</v>
      </c>
      <c r="K4" s="10">
        <f t="shared" si="1"/>
        <v>-3.4531570867476089E-2</v>
      </c>
      <c r="L4" s="10">
        <f t="shared" si="1"/>
        <v>-3.5256780150028887E-2</v>
      </c>
      <c r="M4" s="10">
        <f t="shared" si="1"/>
        <v>-0.12680550890157877</v>
      </c>
      <c r="N4" s="24"/>
      <c r="O4" s="26">
        <f>SUM(I4:M4)/5</f>
        <v>-3.0796747059270879E-2</v>
      </c>
      <c r="P4" s="3"/>
      <c r="T4" s="2" t="s">
        <v>140</v>
      </c>
      <c r="V4" s="10">
        <v>6.683314991958017E-2</v>
      </c>
      <c r="W4" s="10">
        <v>6.683314991958017E-2</v>
      </c>
      <c r="X4" s="10">
        <v>6.683314991958017E-2</v>
      </c>
      <c r="Y4" s="10">
        <v>6.683314991958017E-2</v>
      </c>
      <c r="Z4" s="10">
        <v>6.683314991958017E-2</v>
      </c>
      <c r="AA4" s="10">
        <v>6.683314991958017E-2</v>
      </c>
      <c r="AB4" s="10">
        <v>6.683314991958017E-2</v>
      </c>
      <c r="AC4" s="10">
        <v>6.683314991958017E-2</v>
      </c>
      <c r="AD4" s="10">
        <v>6.683314991958017E-2</v>
      </c>
      <c r="AE4" s="10">
        <v>6.683314991958017E-2</v>
      </c>
    </row>
    <row r="5" spans="1:31" ht="13.2" x14ac:dyDescent="0.25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1"/>
        <v>7.0900411830774987E-2</v>
      </c>
      <c r="J5" s="10">
        <f t="shared" si="1"/>
        <v>-0.10006738544474389</v>
      </c>
      <c r="K5" s="10">
        <f t="shared" si="1"/>
        <v>-7.4271901438652574E-2</v>
      </c>
      <c r="L5" s="10">
        <f t="shared" si="1"/>
        <v>-8.6411398040961679E-2</v>
      </c>
      <c r="M5" s="10">
        <f t="shared" si="1"/>
        <v>-0.14779626032054397</v>
      </c>
      <c r="N5" s="24"/>
      <c r="O5" s="10">
        <f>SUM(I5:M5)/5</f>
        <v>-6.7529306682825418E-2</v>
      </c>
      <c r="P5" s="3"/>
      <c r="T5" s="2" t="s">
        <v>139</v>
      </c>
      <c r="V5" s="29">
        <f>(V4+1)*B4</f>
        <v>5377.9059087446039</v>
      </c>
      <c r="W5" s="29">
        <f>(W4+1)*V5</f>
        <v>5737.328300597128</v>
      </c>
      <c r="X5" s="29">
        <f t="shared" ref="X5:AE5" si="2">(X4+1)*W5</f>
        <v>6120.7720230487867</v>
      </c>
      <c r="Y5" s="29">
        <f t="shared" si="2"/>
        <v>6529.8424972887788</v>
      </c>
      <c r="Z5" s="29">
        <f t="shared" si="2"/>
        <v>6966.2524398613259</v>
      </c>
      <c r="AA5" s="29">
        <f t="shared" si="2"/>
        <v>7431.8290335522197</v>
      </c>
      <c r="AB5" s="29">
        <f t="shared" si="2"/>
        <v>7928.5215775283041</v>
      </c>
      <c r="AC5" s="29">
        <f t="shared" si="2"/>
        <v>8458.4096487598799</v>
      </c>
      <c r="AD5" s="29">
        <f t="shared" si="2"/>
        <v>9023.7118088966727</v>
      </c>
      <c r="AE5" s="29">
        <f t="shared" si="2"/>
        <v>9626.7948930517505</v>
      </c>
    </row>
    <row r="6" spans="1:31" ht="13.2" x14ac:dyDescent="0.25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31" ht="13.2" x14ac:dyDescent="0.25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3">(B7-C7)/C7</f>
        <v>6.3475506104156906E-2</v>
      </c>
      <c r="J7" s="10">
        <f t="shared" si="3"/>
        <v>4.8741947246870136E-2</v>
      </c>
      <c r="K7" s="10">
        <f t="shared" si="3"/>
        <v>7.0589195364777731E-3</v>
      </c>
      <c r="L7" s="10">
        <f t="shared" si="3"/>
        <v>2.479615304202391E-2</v>
      </c>
      <c r="M7" s="10">
        <f t="shared" si="3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31" ht="13.2" x14ac:dyDescent="0.25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3"/>
        <v>3.3979307809463816E-2</v>
      </c>
      <c r="J8" s="10">
        <f t="shared" si="3"/>
        <v>1.6875834445927856E-2</v>
      </c>
      <c r="K8" s="10">
        <f t="shared" si="3"/>
        <v>-3.4246222084687236E-2</v>
      </c>
      <c r="L8" s="10">
        <f t="shared" si="3"/>
        <v>-2.1251892983341701E-2</v>
      </c>
      <c r="M8" s="10">
        <f t="shared" si="3"/>
        <v>-0.1601661861963711</v>
      </c>
      <c r="N8" s="24"/>
      <c r="O8" s="10">
        <f>SUM(I8:M8)/5</f>
        <v>-3.2961831801801671E-2</v>
      </c>
      <c r="P8" s="3"/>
      <c r="Q8" s="3"/>
    </row>
    <row r="9" spans="1:31" ht="13.2" x14ac:dyDescent="0.25">
      <c r="A9" s="58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31" ht="13.2" x14ac:dyDescent="0.25">
      <c r="A10" s="58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31" ht="13.2" x14ac:dyDescent="0.25">
      <c r="A11" s="58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31" ht="13.2" x14ac:dyDescent="0.25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4">(B12-C12)/C12</f>
        <v>-80.34782608695653</v>
      </c>
      <c r="J12" s="10">
        <f t="shared" si="4"/>
        <v>-1.0178988326848251</v>
      </c>
      <c r="K12" s="10">
        <f t="shared" si="4"/>
        <v>-0.91354369911861666</v>
      </c>
      <c r="L12" s="10">
        <f t="shared" si="4"/>
        <v>-14.106701940035274</v>
      </c>
      <c r="M12" s="10">
        <f t="shared" si="4"/>
        <v>-0.89235880398671097</v>
      </c>
      <c r="N12" s="24"/>
      <c r="O12" s="10">
        <f>SUM(I12:M12)/5</f>
        <v>-19.455665872556391</v>
      </c>
      <c r="P12" s="3"/>
      <c r="Q12" s="3"/>
    </row>
    <row r="13" spans="1:31" ht="13.2" x14ac:dyDescent="0.25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4"/>
        <v>-0.12762520193861066</v>
      </c>
      <c r="J13" s="10">
        <f t="shared" si="4"/>
        <v>-0.11063218390804593</v>
      </c>
      <c r="K13" s="10">
        <f t="shared" si="4"/>
        <v>-0.18881118881118886</v>
      </c>
      <c r="L13" s="10">
        <f t="shared" si="4"/>
        <v>-0.19662921348314608</v>
      </c>
      <c r="M13" s="10">
        <f t="shared" si="4"/>
        <v>-0.18844984802431611</v>
      </c>
      <c r="N13" s="24"/>
      <c r="O13" s="10">
        <f>SUM(I13:M13)/5</f>
        <v>-0.16242952723306153</v>
      </c>
      <c r="P13" s="3"/>
      <c r="Q13" s="3"/>
    </row>
    <row r="14" spans="1:31" ht="13.2" x14ac:dyDescent="0.25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4"/>
        <v>-0.23076923076923073</v>
      </c>
      <c r="J14" s="10">
        <f t="shared" si="4"/>
        <v>9.3457943925233655E-2</v>
      </c>
      <c r="K14" s="10">
        <f t="shared" si="4"/>
        <v>0.59701492537313416</v>
      </c>
      <c r="L14" s="10">
        <f t="shared" si="4"/>
        <v>-9.4594594594594614E-2</v>
      </c>
      <c r="M14" s="10">
        <f t="shared" si="4"/>
        <v>0.19354838709677422</v>
      </c>
      <c r="N14" s="24"/>
      <c r="O14" s="10">
        <f>SUM(I14:M14)/5</f>
        <v>0.11173148620626334</v>
      </c>
      <c r="P14" s="3"/>
      <c r="Q14" s="3"/>
    </row>
    <row r="15" spans="1:31" ht="13.2" x14ac:dyDescent="0.25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4"/>
        <v>-0.70718232044198892</v>
      </c>
      <c r="J15" s="10">
        <f t="shared" si="4"/>
        <v>0.56034482758620707</v>
      </c>
      <c r="K15" s="10">
        <f t="shared" si="4"/>
        <v>7.4074074074073973E-2</v>
      </c>
      <c r="L15" s="10">
        <f t="shared" si="4"/>
        <v>0.21348314606741575</v>
      </c>
      <c r="M15" s="10">
        <f t="shared" si="4"/>
        <v>5.9523809523809521E-2</v>
      </c>
      <c r="N15" s="24"/>
      <c r="O15" s="10">
        <f>SUM(I15:M15)/5</f>
        <v>4.0048707361903482E-2</v>
      </c>
      <c r="P15" s="3"/>
      <c r="Q15" s="3"/>
    </row>
    <row r="16" spans="1:31" ht="13.2" x14ac:dyDescent="0.25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3.2" x14ac:dyDescent="0.25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5">(B17-C17)/C17</f>
        <v>-0.10868510431829199</v>
      </c>
      <c r="J17" s="10">
        <f t="shared" si="5"/>
        <v>0.55900151285930388</v>
      </c>
      <c r="K17" s="10">
        <f t="shared" si="5"/>
        <v>-1.3726392934323031</v>
      </c>
      <c r="L17" s="10">
        <f t="shared" si="5"/>
        <v>-3.560875842155919</v>
      </c>
      <c r="M17" s="10">
        <f t="shared" si="5"/>
        <v>-0.65948381810733303</v>
      </c>
      <c r="N17" s="24"/>
      <c r="O17" s="10">
        <f>SUM(I17:M17)/5</f>
        <v>-1.0285365090309084</v>
      </c>
      <c r="P17" s="3"/>
      <c r="Q17" s="3"/>
    </row>
    <row r="18" spans="1:17" ht="13.2" x14ac:dyDescent="0.25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5"/>
        <v>0.16656460502143286</v>
      </c>
      <c r="J18" s="10">
        <f t="shared" si="5"/>
        <v>0.45673505798394309</v>
      </c>
      <c r="K18" s="10">
        <f t="shared" si="5"/>
        <v>-1.8403298350824586</v>
      </c>
      <c r="L18" s="10">
        <f t="shared" si="5"/>
        <v>-1.7954680977936794</v>
      </c>
      <c r="M18" s="10">
        <f t="shared" si="5"/>
        <v>-0.66223564954682779</v>
      </c>
      <c r="N18" s="24"/>
      <c r="O18" s="10">
        <f>SUM(I18:M18)/5</f>
        <v>-0.73494678388351797</v>
      </c>
      <c r="P18" s="3"/>
      <c r="Q18" s="3"/>
    </row>
    <row r="19" spans="1:17" ht="13.2" x14ac:dyDescent="0.25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3.2" x14ac:dyDescent="0.25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6">(B20-C20)/C20</f>
        <v>-0.20747252747252742</v>
      </c>
      <c r="J20" s="10">
        <f t="shared" si="6"/>
        <v>0.59929701230228472</v>
      </c>
      <c r="K20" s="10">
        <f t="shared" si="6"/>
        <v>-1.3056182189279193</v>
      </c>
      <c r="L20" s="10">
        <f t="shared" si="6"/>
        <v>-4.7551432029043967</v>
      </c>
      <c r="M20" s="10">
        <f t="shared" si="6"/>
        <v>-0.65759668508287294</v>
      </c>
      <c r="N20" s="24"/>
      <c r="O20" s="10">
        <f>SUM(I20:M20)/5</f>
        <v>-1.2653067244170864</v>
      </c>
      <c r="P20" s="3"/>
      <c r="Q20" s="3"/>
    </row>
    <row r="21" spans="1:17" ht="13.2" x14ac:dyDescent="0.25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6"/>
        <v>-4.5454545454545491E-2</v>
      </c>
      <c r="J21" s="10">
        <f t="shared" si="6"/>
        <v>-2.2222222222222143E-2</v>
      </c>
      <c r="K21" s="10">
        <f t="shared" si="6"/>
        <v>0.2857142857142857</v>
      </c>
      <c r="L21" s="10">
        <f t="shared" si="6"/>
        <v>-5.4054054054054099E-2</v>
      </c>
      <c r="M21" s="10">
        <f t="shared" si="6"/>
        <v>-7.4999999999999956E-2</v>
      </c>
      <c r="N21" s="24"/>
      <c r="O21" s="10">
        <f>SUM(I21:M21)/5</f>
        <v>1.7796692796692805E-2</v>
      </c>
      <c r="P21" s="3"/>
      <c r="Q21" s="3"/>
    </row>
    <row r="22" spans="1:17" ht="13.2" x14ac:dyDescent="0.25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3.2" x14ac:dyDescent="0.25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3.2" x14ac:dyDescent="0.25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3.2" x14ac:dyDescent="0.25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3.2" x14ac:dyDescent="0.25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3.2" x14ac:dyDescent="0.25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3.2" x14ac:dyDescent="0.25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3.2" x14ac:dyDescent="0.25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3.2" x14ac:dyDescent="0.25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9"/>
      <c r="I31" s="12"/>
      <c r="J31" s="12"/>
      <c r="K31" s="12"/>
      <c r="L31" s="12"/>
      <c r="M31" s="12"/>
      <c r="N31" s="12"/>
      <c r="O31" s="12"/>
    </row>
    <row r="32" spans="1:17" ht="13.2" x14ac:dyDescent="0.25">
      <c r="A32" s="59"/>
      <c r="C32" s="25" t="s">
        <v>234</v>
      </c>
      <c r="I32" s="12"/>
      <c r="J32" s="12"/>
      <c r="K32" s="12"/>
      <c r="L32" s="12"/>
      <c r="M32" s="12"/>
      <c r="N32" s="12"/>
      <c r="O32" s="12"/>
    </row>
    <row r="33" spans="1:19" ht="13.2" x14ac:dyDescent="0.25">
      <c r="A33" s="59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</row>
    <row r="34" spans="1:19" ht="13.2" x14ac:dyDescent="0.25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7">K34+1</f>
        <v>2003</v>
      </c>
      <c r="M34" s="7">
        <f t="shared" si="7"/>
        <v>2004</v>
      </c>
      <c r="N34" s="7">
        <f t="shared" si="7"/>
        <v>2005</v>
      </c>
      <c r="O34" s="7">
        <f t="shared" si="7"/>
        <v>2006</v>
      </c>
      <c r="P34" s="7">
        <f t="shared" si="7"/>
        <v>2007</v>
      </c>
      <c r="Q34" s="7">
        <f t="shared" si="7"/>
        <v>2008</v>
      </c>
      <c r="R34" s="7">
        <f t="shared" si="7"/>
        <v>2009</v>
      </c>
      <c r="S34" s="7">
        <f t="shared" si="7"/>
        <v>2010</v>
      </c>
    </row>
    <row r="35" spans="1:19" ht="13.2" x14ac:dyDescent="0.25">
      <c r="A35" s="25" t="s">
        <v>40</v>
      </c>
      <c r="B35" s="10">
        <f t="shared" ref="B35:G36" si="8">B4/B$4</f>
        <v>1</v>
      </c>
      <c r="C35" s="10">
        <f t="shared" si="8"/>
        <v>1</v>
      </c>
      <c r="D35" s="10">
        <f t="shared" si="8"/>
        <v>1</v>
      </c>
      <c r="E35" s="10">
        <f t="shared" si="8"/>
        <v>1</v>
      </c>
      <c r="F35" s="10">
        <f t="shared" si="8"/>
        <v>1</v>
      </c>
      <c r="G35" s="10">
        <f t="shared" si="8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19" ht="13.2" x14ac:dyDescent="0.25">
      <c r="A36" s="25" t="s">
        <v>41</v>
      </c>
      <c r="B36" s="10">
        <f t="shared" si="8"/>
        <v>0.45393771077167233</v>
      </c>
      <c r="C36" s="10">
        <f t="shared" si="8"/>
        <v>0.45221366291373916</v>
      </c>
      <c r="D36" s="10">
        <f t="shared" si="8"/>
        <v>0.4903252452245741</v>
      </c>
      <c r="E36" s="10">
        <f t="shared" si="8"/>
        <v>0.51137428474589797</v>
      </c>
      <c r="F36" s="10">
        <f t="shared" si="8"/>
        <v>0.54000769378726676</v>
      </c>
      <c r="G36" s="10">
        <f t="shared" si="8"/>
        <v>0.55330870003359089</v>
      </c>
      <c r="H36" s="11">
        <f t="shared" ref="H36:H54" si="9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</row>
    <row r="37" spans="1:19" ht="13.2" x14ac:dyDescent="0.25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3.2" x14ac:dyDescent="0.25">
      <c r="A38" s="25" t="s">
        <v>42</v>
      </c>
      <c r="B38" s="10">
        <f t="shared" ref="B38:G39" si="10">B7/B$4</f>
        <v>0.54606228922832767</v>
      </c>
      <c r="C38" s="10">
        <f t="shared" si="10"/>
        <v>0.5477863370862609</v>
      </c>
      <c r="D38" s="10">
        <f t="shared" si="10"/>
        <v>0.5096747547754259</v>
      </c>
      <c r="E38" s="10">
        <f t="shared" si="10"/>
        <v>0.4886257152541022</v>
      </c>
      <c r="F38" s="10">
        <f t="shared" si="10"/>
        <v>0.45999230621273324</v>
      </c>
      <c r="G38" s="10">
        <f t="shared" si="10"/>
        <v>0.44669129996640911</v>
      </c>
      <c r="H38" s="11">
        <f t="shared" si="9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19" ht="13.2" x14ac:dyDescent="0.25">
      <c r="A39" s="25" t="s">
        <v>43</v>
      </c>
      <c r="B39" s="10">
        <f t="shared" si="10"/>
        <v>0.39055742908153146</v>
      </c>
      <c r="C39" s="10">
        <f t="shared" si="10"/>
        <v>0.40296707017692374</v>
      </c>
      <c r="D39" s="10">
        <f t="shared" si="10"/>
        <v>0.38668043366029942</v>
      </c>
      <c r="E39" s="10">
        <f t="shared" si="10"/>
        <v>0.38656618218792993</v>
      </c>
      <c r="F39" s="10">
        <f t="shared" si="10"/>
        <v>0.38103481438738218</v>
      </c>
      <c r="G39" s="10">
        <f t="shared" si="10"/>
        <v>0.39617064158548876</v>
      </c>
      <c r="H39" s="11">
        <f t="shared" si="9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19" ht="13.2" x14ac:dyDescent="0.25">
      <c r="A40" s="58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3.2" x14ac:dyDescent="0.25">
      <c r="A41" s="58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3.2" x14ac:dyDescent="0.25">
      <c r="A42" s="58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3.2" x14ac:dyDescent="0.25">
      <c r="A43" s="25" t="s">
        <v>107</v>
      </c>
      <c r="B43" s="10">
        <f t="shared" ref="B43:C46" si="11">B12/B$4</f>
        <v>3.6203134298750245E-2</v>
      </c>
      <c r="C43" s="10">
        <f t="shared" si="11"/>
        <v>-4.8675188351815794E-4</v>
      </c>
      <c r="D43" s="10">
        <f t="shared" ref="D43:G46" si="12">D12/D$4</f>
        <v>2.6535880227155396E-2</v>
      </c>
      <c r="E43" s="10">
        <f t="shared" si="12"/>
        <v>0.29632952529058754</v>
      </c>
      <c r="F43" s="10">
        <f t="shared" si="12"/>
        <v>-2.1811886901327179E-2</v>
      </c>
      <c r="G43" s="10">
        <f t="shared" si="12"/>
        <v>-0.17693987235471953</v>
      </c>
      <c r="H43" s="11">
        <f t="shared" si="9"/>
        <v>2.6638338112821385E-2</v>
      </c>
      <c r="I43" s="12"/>
      <c r="J43" s="10">
        <v>3.6203134298750245E-2</v>
      </c>
      <c r="K43" s="10">
        <v>3.6203134298750245E-2</v>
      </c>
      <c r="L43" s="10">
        <v>3.6203134298750245E-2</v>
      </c>
      <c r="M43" s="10">
        <v>3.6203134298750245E-2</v>
      </c>
      <c r="N43" s="10">
        <v>3.6203134298750245E-2</v>
      </c>
      <c r="O43" s="10">
        <v>3.6203134298750245E-2</v>
      </c>
      <c r="P43" s="10">
        <v>3.6203134298750245E-2</v>
      </c>
      <c r="Q43" s="10">
        <v>3.6203134298750245E-2</v>
      </c>
      <c r="R43" s="10">
        <v>3.6203134298750245E-2</v>
      </c>
      <c r="S43" s="10">
        <v>3.6203134298750245E-2</v>
      </c>
    </row>
    <row r="44" spans="1:19" ht="13.2" x14ac:dyDescent="0.25">
      <c r="A44" s="25" t="s">
        <v>44</v>
      </c>
      <c r="B44" s="10">
        <f t="shared" si="11"/>
        <v>1.0712160285657607E-2</v>
      </c>
      <c r="C44" s="10">
        <f t="shared" si="11"/>
        <v>1.3099974604249555E-2</v>
      </c>
      <c r="D44" s="10">
        <f t="shared" si="12"/>
        <v>1.4372741352607124E-2</v>
      </c>
      <c r="E44" s="10">
        <f t="shared" si="12"/>
        <v>1.7106286261140021E-2</v>
      </c>
      <c r="F44" s="10">
        <f t="shared" si="12"/>
        <v>2.0542412002308136E-2</v>
      </c>
      <c r="G44" s="10">
        <f t="shared" si="12"/>
        <v>2.2102788041652669E-2</v>
      </c>
      <c r="H44" s="11">
        <f t="shared" si="9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19" ht="13.2" x14ac:dyDescent="0.25">
      <c r="A45" s="25" t="s">
        <v>45</v>
      </c>
      <c r="B45" s="10">
        <f t="shared" si="11"/>
        <v>-1.7853600476096013E-3</v>
      </c>
      <c r="C45" s="10">
        <f t="shared" si="11"/>
        <v>-2.4760856683314993E-3</v>
      </c>
      <c r="D45" s="10">
        <f t="shared" si="12"/>
        <v>-2.2096024780588535E-3</v>
      </c>
      <c r="E45" s="10">
        <f t="shared" si="12"/>
        <v>-1.3358055705086031E-3</v>
      </c>
      <c r="F45" s="10">
        <f t="shared" si="12"/>
        <v>-1.4233506443546836E-3</v>
      </c>
      <c r="G45" s="10">
        <f t="shared" si="12"/>
        <v>-1.0413167618407793E-3</v>
      </c>
      <c r="H45" s="11">
        <f t="shared" si="9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19" ht="13.2" x14ac:dyDescent="0.25">
      <c r="A46" s="25" t="s">
        <v>46</v>
      </c>
      <c r="B46" s="10">
        <f t="shared" si="11"/>
        <v>1.0513786947034319E-3</v>
      </c>
      <c r="C46" s="10">
        <f t="shared" si="11"/>
        <v>3.8305256920341999E-3</v>
      </c>
      <c r="D46" s="10">
        <f t="shared" si="12"/>
        <v>2.3954568921011874E-3</v>
      </c>
      <c r="E46" s="10">
        <f t="shared" si="12"/>
        <v>2.1532388300735694E-3</v>
      </c>
      <c r="F46" s="10">
        <f t="shared" si="12"/>
        <v>1.7118676668590113E-3</v>
      </c>
      <c r="G46" s="10">
        <f t="shared" si="12"/>
        <v>1.4108162579778301E-3</v>
      </c>
      <c r="H46" s="11">
        <f t="shared" si="9"/>
        <v>2.0922140056248719E-3</v>
      </c>
      <c r="I46" s="12"/>
      <c r="J46" s="10">
        <v>1.0513786947034319E-3</v>
      </c>
      <c r="K46" s="10">
        <v>1.0513786947034319E-3</v>
      </c>
      <c r="L46" s="10">
        <v>1.0513786947034319E-3</v>
      </c>
      <c r="M46" s="10">
        <v>1.0513786947034319E-3</v>
      </c>
      <c r="N46" s="10">
        <v>1.0513786947034319E-3</v>
      </c>
      <c r="O46" s="10">
        <v>1.0513786947034319E-3</v>
      </c>
      <c r="P46" s="10">
        <v>1.0513786947034319E-3</v>
      </c>
      <c r="Q46" s="10">
        <v>1.0513786947034319E-3</v>
      </c>
      <c r="R46" s="10">
        <v>1.0513786947034319E-3</v>
      </c>
      <c r="S46" s="10">
        <v>1.0513786947034319E-3</v>
      </c>
    </row>
    <row r="47" spans="1:19" ht="13.2" x14ac:dyDescent="0.25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3.2" x14ac:dyDescent="0.25">
      <c r="A48" s="25" t="s">
        <v>47</v>
      </c>
      <c r="B48" s="10">
        <f t="shared" ref="B48:G49" si="13">B17/B$4</f>
        <v>0.10932354691529458</v>
      </c>
      <c r="C48" s="10">
        <f t="shared" si="13"/>
        <v>0.13085160416490307</v>
      </c>
      <c r="D48" s="10">
        <f t="shared" si="13"/>
        <v>8.1899845121321632E-2</v>
      </c>
      <c r="E48" s="10">
        <f t="shared" si="13"/>
        <v>-0.21219371174512033</v>
      </c>
      <c r="F48" s="10">
        <f t="shared" si="13"/>
        <v>7.9938449701865755E-2</v>
      </c>
      <c r="G48" s="10">
        <f t="shared" si="13"/>
        <v>0.2049882431978502</v>
      </c>
      <c r="H48" s="11">
        <f t="shared" si="9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19" ht="13.2" x14ac:dyDescent="0.25">
      <c r="A49" s="25" t="s">
        <v>48</v>
      </c>
      <c r="B49" s="10">
        <f t="shared" si="13"/>
        <v>3.7790121007736557E-2</v>
      </c>
      <c r="C49" s="10">
        <f t="shared" si="13"/>
        <v>3.4559383729789221E-2</v>
      </c>
      <c r="D49" s="10">
        <f t="shared" si="13"/>
        <v>2.3149199793495095E-2</v>
      </c>
      <c r="E49" s="10">
        <f t="shared" si="13"/>
        <v>-2.659648703072353E-2</v>
      </c>
      <c r="F49" s="10">
        <f t="shared" si="13"/>
        <v>3.2256203115983838E-2</v>
      </c>
      <c r="G49" s="10">
        <f t="shared" si="13"/>
        <v>8.3389318105475313E-2</v>
      </c>
      <c r="H49" s="11">
        <f t="shared" si="9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</row>
    <row r="50" spans="1:19" ht="13.2" x14ac:dyDescent="0.25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13.2" x14ac:dyDescent="0.25">
      <c r="A51" s="25" t="s">
        <v>49</v>
      </c>
      <c r="B51" s="10">
        <f t="shared" ref="B51:G52" si="14">B20/B$4</f>
        <v>7.1533425907558026E-2</v>
      </c>
      <c r="C51" s="10">
        <f t="shared" si="14"/>
        <v>9.6292220435113859E-2</v>
      </c>
      <c r="D51" s="10">
        <f t="shared" si="14"/>
        <v>5.8750645327826534E-2</v>
      </c>
      <c r="E51" s="10">
        <f t="shared" si="14"/>
        <v>-0.1855972247143968</v>
      </c>
      <c r="F51" s="10">
        <f t="shared" si="14"/>
        <v>4.7682246585881903E-2</v>
      </c>
      <c r="G51" s="10">
        <f t="shared" si="14"/>
        <v>0.12159892509237487</v>
      </c>
      <c r="H51" s="11">
        <f t="shared" si="9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19" ht="13.2" x14ac:dyDescent="0.25">
      <c r="A52" s="25" t="s">
        <v>50</v>
      </c>
      <c r="B52" s="10">
        <f t="shared" si="14"/>
        <v>8.3316802221781398E-4</v>
      </c>
      <c r="C52" s="10">
        <f t="shared" si="14"/>
        <v>9.3117751629560668E-4</v>
      </c>
      <c r="D52" s="10">
        <f t="shared" si="14"/>
        <v>9.2927207021166751E-4</v>
      </c>
      <c r="E52" s="10">
        <f t="shared" si="14"/>
        <v>6.9780888011643444E-4</v>
      </c>
      <c r="F52" s="10">
        <f t="shared" si="14"/>
        <v>7.1167532217734182E-4</v>
      </c>
      <c r="G52" s="10">
        <f t="shared" si="14"/>
        <v>6.7181726570372856E-4</v>
      </c>
      <c r="H52" s="11">
        <f t="shared" si="9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19" ht="13.2" x14ac:dyDescent="0.25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ht="13.2" x14ac:dyDescent="0.25">
      <c r="A54" s="25" t="s">
        <v>51</v>
      </c>
      <c r="B54" s="10">
        <f t="shared" ref="B54:G54" si="15">B23/B$4</f>
        <v>7.0700257885340206E-2</v>
      </c>
      <c r="C54" s="10">
        <f t="shared" si="15"/>
        <v>9.5361042918818265E-2</v>
      </c>
      <c r="D54" s="10">
        <f t="shared" si="15"/>
        <v>5.7821373257614869E-2</v>
      </c>
      <c r="E54" s="10">
        <f t="shared" si="15"/>
        <v>-0.18629503359451324</v>
      </c>
      <c r="F54" s="10">
        <f t="shared" si="15"/>
        <v>4.6970571263704554E-2</v>
      </c>
      <c r="G54" s="10">
        <f t="shared" si="15"/>
        <v>0.12092710782667114</v>
      </c>
      <c r="H54" s="11">
        <f t="shared" si="9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19" ht="13.2" x14ac:dyDescent="0.25">
      <c r="A55" s="59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19" ht="13.2" x14ac:dyDescent="0.25">
      <c r="A56" s="59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19" ht="13.2" x14ac:dyDescent="0.25">
      <c r="A57" s="59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19" x14ac:dyDescent="0.2">
      <c r="A58" s="59"/>
      <c r="I58" s="12"/>
      <c r="J58" s="12"/>
      <c r="K58" s="12"/>
      <c r="L58" s="12"/>
      <c r="M58" s="12"/>
      <c r="N58" s="12"/>
      <c r="O58" s="12"/>
    </row>
    <row r="59" spans="1:19" ht="13.2" x14ac:dyDescent="0.25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19" ht="13.2" x14ac:dyDescent="0.25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19" ht="13.2" x14ac:dyDescent="0.25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19" ht="13.2" x14ac:dyDescent="0.25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19" ht="13.2" x14ac:dyDescent="0.25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19" ht="13.2" x14ac:dyDescent="0.25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3.2" x14ac:dyDescent="0.25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3.2" x14ac:dyDescent="0.25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3.2" x14ac:dyDescent="0.25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3.2" x14ac:dyDescent="0.25">
      <c r="A68" s="2"/>
      <c r="B68" s="2"/>
      <c r="C68" s="2"/>
      <c r="D68" s="2"/>
      <c r="E68" s="2"/>
      <c r="F68" s="2"/>
      <c r="G68" s="2"/>
      <c r="H68" s="2"/>
    </row>
    <row r="69" spans="1:8" ht="13.2" x14ac:dyDescent="0.25">
      <c r="B69" s="2"/>
      <c r="C69" s="2"/>
      <c r="D69" s="2"/>
      <c r="E69" s="2"/>
      <c r="F69" s="2"/>
      <c r="G69" s="2"/>
    </row>
    <row r="70" spans="1:8" ht="13.2" x14ac:dyDescent="0.25">
      <c r="B70" s="2"/>
      <c r="C70" s="2"/>
      <c r="D70" s="2"/>
      <c r="E70" s="2"/>
      <c r="F70" s="2"/>
      <c r="G70" s="2"/>
    </row>
  </sheetData>
  <phoneticPr fontId="0" type="noConversion"/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2" manualBreakCount="2">
    <brk id="8" max="1048575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4" zoomScaleNormal="100" workbookViewId="0">
      <selection activeCell="D25" sqref="D25"/>
    </sheetView>
  </sheetViews>
  <sheetFormatPr defaultRowHeight="10.199999999999999" x14ac:dyDescent="0.2"/>
  <cols>
    <col min="1" max="1" width="75.42578125" bestFit="1" customWidth="1"/>
    <col min="2" max="2" width="13.42578125" bestFit="1" customWidth="1"/>
    <col min="3" max="5" width="13" bestFit="1" customWidth="1"/>
    <col min="6" max="6" width="14.7109375" customWidth="1"/>
    <col min="7" max="7" width="11.85546875" customWidth="1"/>
    <col min="8" max="8" width="76.140625" bestFit="1" customWidth="1"/>
    <col min="9" max="9" width="12.85546875" customWidth="1"/>
    <col min="10" max="10" width="12.7109375" customWidth="1"/>
    <col min="11" max="12" width="13.28515625" customWidth="1"/>
    <col min="13" max="13" width="11.42578125" customWidth="1"/>
    <col min="14" max="14" width="9.42578125" bestFit="1" customWidth="1"/>
  </cols>
  <sheetData>
    <row r="1" spans="1:14" ht="13.2" x14ac:dyDescent="0.25">
      <c r="A1" s="25" t="s">
        <v>39</v>
      </c>
      <c r="B1" s="2"/>
      <c r="C1" s="2"/>
      <c r="D1" s="2"/>
      <c r="E1" s="2"/>
      <c r="F1" s="2"/>
      <c r="G1" s="2"/>
      <c r="H1" s="25" t="s">
        <v>39</v>
      </c>
      <c r="I1" s="2"/>
      <c r="J1" s="2"/>
      <c r="K1" s="2"/>
      <c r="L1" s="2"/>
      <c r="M1" s="2"/>
    </row>
    <row r="2" spans="1:14" ht="13.2" x14ac:dyDescent="0.25">
      <c r="A2" s="25"/>
      <c r="B2" s="2"/>
      <c r="C2" s="2"/>
      <c r="D2" s="2"/>
      <c r="E2" s="2"/>
      <c r="F2" s="2"/>
      <c r="G2" s="2"/>
      <c r="H2" s="25"/>
      <c r="I2" s="2"/>
      <c r="J2" s="25" t="s">
        <v>235</v>
      </c>
      <c r="K2" s="2"/>
      <c r="L2" s="2"/>
      <c r="M2" s="2"/>
      <c r="N2" s="2"/>
    </row>
    <row r="3" spans="1:14" ht="13.2" x14ac:dyDescent="0.25">
      <c r="A3" s="25" t="s">
        <v>56</v>
      </c>
      <c r="B3" s="2"/>
      <c r="C3" s="2"/>
      <c r="D3" s="2"/>
      <c r="E3" s="2"/>
      <c r="F3" s="2"/>
      <c r="G3" s="2"/>
      <c r="H3" s="25" t="s">
        <v>56</v>
      </c>
      <c r="I3" s="2"/>
      <c r="J3" s="2"/>
      <c r="K3" s="2"/>
      <c r="L3" s="15"/>
      <c r="M3" s="2"/>
      <c r="N3" s="2"/>
    </row>
    <row r="4" spans="1:14" ht="13.2" x14ac:dyDescent="0.25">
      <c r="A4" s="25" t="s">
        <v>57</v>
      </c>
      <c r="B4" s="60">
        <v>36891</v>
      </c>
      <c r="C4" s="60">
        <v>36525</v>
      </c>
      <c r="D4" s="60">
        <v>36160</v>
      </c>
      <c r="E4" s="60">
        <v>35795</v>
      </c>
      <c r="F4" s="60">
        <v>35430</v>
      </c>
      <c r="G4" s="21"/>
      <c r="H4" s="25" t="s">
        <v>57</v>
      </c>
      <c r="I4" s="61">
        <v>36891</v>
      </c>
      <c r="J4" s="61">
        <v>36525</v>
      </c>
      <c r="K4" s="61">
        <v>36160</v>
      </c>
      <c r="L4" s="61">
        <v>35795</v>
      </c>
      <c r="M4" s="61">
        <v>35430</v>
      </c>
      <c r="N4" s="22" t="s">
        <v>118</v>
      </c>
    </row>
    <row r="5" spans="1:14" ht="13.2" x14ac:dyDescent="0.25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2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3.2" x14ac:dyDescent="0.25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2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3.2" x14ac:dyDescent="0.25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2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3.2" x14ac:dyDescent="0.25">
      <c r="A8" s="25" t="s">
        <v>61</v>
      </c>
      <c r="B8" s="2"/>
      <c r="C8" s="2"/>
      <c r="D8" s="2"/>
      <c r="E8" s="2"/>
      <c r="F8" s="2"/>
      <c r="G8" s="2"/>
      <c r="H8" s="25" t="s">
        <v>61</v>
      </c>
      <c r="I8" s="10"/>
      <c r="J8" s="10"/>
      <c r="K8" s="10"/>
      <c r="L8" s="10"/>
      <c r="M8" s="10"/>
      <c r="N8" s="2"/>
    </row>
    <row r="9" spans="1:14" ht="13.2" x14ac:dyDescent="0.25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2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3.2" x14ac:dyDescent="0.25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2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3.2" x14ac:dyDescent="0.25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2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3.2" x14ac:dyDescent="0.25">
      <c r="A12" s="25"/>
      <c r="B12" s="2"/>
      <c r="C12" s="2"/>
      <c r="D12" s="2"/>
      <c r="E12" s="2"/>
      <c r="F12" s="2"/>
      <c r="G12" s="2"/>
      <c r="H12" s="25"/>
      <c r="I12" s="10"/>
      <c r="J12" s="10"/>
      <c r="K12" s="10"/>
      <c r="L12" s="10"/>
      <c r="M12" s="10"/>
      <c r="N12" s="2"/>
    </row>
    <row r="13" spans="1:14" ht="13.2" x14ac:dyDescent="0.25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2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3.2" x14ac:dyDescent="0.25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2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3.2" x14ac:dyDescent="0.25">
      <c r="A15" s="25"/>
      <c r="B15" s="2"/>
      <c r="C15" s="2"/>
      <c r="D15" s="2"/>
      <c r="E15" s="2"/>
      <c r="F15" s="2"/>
      <c r="G15" s="2"/>
      <c r="H15" s="25"/>
      <c r="I15" s="10"/>
      <c r="J15" s="10"/>
      <c r="K15" s="10"/>
      <c r="L15" s="10"/>
      <c r="M15" s="10"/>
      <c r="N15" s="2"/>
    </row>
    <row r="16" spans="1:14" ht="13.2" x14ac:dyDescent="0.25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2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3.2" x14ac:dyDescent="0.25">
      <c r="A17" s="25" t="s">
        <v>68</v>
      </c>
      <c r="B17" s="2"/>
      <c r="C17" s="2"/>
      <c r="D17" s="2"/>
      <c r="E17" s="2"/>
      <c r="F17" s="2"/>
      <c r="G17" s="2"/>
      <c r="H17" s="25" t="s">
        <v>68</v>
      </c>
      <c r="I17" s="2"/>
      <c r="J17" s="2"/>
      <c r="K17" s="2"/>
      <c r="L17" s="2"/>
      <c r="M17" s="2"/>
      <c r="N17" s="2"/>
    </row>
    <row r="18" spans="1:14" ht="13.2" x14ac:dyDescent="0.25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2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3.2" x14ac:dyDescent="0.25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2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3.2" x14ac:dyDescent="0.25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2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3.2" x14ac:dyDescent="0.25">
      <c r="A21" s="25"/>
      <c r="B21" s="2"/>
      <c r="C21" s="2"/>
      <c r="D21" s="2"/>
      <c r="E21" s="2"/>
      <c r="F21" s="2"/>
      <c r="G21" s="2"/>
      <c r="H21" s="25"/>
      <c r="I21" s="2"/>
      <c r="J21" s="2"/>
      <c r="K21" s="2"/>
      <c r="L21" s="2"/>
      <c r="M21" s="2"/>
      <c r="N21" s="2"/>
    </row>
    <row r="22" spans="1:14" ht="13.2" x14ac:dyDescent="0.25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2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3.2" x14ac:dyDescent="0.25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2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3.2" x14ac:dyDescent="0.25">
      <c r="A24" s="25"/>
      <c r="B24" s="2"/>
      <c r="C24" s="2"/>
      <c r="D24" s="2"/>
      <c r="E24" s="2"/>
      <c r="F24" s="2"/>
      <c r="G24" s="2"/>
      <c r="H24" s="25"/>
      <c r="I24" s="2"/>
      <c r="J24" s="2"/>
      <c r="K24" s="2"/>
      <c r="L24" s="2"/>
      <c r="M24" s="2"/>
      <c r="N24" s="2"/>
    </row>
    <row r="25" spans="1:14" ht="13.2" x14ac:dyDescent="0.25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2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3.2" x14ac:dyDescent="0.25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2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3.2" x14ac:dyDescent="0.25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2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3.2" x14ac:dyDescent="0.25">
      <c r="A28" s="25"/>
      <c r="B28" s="2"/>
      <c r="C28" s="2"/>
      <c r="D28" s="2"/>
      <c r="E28" s="2"/>
      <c r="F28" s="2"/>
      <c r="G28" s="2"/>
      <c r="H28" s="25"/>
      <c r="I28" s="2"/>
      <c r="J28" s="2"/>
      <c r="K28" s="2"/>
      <c r="L28" s="2"/>
      <c r="M28" s="2"/>
      <c r="N28" s="2"/>
    </row>
    <row r="29" spans="1:14" ht="13.2" x14ac:dyDescent="0.25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2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3.2" x14ac:dyDescent="0.25">
      <c r="A30" s="25"/>
      <c r="B30" s="2"/>
      <c r="C30" s="2"/>
      <c r="D30" s="2"/>
      <c r="E30" s="2"/>
      <c r="F30" s="2"/>
      <c r="G30" s="2"/>
      <c r="H30" s="25"/>
      <c r="I30" s="2"/>
      <c r="J30" s="2"/>
      <c r="K30" s="2"/>
      <c r="L30" s="2"/>
      <c r="M30" s="2"/>
      <c r="N30" s="2"/>
    </row>
    <row r="31" spans="1:14" ht="13.2" x14ac:dyDescent="0.25">
      <c r="A31" s="25" t="s">
        <v>78</v>
      </c>
      <c r="B31" s="2"/>
      <c r="C31" s="2"/>
      <c r="D31" s="2"/>
      <c r="E31" s="2"/>
      <c r="F31" s="2"/>
      <c r="G31" s="2"/>
      <c r="H31" s="25" t="s">
        <v>78</v>
      </c>
      <c r="I31" s="2"/>
      <c r="J31" s="2"/>
      <c r="K31" s="2"/>
      <c r="L31" s="2"/>
      <c r="M31" s="2"/>
    </row>
    <row r="32" spans="1:14" ht="13.2" x14ac:dyDescent="0.25">
      <c r="A32" s="25" t="s">
        <v>79</v>
      </c>
      <c r="B32" s="2"/>
      <c r="C32" s="2"/>
      <c r="D32" s="2"/>
      <c r="E32" s="2"/>
      <c r="F32" s="2"/>
      <c r="G32" s="2"/>
      <c r="H32" s="25" t="s">
        <v>79</v>
      </c>
      <c r="I32" s="2"/>
      <c r="J32" s="2"/>
      <c r="K32" s="2"/>
      <c r="L32" s="2"/>
      <c r="M32" s="2"/>
    </row>
    <row r="33" spans="1:14" ht="13.2" x14ac:dyDescent="0.25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2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3.2" x14ac:dyDescent="0.25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2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3.2" x14ac:dyDescent="0.25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2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3.2" x14ac:dyDescent="0.25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2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3.2" x14ac:dyDescent="0.25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2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3.2" x14ac:dyDescent="0.25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2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3.2" x14ac:dyDescent="0.25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2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3.2" x14ac:dyDescent="0.25">
      <c r="A40" s="25"/>
      <c r="B40" s="2"/>
      <c r="C40" s="2"/>
      <c r="D40" s="2"/>
      <c r="E40" s="2"/>
      <c r="F40" s="2"/>
      <c r="G40" s="2"/>
      <c r="H40" s="25"/>
      <c r="I40" s="2"/>
      <c r="J40" s="2"/>
      <c r="K40" s="2"/>
      <c r="L40" s="2"/>
      <c r="M40" s="2"/>
      <c r="N40" s="2"/>
    </row>
    <row r="41" spans="1:14" ht="13.2" x14ac:dyDescent="0.25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2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3.2" x14ac:dyDescent="0.25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2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3.2" x14ac:dyDescent="0.25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2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3.2" x14ac:dyDescent="0.25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2"/>
      <c r="H44" s="25" t="s">
        <v>104</v>
      </c>
      <c r="I44" s="2"/>
      <c r="J44" s="2"/>
      <c r="K44" s="2"/>
      <c r="L44" s="2"/>
      <c r="M44" s="2"/>
    </row>
    <row r="45" spans="1:14" ht="13.2" x14ac:dyDescent="0.25">
      <c r="A45" s="25" t="s">
        <v>90</v>
      </c>
      <c r="B45" s="2"/>
      <c r="C45" s="2"/>
      <c r="D45" s="2"/>
      <c r="E45" s="2"/>
      <c r="F45" s="2"/>
      <c r="G45" s="2"/>
      <c r="H45" s="25" t="s">
        <v>90</v>
      </c>
      <c r="I45" s="2"/>
      <c r="J45" s="2"/>
      <c r="K45" s="2"/>
      <c r="L45" s="2"/>
      <c r="M45" s="2"/>
    </row>
    <row r="46" spans="1:14" ht="13.2" x14ac:dyDescent="0.25">
      <c r="A46" s="25" t="s">
        <v>91</v>
      </c>
      <c r="B46" s="2"/>
      <c r="C46" s="2"/>
      <c r="D46" s="2"/>
      <c r="E46" s="2"/>
      <c r="F46" s="2"/>
      <c r="G46" s="2"/>
      <c r="H46" s="25" t="s">
        <v>91</v>
      </c>
      <c r="I46" s="2"/>
      <c r="J46" s="2"/>
      <c r="K46" s="2"/>
      <c r="L46" s="2"/>
      <c r="M46" s="2"/>
    </row>
    <row r="47" spans="1:14" ht="13.2" x14ac:dyDescent="0.25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/>
      <c r="H47" s="25" t="s">
        <v>105</v>
      </c>
      <c r="I47" s="2"/>
      <c r="J47" s="2"/>
      <c r="K47" s="2"/>
      <c r="L47" s="2"/>
      <c r="M47" s="2"/>
    </row>
    <row r="48" spans="1:14" ht="13.2" x14ac:dyDescent="0.25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2"/>
      <c r="H48" s="25" t="s">
        <v>92</v>
      </c>
      <c r="I48" s="2"/>
      <c r="J48" s="2"/>
      <c r="K48" s="2"/>
      <c r="L48" s="2"/>
      <c r="M48" s="2"/>
    </row>
    <row r="49" spans="1:14" ht="13.2" x14ac:dyDescent="0.25">
      <c r="A49" s="25" t="s">
        <v>93</v>
      </c>
      <c r="B49" s="2"/>
      <c r="C49" s="2"/>
      <c r="D49" s="2"/>
      <c r="E49" s="2"/>
      <c r="F49" s="2"/>
      <c r="G49" s="2"/>
      <c r="H49" s="25" t="s">
        <v>93</v>
      </c>
      <c r="I49" s="2"/>
      <c r="J49" s="2"/>
      <c r="K49" s="2"/>
      <c r="L49" s="2"/>
      <c r="M49" s="2"/>
    </row>
    <row r="50" spans="1:14" ht="13.2" x14ac:dyDescent="0.25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2"/>
      <c r="H50" s="25" t="s">
        <v>94</v>
      </c>
      <c r="I50" s="2"/>
      <c r="J50" s="2"/>
      <c r="K50" s="2"/>
      <c r="L50" s="2"/>
      <c r="M50" s="2"/>
    </row>
    <row r="51" spans="1:14" ht="13.2" x14ac:dyDescent="0.25">
      <c r="A51" s="25" t="s">
        <v>95</v>
      </c>
      <c r="B51" s="2"/>
      <c r="C51" s="2"/>
      <c r="D51" s="2"/>
      <c r="E51" s="2"/>
      <c r="F51" s="2"/>
      <c r="G51" s="2"/>
      <c r="H51" s="25" t="s">
        <v>95</v>
      </c>
      <c r="I51" s="2"/>
      <c r="J51" s="2"/>
      <c r="K51" s="2"/>
      <c r="L51" s="2"/>
      <c r="M51" s="2"/>
    </row>
    <row r="52" spans="1:14" ht="13.2" x14ac:dyDescent="0.25">
      <c r="A52" s="25" t="s">
        <v>96</v>
      </c>
      <c r="B52" s="2"/>
      <c r="C52" s="2"/>
      <c r="D52" s="2"/>
      <c r="E52" s="2"/>
      <c r="F52" s="2"/>
      <c r="G52" s="2"/>
      <c r="H52" s="25" t="s">
        <v>96</v>
      </c>
      <c r="I52" s="2"/>
      <c r="J52" s="2"/>
      <c r="K52" s="2"/>
      <c r="L52" s="2"/>
      <c r="M52" s="2"/>
    </row>
    <row r="53" spans="1:14" ht="13.2" x14ac:dyDescent="0.25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2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3.2" x14ac:dyDescent="0.25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2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3.2" x14ac:dyDescent="0.25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2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3.2" x14ac:dyDescent="0.25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2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3.2" x14ac:dyDescent="0.25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2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3.2" x14ac:dyDescent="0.25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2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3.2" x14ac:dyDescent="0.25">
      <c r="A59" s="25"/>
      <c r="B59" s="2"/>
      <c r="C59" s="2"/>
      <c r="D59" s="2"/>
      <c r="E59" s="2"/>
      <c r="F59" s="2"/>
      <c r="G59" s="2"/>
      <c r="H59" s="25"/>
      <c r="I59" s="2"/>
      <c r="J59" s="2"/>
      <c r="K59" s="2"/>
      <c r="L59" s="2"/>
      <c r="M59" s="2"/>
      <c r="N59" s="2"/>
    </row>
    <row r="60" spans="1:14" ht="13.2" x14ac:dyDescent="0.25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2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3.2" x14ac:dyDescent="0.25">
      <c r="A61" s="25"/>
      <c r="B61" s="2"/>
      <c r="C61" s="2"/>
      <c r="D61" s="2"/>
      <c r="E61" s="2"/>
      <c r="F61" s="2"/>
      <c r="G61" s="2"/>
      <c r="H61" s="25"/>
      <c r="I61" s="2"/>
      <c r="J61" s="2"/>
      <c r="K61" s="2"/>
      <c r="L61" s="2"/>
      <c r="M61" s="2"/>
      <c r="N61" s="2"/>
    </row>
    <row r="62" spans="1:14" ht="13.2" x14ac:dyDescent="0.25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2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25" ht="13.2" x14ac:dyDescent="0.25">
      <c r="A65" s="2"/>
    </row>
    <row r="66" spans="1:25" ht="13.2" x14ac:dyDescent="0.25">
      <c r="A66" s="25" t="s">
        <v>39</v>
      </c>
      <c r="B66" s="2"/>
      <c r="C66" s="20" t="s">
        <v>120</v>
      </c>
      <c r="E66" s="2"/>
      <c r="F66" s="2"/>
      <c r="G66" s="2"/>
      <c r="H66" s="25" t="s">
        <v>39</v>
      </c>
      <c r="I66" s="2"/>
      <c r="J66" s="2"/>
      <c r="K66" s="2"/>
      <c r="M66" s="25" t="s">
        <v>136</v>
      </c>
    </row>
    <row r="67" spans="1:25" ht="13.2" x14ac:dyDescent="0.25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</row>
    <row r="68" spans="1:25" ht="13.2" x14ac:dyDescent="0.25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7"/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3.2" x14ac:dyDescent="0.25">
      <c r="A69" s="25" t="s">
        <v>57</v>
      </c>
      <c r="B69" s="2"/>
      <c r="C69" s="2"/>
      <c r="D69" s="2"/>
      <c r="E69" s="2"/>
      <c r="F69" s="2"/>
      <c r="G69" s="16" t="s">
        <v>118</v>
      </c>
      <c r="H69" s="25" t="s">
        <v>57</v>
      </c>
      <c r="I69" s="2"/>
      <c r="J69" s="2"/>
      <c r="K69" s="2"/>
      <c r="L69" s="2"/>
      <c r="M69" s="2"/>
    </row>
    <row r="70" spans="1:25" ht="13.2" x14ac:dyDescent="0.25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1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3.2" x14ac:dyDescent="0.25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1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3.2" x14ac:dyDescent="0.25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1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3.2" x14ac:dyDescent="0.25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1">
        <f t="shared" si="11"/>
        <v>0</v>
      </c>
      <c r="H73" s="25" t="s">
        <v>61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</row>
    <row r="74" spans="1:25" ht="13.2" x14ac:dyDescent="0.25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1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</row>
    <row r="75" spans="1:25" ht="13.2" x14ac:dyDescent="0.25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1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3.2" x14ac:dyDescent="0.25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1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3.2" x14ac:dyDescent="0.25">
      <c r="A77" s="25"/>
      <c r="H77" s="25"/>
    </row>
    <row r="78" spans="1:25" ht="13.2" x14ac:dyDescent="0.25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1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</row>
    <row r="79" spans="1:25" ht="13.2" x14ac:dyDescent="0.25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1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3.2" x14ac:dyDescent="0.25">
      <c r="A80" s="25"/>
      <c r="H80" s="25"/>
    </row>
    <row r="81" spans="1:18" ht="13.2" x14ac:dyDescent="0.25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1">
        <f>SUM(B81:F81)/5</f>
        <v>0.20785933178202659</v>
      </c>
      <c r="H81" s="25" t="s">
        <v>67</v>
      </c>
      <c r="I81" s="10">
        <v>0.20109105336242811</v>
      </c>
      <c r="J81" s="10">
        <v>0.20109105336242811</v>
      </c>
      <c r="K81" s="10">
        <v>0.20109105336242811</v>
      </c>
      <c r="L81" s="10">
        <v>0.20109105336242811</v>
      </c>
      <c r="M81" s="10">
        <v>0.20109105336242811</v>
      </c>
      <c r="N81" s="10">
        <v>0.20109105336242811</v>
      </c>
      <c r="O81" s="10">
        <v>0.20109105336242811</v>
      </c>
      <c r="P81" s="10">
        <v>0.20109105336242811</v>
      </c>
      <c r="Q81" s="10">
        <v>0.20109105336242811</v>
      </c>
      <c r="R81" s="10">
        <v>0.20109105336242811</v>
      </c>
    </row>
    <row r="82" spans="1:18" ht="13.2" x14ac:dyDescent="0.25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1">
        <f>SUM(B82:F82)/5</f>
        <v>0</v>
      </c>
      <c r="H82" s="25" t="s">
        <v>68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 ht="13.2" x14ac:dyDescent="0.25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1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8" ht="13.2" x14ac:dyDescent="0.25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1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8" ht="13.2" x14ac:dyDescent="0.25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1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8" ht="13.2" x14ac:dyDescent="0.25">
      <c r="A86" s="25"/>
      <c r="H86" s="25"/>
    </row>
    <row r="87" spans="1:18" ht="13.2" x14ac:dyDescent="0.25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1">
        <f>SUM(B87:F87)/5</f>
        <v>0.38102024806260804</v>
      </c>
      <c r="H87" s="25" t="s">
        <v>72</v>
      </c>
      <c r="I87" s="10">
        <v>0.38238444753025191</v>
      </c>
      <c r="J87" s="10">
        <v>0.38238444753025191</v>
      </c>
      <c r="K87" s="10">
        <v>0.38238444753025191</v>
      </c>
      <c r="L87" s="10">
        <v>0.38238444753025191</v>
      </c>
      <c r="M87" s="10">
        <v>0.38238444753025191</v>
      </c>
      <c r="N87" s="10">
        <v>0.38238444753025191</v>
      </c>
      <c r="O87" s="10">
        <v>0.38238444753025191</v>
      </c>
      <c r="P87" s="10">
        <v>0.38238444753025191</v>
      </c>
      <c r="Q87" s="10">
        <v>0.38238444753025191</v>
      </c>
      <c r="R87" s="10">
        <v>0.38238444753025191</v>
      </c>
    </row>
    <row r="88" spans="1:18" ht="13.2" x14ac:dyDescent="0.25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1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8" ht="13.2" x14ac:dyDescent="0.25">
      <c r="A89" s="25"/>
      <c r="H89" s="25"/>
    </row>
    <row r="90" spans="1:18" ht="13.2" x14ac:dyDescent="0.25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1">
        <f>SUM(B90:F90)/5</f>
        <v>0.22811022274107767</v>
      </c>
      <c r="H90" s="25" t="s">
        <v>74</v>
      </c>
      <c r="I90" s="10">
        <v>0.22217813925808372</v>
      </c>
      <c r="J90" s="10">
        <v>0.22217813925808372</v>
      </c>
      <c r="K90" s="10">
        <v>0.22217813925808372</v>
      </c>
      <c r="L90" s="10">
        <v>0.22217813925808372</v>
      </c>
      <c r="M90" s="10">
        <v>0.22217813925808372</v>
      </c>
      <c r="N90" s="10">
        <v>0.22217813925808372</v>
      </c>
      <c r="O90" s="10">
        <v>0.22217813925808372</v>
      </c>
      <c r="P90" s="10">
        <v>0.22217813925808372</v>
      </c>
      <c r="Q90" s="10">
        <v>0.22217813925808372</v>
      </c>
      <c r="R90" s="10">
        <v>0.22217813925808372</v>
      </c>
    </row>
    <row r="91" spans="1:18" ht="13.2" x14ac:dyDescent="0.25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1">
        <f>SUM(B91:F91)/5</f>
        <v>0.12930699301480475</v>
      </c>
      <c r="H91" s="25" t="s">
        <v>75</v>
      </c>
      <c r="I91" s="10">
        <v>4.5467169212457845E-2</v>
      </c>
      <c r="J91" s="10">
        <v>4.5467169212457845E-2</v>
      </c>
      <c r="K91" s="10">
        <v>4.5467169212457845E-2</v>
      </c>
      <c r="L91" s="10">
        <v>4.5467169212457845E-2</v>
      </c>
      <c r="M91" s="10">
        <v>4.5467169212457845E-2</v>
      </c>
      <c r="N91" s="10">
        <v>4.5467169212457845E-2</v>
      </c>
      <c r="O91" s="10">
        <v>4.5467169212457845E-2</v>
      </c>
      <c r="P91" s="10">
        <v>4.5467169212457845E-2</v>
      </c>
      <c r="Q91" s="10">
        <v>4.5467169212457845E-2</v>
      </c>
      <c r="R91" s="10">
        <v>4.5467169212457845E-2</v>
      </c>
    </row>
    <row r="92" spans="1:18" ht="13.2" x14ac:dyDescent="0.25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1">
        <f>SUM(B92:F92)/5</f>
        <v>1.2378764078340081E-2</v>
      </c>
      <c r="H92" s="25" t="s">
        <v>76</v>
      </c>
      <c r="I92" s="10">
        <v>1.1089069629041857E-2</v>
      </c>
      <c r="J92" s="10">
        <v>1.1089069629041857E-2</v>
      </c>
      <c r="K92" s="10">
        <v>1.1089069629041857E-2</v>
      </c>
      <c r="L92" s="10">
        <v>1.1089069629041857E-2</v>
      </c>
      <c r="M92" s="10">
        <v>1.1089069629041857E-2</v>
      </c>
      <c r="N92" s="10">
        <v>1.1089069629041857E-2</v>
      </c>
      <c r="O92" s="10">
        <v>1.1089069629041857E-2</v>
      </c>
      <c r="P92" s="10">
        <v>1.1089069629041857E-2</v>
      </c>
      <c r="Q92" s="10">
        <v>1.1089069629041857E-2</v>
      </c>
      <c r="R92" s="10">
        <v>1.1089069629041857E-2</v>
      </c>
    </row>
    <row r="93" spans="1:18" ht="13.2" x14ac:dyDescent="0.25">
      <c r="A93" s="25"/>
      <c r="H93" s="25"/>
    </row>
    <row r="94" spans="1:18" ht="13.2" x14ac:dyDescent="0.25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1">
        <f>SUM(B94:F94)/5</f>
        <v>0.57765531161624906</v>
      </c>
      <c r="H94" s="25" t="s">
        <v>77</v>
      </c>
      <c r="I94" s="10">
        <v>0.47982543146201156</v>
      </c>
      <c r="J94" s="10">
        <v>0.47982543146201156</v>
      </c>
      <c r="K94" s="10">
        <v>0.47982543146201156</v>
      </c>
      <c r="L94" s="10">
        <v>0.47982543146201156</v>
      </c>
      <c r="M94" s="10">
        <v>0.47982543146201156</v>
      </c>
      <c r="N94" s="10">
        <v>0.47982543146201156</v>
      </c>
      <c r="O94" s="10">
        <v>0.47982543146201156</v>
      </c>
      <c r="P94" s="10">
        <v>0.47982543146201156</v>
      </c>
      <c r="Q94" s="10">
        <v>0.47982543146201156</v>
      </c>
      <c r="R94" s="10">
        <v>0.47982543146201156</v>
      </c>
    </row>
    <row r="95" spans="1:18" ht="13.2" x14ac:dyDescent="0.25">
      <c r="A95" s="25"/>
      <c r="H95" s="25"/>
    </row>
    <row r="96" spans="1:18" ht="13.2" x14ac:dyDescent="0.25">
      <c r="A96" s="25" t="s">
        <v>78</v>
      </c>
      <c r="B96" s="10">
        <f>B31/'OAT Income Statement'!B$4</f>
        <v>0</v>
      </c>
      <c r="H96" s="25" t="s">
        <v>78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 ht="13.2" x14ac:dyDescent="0.25">
      <c r="A97" s="25" t="s">
        <v>79</v>
      </c>
      <c r="H97" s="25" t="s">
        <v>79</v>
      </c>
    </row>
    <row r="98" spans="1:18" ht="13.2" x14ac:dyDescent="0.25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1">
        <f t="shared" ref="G98:G104" si="12">SUM(B98:F98)/5</f>
        <v>3.0366500043477518E-2</v>
      </c>
      <c r="H98" s="25" t="s">
        <v>80</v>
      </c>
      <c r="I98" s="10">
        <v>1.6187264431660384E-2</v>
      </c>
      <c r="J98" s="10">
        <v>1.6187264431660384E-2</v>
      </c>
      <c r="K98" s="10">
        <v>1.6187264431660384E-2</v>
      </c>
      <c r="L98" s="10">
        <v>1.6187264431660384E-2</v>
      </c>
      <c r="M98" s="10">
        <v>1.6187264431660384E-2</v>
      </c>
      <c r="N98" s="10">
        <v>1.6187264431660384E-2</v>
      </c>
      <c r="O98" s="10">
        <v>1.6187264431660384E-2</v>
      </c>
      <c r="P98" s="10">
        <v>1.6187264431660384E-2</v>
      </c>
      <c r="Q98" s="10">
        <v>1.6187264431660384E-2</v>
      </c>
      <c r="R98" s="10">
        <v>1.6187264431660384E-2</v>
      </c>
    </row>
    <row r="99" spans="1:18" ht="13.2" x14ac:dyDescent="0.25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1">
        <f t="shared" si="12"/>
        <v>1.556131921651675E-2</v>
      </c>
      <c r="H99" s="25" t="s">
        <v>81</v>
      </c>
      <c r="I99" s="10">
        <v>9.5219202539178743E-3</v>
      </c>
      <c r="J99" s="10">
        <v>9.5219202539178743E-3</v>
      </c>
      <c r="K99" s="10">
        <v>9.5219202539178743E-3</v>
      </c>
      <c r="L99" s="10">
        <v>9.5219202539178743E-3</v>
      </c>
      <c r="M99" s="10">
        <v>9.5219202539178743E-3</v>
      </c>
      <c r="N99" s="10">
        <v>9.5219202539178743E-3</v>
      </c>
      <c r="O99" s="10">
        <v>9.5219202539178743E-3</v>
      </c>
      <c r="P99" s="10">
        <v>9.5219202539178743E-3</v>
      </c>
      <c r="Q99" s="10">
        <v>9.5219202539178743E-3</v>
      </c>
      <c r="R99" s="10">
        <v>9.5219202539178743E-3</v>
      </c>
    </row>
    <row r="100" spans="1:18" ht="13.2" x14ac:dyDescent="0.25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1">
        <f t="shared" si="12"/>
        <v>4.0133122646322808E-2</v>
      </c>
      <c r="H100" s="25" t="s">
        <v>82</v>
      </c>
      <c r="I100" s="10">
        <v>4.2114659789724264E-2</v>
      </c>
      <c r="J100" s="10">
        <v>4.2114659789724264E-2</v>
      </c>
      <c r="K100" s="10">
        <v>4.2114659789724264E-2</v>
      </c>
      <c r="L100" s="10">
        <v>4.2114659789724264E-2</v>
      </c>
      <c r="M100" s="10">
        <v>4.2114659789724264E-2</v>
      </c>
      <c r="N100" s="10">
        <v>4.2114659789724264E-2</v>
      </c>
      <c r="O100" s="10">
        <v>4.2114659789724264E-2</v>
      </c>
      <c r="P100" s="10">
        <v>4.2114659789724264E-2</v>
      </c>
      <c r="Q100" s="10">
        <v>4.2114659789724264E-2</v>
      </c>
      <c r="R100" s="10">
        <v>4.2114659789724264E-2</v>
      </c>
    </row>
    <row r="101" spans="1:18" ht="13.2" x14ac:dyDescent="0.25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1">
        <f t="shared" si="12"/>
        <v>2.626334545949428E-2</v>
      </c>
      <c r="H101" s="25" t="s">
        <v>83</v>
      </c>
      <c r="I101" s="10">
        <v>2.695893671890498E-2</v>
      </c>
      <c r="J101" s="10">
        <v>2.695893671890498E-2</v>
      </c>
      <c r="K101" s="10">
        <v>2.695893671890498E-2</v>
      </c>
      <c r="L101" s="10">
        <v>2.695893671890498E-2</v>
      </c>
      <c r="M101" s="10">
        <v>2.695893671890498E-2</v>
      </c>
      <c r="N101" s="10">
        <v>2.695893671890498E-2</v>
      </c>
      <c r="O101" s="10">
        <v>2.695893671890498E-2</v>
      </c>
      <c r="P101" s="10">
        <v>2.695893671890498E-2</v>
      </c>
      <c r="Q101" s="10">
        <v>2.695893671890498E-2</v>
      </c>
      <c r="R101" s="10">
        <v>2.695893671890498E-2</v>
      </c>
    </row>
    <row r="102" spans="1:18" ht="13.2" x14ac:dyDescent="0.25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1">
        <f t="shared" si="12"/>
        <v>2.5998089647341481E-2</v>
      </c>
      <c r="H102" s="25" t="s">
        <v>84</v>
      </c>
      <c r="I102" s="10">
        <v>2.513390200357072E-2</v>
      </c>
      <c r="J102" s="10">
        <v>2.513390200357072E-2</v>
      </c>
      <c r="K102" s="10">
        <v>2.513390200357072E-2</v>
      </c>
      <c r="L102" s="10">
        <v>2.513390200357072E-2</v>
      </c>
      <c r="M102" s="10">
        <v>2.513390200357072E-2</v>
      </c>
      <c r="N102" s="10">
        <v>2.513390200357072E-2</v>
      </c>
      <c r="O102" s="10">
        <v>2.513390200357072E-2</v>
      </c>
      <c r="P102" s="10">
        <v>2.513390200357072E-2</v>
      </c>
      <c r="Q102" s="10">
        <v>2.513390200357072E-2</v>
      </c>
      <c r="R102" s="10">
        <v>2.513390200357072E-2</v>
      </c>
    </row>
    <row r="103" spans="1:18" ht="13.2" x14ac:dyDescent="0.25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1">
        <f t="shared" si="12"/>
        <v>9.520922589420262E-3</v>
      </c>
      <c r="H103" s="25" t="s">
        <v>85</v>
      </c>
      <c r="I103" s="10">
        <v>3.0946240825233087E-3</v>
      </c>
      <c r="J103" s="10">
        <v>3.0946240825233087E-3</v>
      </c>
      <c r="K103" s="10">
        <v>3.0946240825233087E-3</v>
      </c>
      <c r="L103" s="10">
        <v>3.0946240825233087E-3</v>
      </c>
      <c r="M103" s="10">
        <v>3.0946240825233087E-3</v>
      </c>
      <c r="N103" s="10">
        <v>3.0946240825233087E-3</v>
      </c>
      <c r="O103" s="10">
        <v>3.0946240825233087E-3</v>
      </c>
      <c r="P103" s="10">
        <v>3.0946240825233087E-3</v>
      </c>
      <c r="Q103" s="10">
        <v>3.0946240825233087E-3</v>
      </c>
      <c r="R103" s="10">
        <v>3.0946240825233087E-3</v>
      </c>
    </row>
    <row r="104" spans="1:18" ht="13.2" x14ac:dyDescent="0.25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1">
        <f t="shared" si="12"/>
        <v>5.7507785335241424E-2</v>
      </c>
      <c r="H104" s="25" t="s">
        <v>86</v>
      </c>
      <c r="I104" s="10">
        <v>4.7669113271176358E-2</v>
      </c>
      <c r="J104" s="10">
        <v>4.7669113271176358E-2</v>
      </c>
      <c r="K104" s="10">
        <v>4.7669113271176358E-2</v>
      </c>
      <c r="L104" s="10">
        <v>4.7669113271176358E-2</v>
      </c>
      <c r="M104" s="10">
        <v>4.7669113271176358E-2</v>
      </c>
      <c r="N104" s="10">
        <v>4.7669113271176358E-2</v>
      </c>
      <c r="O104" s="10">
        <v>4.7669113271176358E-2</v>
      </c>
      <c r="P104" s="10">
        <v>4.7669113271176358E-2</v>
      </c>
      <c r="Q104" s="10">
        <v>4.7669113271176358E-2</v>
      </c>
      <c r="R104" s="10">
        <v>4.7669113271176358E-2</v>
      </c>
    </row>
    <row r="105" spans="1:18" ht="13.2" x14ac:dyDescent="0.25">
      <c r="A105" s="25"/>
      <c r="H105" s="25"/>
    </row>
    <row r="106" spans="1:18" ht="13.2" x14ac:dyDescent="0.25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1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v>0.17068042055147789</v>
      </c>
      <c r="N106" s="10">
        <v>0.17068042055147789</v>
      </c>
      <c r="O106" s="10">
        <v>0.17068042055147789</v>
      </c>
      <c r="P106" s="10">
        <v>0.17068042055147789</v>
      </c>
      <c r="Q106" s="10">
        <v>0.17068042055147789</v>
      </c>
      <c r="R106" s="10">
        <v>0.17068042055147789</v>
      </c>
    </row>
    <row r="107" spans="1:18" ht="13.2" x14ac:dyDescent="0.25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1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8" ht="13.2" x14ac:dyDescent="0.25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1">
        <f>SUM(B108:F108)/5</f>
        <v>0.10930608912626325</v>
      </c>
      <c r="H108" s="25" t="s">
        <v>89</v>
      </c>
      <c r="I108" s="10">
        <v>0.10275738940686371</v>
      </c>
      <c r="J108" s="10">
        <v>0.10275738940686371</v>
      </c>
      <c r="K108" s="10">
        <v>0.10275738940686371</v>
      </c>
      <c r="L108" s="10">
        <v>0.10275738940686371</v>
      </c>
      <c r="M108" s="10">
        <v>0.10275738940686371</v>
      </c>
      <c r="N108" s="10">
        <v>0.10275738940686371</v>
      </c>
      <c r="O108" s="10">
        <v>0.10275738940686371</v>
      </c>
      <c r="P108" s="10">
        <v>0.10275738940686371</v>
      </c>
      <c r="Q108" s="10">
        <v>0.10275738940686371</v>
      </c>
      <c r="R108" s="10">
        <v>0.10275738940686371</v>
      </c>
    </row>
    <row r="109" spans="1:18" ht="13.2" x14ac:dyDescent="0.25">
      <c r="A109" s="25" t="s">
        <v>104</v>
      </c>
      <c r="C109" s="10"/>
      <c r="H109" s="25" t="s">
        <v>104</v>
      </c>
    </row>
    <row r="110" spans="1:18" ht="13.2" x14ac:dyDescent="0.25">
      <c r="A110" s="25" t="s">
        <v>90</v>
      </c>
      <c r="B110" s="10"/>
      <c r="C110" s="10"/>
      <c r="H110" s="25" t="s">
        <v>90</v>
      </c>
      <c r="I110" s="10"/>
    </row>
    <row r="111" spans="1:18" ht="13.2" x14ac:dyDescent="0.25">
      <c r="A111" s="25" t="s">
        <v>91</v>
      </c>
      <c r="C111" s="10"/>
      <c r="H111" s="25" t="s">
        <v>91</v>
      </c>
    </row>
    <row r="112" spans="1:18" ht="13.2" x14ac:dyDescent="0.25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1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3.2" x14ac:dyDescent="0.25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1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3.2" x14ac:dyDescent="0.25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3.2" x14ac:dyDescent="0.25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1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3.2" x14ac:dyDescent="0.25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3.2" x14ac:dyDescent="0.25">
      <c r="A117" s="25" t="s">
        <v>96</v>
      </c>
      <c r="H117" s="25" t="s">
        <v>96</v>
      </c>
    </row>
    <row r="118" spans="1:18" ht="13.2" x14ac:dyDescent="0.25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1">
        <f t="shared" ref="G118:G123" si="13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3.2" x14ac:dyDescent="0.25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1">
        <f t="shared" si="13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3.2" x14ac:dyDescent="0.25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1">
        <f t="shared" si="13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3.2" x14ac:dyDescent="0.25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1">
        <f t="shared" si="13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3.2" x14ac:dyDescent="0.25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1">
        <f t="shared" si="13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3.2" x14ac:dyDescent="0.25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1">
        <f t="shared" si="13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3.2" x14ac:dyDescent="0.25">
      <c r="A124" s="25"/>
      <c r="H124" s="25"/>
    </row>
    <row r="125" spans="1:18" ht="13.2" x14ac:dyDescent="0.25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1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3.2" x14ac:dyDescent="0.25">
      <c r="A126" s="25"/>
      <c r="H126" s="25"/>
    </row>
    <row r="127" spans="1:18" ht="13.2" x14ac:dyDescent="0.25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1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28" zoomScaleNormal="100" workbookViewId="0">
      <selection activeCell="C31" sqref="C31"/>
    </sheetView>
  </sheetViews>
  <sheetFormatPr defaultRowHeight="10.199999999999999" x14ac:dyDescent="0.2"/>
  <cols>
    <col min="1" max="1" width="32" bestFit="1" customWidth="1"/>
    <col min="2" max="3" width="10.42578125" bestFit="1" customWidth="1"/>
    <col min="4" max="4" width="27.7109375" bestFit="1" customWidth="1"/>
    <col min="5" max="5" width="12.7109375" bestFit="1" customWidth="1"/>
    <col min="6" max="6" width="10.7109375" customWidth="1"/>
    <col min="7" max="14" width="12.7109375" bestFit="1" customWidth="1"/>
  </cols>
  <sheetData>
    <row r="1" spans="1:14" ht="13.2" x14ac:dyDescent="0.25">
      <c r="F1" s="25"/>
      <c r="G1" s="25" t="s">
        <v>180</v>
      </c>
      <c r="H1" s="25"/>
      <c r="I1" s="25"/>
    </row>
    <row r="2" spans="1:14" ht="13.2" x14ac:dyDescent="0.25">
      <c r="F2" s="25" t="s">
        <v>181</v>
      </c>
      <c r="G2" s="25"/>
      <c r="H2" s="25"/>
      <c r="I2" s="25"/>
    </row>
    <row r="6" spans="1:14" x14ac:dyDescent="0.2">
      <c r="A6" s="30"/>
      <c r="B6" s="34" t="s">
        <v>141</v>
      </c>
      <c r="C6" s="34" t="s">
        <v>141</v>
      </c>
      <c r="D6" s="31" t="s">
        <v>142</v>
      </c>
      <c r="E6" s="34" t="s">
        <v>143</v>
      </c>
      <c r="F6" s="34" t="s">
        <v>143</v>
      </c>
      <c r="G6" s="34" t="s">
        <v>143</v>
      </c>
      <c r="H6" s="34" t="s">
        <v>143</v>
      </c>
      <c r="I6" s="34" t="s">
        <v>143</v>
      </c>
      <c r="J6" s="34" t="s">
        <v>143</v>
      </c>
      <c r="K6" s="34" t="s">
        <v>143</v>
      </c>
      <c r="L6" s="34" t="s">
        <v>143</v>
      </c>
      <c r="M6" s="34" t="s">
        <v>143</v>
      </c>
      <c r="N6" s="34" t="s">
        <v>143</v>
      </c>
    </row>
    <row r="7" spans="1:14" x14ac:dyDescent="0.2">
      <c r="A7" s="32" t="s">
        <v>144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3.2" x14ac:dyDescent="0.25">
      <c r="A8" s="19" t="s">
        <v>145</v>
      </c>
      <c r="B8" s="63">
        <f>'OAT Income Statement'!C4</f>
        <v>4725.2</v>
      </c>
      <c r="C8" s="63">
        <f>'OAT Income Statement'!B4</f>
        <v>5041</v>
      </c>
      <c r="D8" s="19"/>
      <c r="E8" s="55">
        <f>'OAT Income Statement'!V5</f>
        <v>5377.9059087446039</v>
      </c>
      <c r="F8" s="55">
        <f>'OAT Income Statement'!W5</f>
        <v>5737.328300597128</v>
      </c>
      <c r="G8" s="55">
        <f>'OAT Income Statement'!X5</f>
        <v>6120.7720230487867</v>
      </c>
      <c r="H8" s="55">
        <f>'OAT Income Statement'!Y5</f>
        <v>6529.8424972887788</v>
      </c>
      <c r="I8" s="55">
        <f>'OAT Income Statement'!Z5</f>
        <v>6966.2524398613259</v>
      </c>
      <c r="J8" s="55">
        <f>'OAT Income Statement'!AA5</f>
        <v>7431.8290335522197</v>
      </c>
      <c r="K8" s="55">
        <f>'OAT Income Statement'!AB5</f>
        <v>7928.5215775283041</v>
      </c>
      <c r="L8" s="55">
        <f>'OAT Income Statement'!AC5</f>
        <v>8458.4096487598799</v>
      </c>
      <c r="M8" s="55">
        <f>'OAT Income Statement'!AD5</f>
        <v>9023.7118088966727</v>
      </c>
      <c r="N8" s="55">
        <f>'OAT Income Statement'!AE5</f>
        <v>9626.7948930517505</v>
      </c>
    </row>
    <row r="9" spans="1:14" ht="13.2" x14ac:dyDescent="0.25">
      <c r="A9" s="37" t="s">
        <v>146</v>
      </c>
      <c r="B9" s="63">
        <f>SUM(B10:B13)</f>
        <v>4164.7</v>
      </c>
      <c r="C9" s="63">
        <f>SUM(C10:C13)</f>
        <v>4390.1000000000004</v>
      </c>
      <c r="D9" s="38"/>
      <c r="E9" s="55">
        <f t="shared" ref="E9:N9" si="1">SUM(E10:E13)</f>
        <v>4683.50421146195</v>
      </c>
      <c r="F9" s="55">
        <f t="shared" si="1"/>
        <v>4996.5175505755715</v>
      </c>
      <c r="G9" s="55">
        <f t="shared" si="1"/>
        <v>5330.4505571090031</v>
      </c>
      <c r="H9" s="55">
        <f t="shared" si="1"/>
        <v>5686.7013583311782</v>
      </c>
      <c r="I9" s="55">
        <f t="shared" si="1"/>
        <v>6066.7615227604065</v>
      </c>
      <c r="J9" s="55">
        <f t="shared" si="1"/>
        <v>6472.222305137394</v>
      </c>
      <c r="K9" s="55">
        <f t="shared" si="1"/>
        <v>6904.7813087694922</v>
      </c>
      <c r="L9" s="55">
        <f t="shared" si="1"/>
        <v>7366.2495931403992</v>
      </c>
      <c r="M9" s="55">
        <f t="shared" si="1"/>
        <v>7858.5592565437983</v>
      </c>
      <c r="N9" s="55">
        <f t="shared" si="1"/>
        <v>8383.7715254882933</v>
      </c>
    </row>
    <row r="10" spans="1:14" ht="13.2" x14ac:dyDescent="0.25">
      <c r="A10" s="19" t="s">
        <v>220</v>
      </c>
      <c r="B10" s="55">
        <f>'OAT Income Statement'!C5</f>
        <v>2136.8000000000002</v>
      </c>
      <c r="C10" s="55">
        <f>'OAT Income Statement'!B5</f>
        <v>2288.3000000000002</v>
      </c>
      <c r="D10" s="39"/>
      <c r="E10" s="55">
        <f>E$8*'OAT Income Statement'!J36</f>
        <v>2441.2342969609758</v>
      </c>
      <c r="F10" s="55">
        <f>F$8*'OAT Income Statement'!K36</f>
        <v>2604.3896747185895</v>
      </c>
      <c r="G10" s="55">
        <f>G$8*'OAT Income Statement'!L36</f>
        <v>2778.4492402980641</v>
      </c>
      <c r="H10" s="55">
        <f>H$8*'OAT Income Statement'!M36</f>
        <v>2964.1417549188482</v>
      </c>
      <c r="I10" s="55">
        <f>I$8*'OAT Income Statement'!N36</f>
        <v>3162.2446852082271</v>
      </c>
      <c r="J10" s="55">
        <f>J$8*'OAT Income Statement'!O36</f>
        <v>3373.5874583371447</v>
      </c>
      <c r="K10" s="55">
        <f>K$8*'OAT Income Statement'!P36</f>
        <v>3599.0549347070064</v>
      </c>
      <c r="L10" s="55">
        <f>L$8*'OAT Income Statement'!Q36</f>
        <v>3839.5911127270851</v>
      </c>
      <c r="M10" s="55">
        <f>M$8*'OAT Income Statement'!R36</f>
        <v>4096.2030811938621</v>
      </c>
      <c r="N10" s="55">
        <f>N$8*'OAT Income Statement'!S36</f>
        <v>4369.9652358203375</v>
      </c>
    </row>
    <row r="11" spans="1:14" ht="13.2" x14ac:dyDescent="0.25">
      <c r="A11" s="19" t="s">
        <v>147</v>
      </c>
      <c r="B11" s="55">
        <f>'OAT Income Statement'!C8</f>
        <v>1904.1</v>
      </c>
      <c r="C11" s="55">
        <f>'OAT Income Statement'!B8</f>
        <v>1968.8</v>
      </c>
      <c r="D11" s="16"/>
      <c r="E11" s="55">
        <f>E8*'OAT Income Statement'!J39</f>
        <v>2100.3811055616698</v>
      </c>
      <c r="F11" s="55">
        <f>F8*'OAT Income Statement'!K39</f>
        <v>2240.7561908779262</v>
      </c>
      <c r="G11" s="55">
        <f>G8*'OAT Income Statement'!L39</f>
        <v>2390.5129853160984</v>
      </c>
      <c r="H11" s="55">
        <f>H8*'OAT Income Statement'!M39</f>
        <v>2550.2784980484325</v>
      </c>
      <c r="I11" s="55">
        <f>I8*'OAT Income Statement'!N39</f>
        <v>2720.7216432451851</v>
      </c>
      <c r="J11" s="55">
        <f>J8*'OAT Income Statement'!O39</f>
        <v>2902.5560407176376</v>
      </c>
      <c r="K11" s="55">
        <f>K8*'OAT Income Statement'!P39</f>
        <v>3096.5430037369024</v>
      </c>
      <c r="L11" s="55">
        <f>L8*'OAT Income Statement'!Q39</f>
        <v>3303.4947265380783</v>
      </c>
      <c r="M11" s="55">
        <f>M8*'OAT Income Statement'!R39</f>
        <v>3524.2776848553403</v>
      </c>
      <c r="N11" s="55">
        <f>N8*'OAT Income Statement'!S39</f>
        <v>3759.8162637255082</v>
      </c>
    </row>
    <row r="12" spans="1:14" ht="13.2" x14ac:dyDescent="0.25">
      <c r="A12" s="19" t="s">
        <v>148</v>
      </c>
      <c r="B12" s="55">
        <f>'OAT Cash Flow'!D9</f>
        <v>123.8</v>
      </c>
      <c r="C12" s="55">
        <f>'OAT Cash Flow'!C9</f>
        <v>133</v>
      </c>
      <c r="D12" s="16" t="s">
        <v>149</v>
      </c>
      <c r="E12" s="148">
        <f>($C$12/$C$55)*E55</f>
        <v>141.88880893930417</v>
      </c>
      <c r="F12" s="148">
        <f t="shared" ref="F12:N12" si="2">($C$12/$C$55)*F55</f>
        <v>151.37168497905535</v>
      </c>
      <c r="G12" s="148">
        <f t="shared" si="2"/>
        <v>161.48833149484003</v>
      </c>
      <c r="H12" s="148">
        <f t="shared" si="2"/>
        <v>172.28110536389755</v>
      </c>
      <c r="I12" s="148">
        <f t="shared" si="2"/>
        <v>183.79519430699392</v>
      </c>
      <c r="J12" s="148">
        <f t="shared" si="2"/>
        <v>196.07880608261164</v>
      </c>
      <c r="K12" s="148">
        <f t="shared" si="2"/>
        <v>209.18337032558313</v>
      </c>
      <c r="L12" s="148">
        <f t="shared" si="2"/>
        <v>223.16375387523584</v>
      </c>
      <c r="M12" s="148">
        <f t="shared" si="2"/>
        <v>238.0784904945958</v>
      </c>
      <c r="N12" s="148">
        <f t="shared" si="2"/>
        <v>253.99002594244845</v>
      </c>
    </row>
    <row r="13" spans="1:14" ht="13.2" x14ac:dyDescent="0.25">
      <c r="A13" s="19" t="s">
        <v>150</v>
      </c>
      <c r="B13" s="62"/>
      <c r="C13" s="62"/>
      <c r="D13" s="16" t="s">
        <v>151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13.2" x14ac:dyDescent="0.25">
      <c r="A14" s="37" t="s">
        <v>152</v>
      </c>
      <c r="B14" s="63">
        <f>B8-B9</f>
        <v>560.5</v>
      </c>
      <c r="C14" s="63">
        <f>C8-C9</f>
        <v>650.89999999999964</v>
      </c>
      <c r="D14" s="38"/>
      <c r="E14" s="55">
        <f t="shared" ref="E14:N14" si="3">E8-E9</f>
        <v>694.40169728265391</v>
      </c>
      <c r="F14" s="55">
        <f t="shared" si="3"/>
        <v>740.81075002155649</v>
      </c>
      <c r="G14" s="55">
        <f t="shared" si="3"/>
        <v>790.32146593978359</v>
      </c>
      <c r="H14" s="55">
        <f t="shared" si="3"/>
        <v>843.14113895760056</v>
      </c>
      <c r="I14" s="55">
        <f t="shared" si="3"/>
        <v>899.49091710091943</v>
      </c>
      <c r="J14" s="55">
        <f t="shared" si="3"/>
        <v>959.60672841482574</v>
      </c>
      <c r="K14" s="55">
        <f t="shared" si="3"/>
        <v>1023.7402687588119</v>
      </c>
      <c r="L14" s="55">
        <f t="shared" si="3"/>
        <v>1092.1600556194808</v>
      </c>
      <c r="M14" s="55">
        <f t="shared" si="3"/>
        <v>1165.1525523528744</v>
      </c>
      <c r="N14" s="55">
        <f t="shared" si="3"/>
        <v>1243.0233675634572</v>
      </c>
    </row>
    <row r="15" spans="1:14" ht="13.2" x14ac:dyDescent="0.25">
      <c r="A15" s="40" t="s">
        <v>153</v>
      </c>
      <c r="B15" s="62">
        <f>'OAT Income Statement'!C13</f>
        <v>61.9</v>
      </c>
      <c r="C15" s="62">
        <f>'OAT Income Statement'!B13</f>
        <v>54</v>
      </c>
      <c r="D15" s="40"/>
      <c r="E15" s="148">
        <f>E8*'OAT Income Statement'!J44</f>
        <v>57.608990095657326</v>
      </c>
      <c r="F15" s="148">
        <f>F8*'OAT Income Statement'!K44</f>
        <v>61.459180367436005</v>
      </c>
      <c r="G15" s="148">
        <f>G8*'OAT Income Statement'!L44</f>
        <v>65.566690982867385</v>
      </c>
      <c r="H15" s="148">
        <f>H8*'OAT Income Statement'!M44</f>
        <v>69.948719471056151</v>
      </c>
      <c r="I15" s="148">
        <f>I8*'OAT Income Statement'!N44</f>
        <v>74.623612726147897</v>
      </c>
      <c r="J15" s="148">
        <f>J8*'OAT Income Statement'!O44</f>
        <v>79.610943823015248</v>
      </c>
      <c r="K15" s="148">
        <f>K8*'OAT Income Statement'!P44</f>
        <v>84.931593966778095</v>
      </c>
      <c r="L15" s="148">
        <f>L8*'OAT Income Statement'!Q44</f>
        <v>90.607839919268699</v>
      </c>
      <c r="M15" s="148">
        <f>M8*'OAT Income Statement'!R44</f>
        <v>96.6634472684825</v>
      </c>
      <c r="N15" s="148">
        <f>N8*'OAT Income Statement'!S44</f>
        <v>103.12376993152043</v>
      </c>
    </row>
    <row r="16" spans="1:14" ht="13.2" x14ac:dyDescent="0.25">
      <c r="A16" s="2" t="s">
        <v>154</v>
      </c>
      <c r="B16" s="55">
        <f>B14-B15</f>
        <v>498.6</v>
      </c>
      <c r="C16" s="55">
        <f>C14-C15</f>
        <v>596.89999999999964</v>
      </c>
      <c r="D16" s="2"/>
      <c r="E16" s="55">
        <f t="shared" ref="E16:N16" si="4">E14-E15</f>
        <v>636.79270718699661</v>
      </c>
      <c r="F16" s="55">
        <f t="shared" si="4"/>
        <v>679.35156965412045</v>
      </c>
      <c r="G16" s="55">
        <f t="shared" si="4"/>
        <v>724.75477495691621</v>
      </c>
      <c r="H16" s="55">
        <f t="shared" si="4"/>
        <v>773.1924194865444</v>
      </c>
      <c r="I16" s="55">
        <f t="shared" si="4"/>
        <v>824.86730437477149</v>
      </c>
      <c r="J16" s="55">
        <f t="shared" si="4"/>
        <v>879.99578459181043</v>
      </c>
      <c r="K16" s="55">
        <f t="shared" si="4"/>
        <v>938.8086747920338</v>
      </c>
      <c r="L16" s="55">
        <f t="shared" si="4"/>
        <v>1001.5522157002121</v>
      </c>
      <c r="M16" s="55">
        <f t="shared" si="4"/>
        <v>1068.4891050843919</v>
      </c>
      <c r="N16" s="55">
        <f t="shared" si="4"/>
        <v>1139.8995976319368</v>
      </c>
    </row>
    <row r="17" spans="1:14" ht="13.2" x14ac:dyDescent="0.25">
      <c r="A17" s="7" t="s">
        <v>155</v>
      </c>
      <c r="B17" s="62">
        <f>'OAT Income Statement'!C18</f>
        <v>163.30000000000001</v>
      </c>
      <c r="C17" s="62">
        <f>'OAT Income Statement'!B18</f>
        <v>190.5</v>
      </c>
      <c r="D17" s="41">
        <f>'OAT Income Statement'!B18/'OAT Income Statement'!B17</f>
        <v>0.34567229178007619</v>
      </c>
      <c r="E17" s="55">
        <f>E16*$D$17</f>
        <v>220.12159448216812</v>
      </c>
      <c r="F17" s="55">
        <f t="shared" ref="F17:N17" si="5">F16*$D$17</f>
        <v>234.83301400673187</v>
      </c>
      <c r="G17" s="55">
        <f t="shared" si="5"/>
        <v>250.52764403791059</v>
      </c>
      <c r="H17" s="55">
        <f t="shared" si="5"/>
        <v>267.27119563089582</v>
      </c>
      <c r="I17" s="55">
        <f t="shared" si="5"/>
        <v>285.13377151768094</v>
      </c>
      <c r="J17" s="55">
        <f t="shared" si="5"/>
        <v>304.19015961665735</v>
      </c>
      <c r="K17" s="55">
        <f t="shared" si="5"/>
        <v>324.52014615837857</v>
      </c>
      <c r="L17" s="55">
        <f t="shared" si="5"/>
        <v>346.20884973850553</v>
      </c>
      <c r="M17" s="55">
        <f t="shared" si="5"/>
        <v>369.34707769656438</v>
      </c>
      <c r="N17" s="55">
        <f t="shared" si="5"/>
        <v>394.03170631261833</v>
      </c>
    </row>
    <row r="18" spans="1:14" ht="13.2" x14ac:dyDescent="0.25">
      <c r="A18" s="42" t="s">
        <v>156</v>
      </c>
      <c r="B18" s="63">
        <f>B16-B17</f>
        <v>335.3</v>
      </c>
      <c r="C18" s="63">
        <f>C16-C17</f>
        <v>406.39999999999964</v>
      </c>
      <c r="D18" s="38"/>
      <c r="E18" s="55">
        <f t="shared" ref="E18:N18" si="6">E16-E17</f>
        <v>416.67111270482849</v>
      </c>
      <c r="F18" s="55">
        <f t="shared" si="6"/>
        <v>444.51855564738855</v>
      </c>
      <c r="G18" s="55">
        <f t="shared" si="6"/>
        <v>474.22713091900562</v>
      </c>
      <c r="H18" s="55">
        <f t="shared" si="6"/>
        <v>505.92122385564858</v>
      </c>
      <c r="I18" s="55">
        <f t="shared" si="6"/>
        <v>539.73353285709049</v>
      </c>
      <c r="J18" s="55">
        <f t="shared" si="6"/>
        <v>575.80562497515302</v>
      </c>
      <c r="K18" s="55">
        <f t="shared" si="6"/>
        <v>614.28852863365523</v>
      </c>
      <c r="L18" s="55">
        <f t="shared" si="6"/>
        <v>655.34336596170647</v>
      </c>
      <c r="M18" s="55">
        <f t="shared" si="6"/>
        <v>699.14202738782751</v>
      </c>
      <c r="N18" s="55">
        <f t="shared" si="6"/>
        <v>745.86789131931846</v>
      </c>
    </row>
    <row r="19" spans="1:14" ht="13.2" x14ac:dyDescent="0.25">
      <c r="A19" s="6" t="s">
        <v>157</v>
      </c>
      <c r="B19" s="55">
        <f>B15*(1-(B17/B16))</f>
        <v>41.626694745286805</v>
      </c>
      <c r="C19" s="55">
        <f>C15*(1-(C17/C16))</f>
        <v>36.765957446808507</v>
      </c>
      <c r="D19" s="16"/>
      <c r="E19" s="55">
        <f t="shared" ref="E19:N19" si="7">E15*(1-(E17/E16))</f>
        <v>37.695158462155746</v>
      </c>
      <c r="F19" s="55">
        <f t="shared" si="7"/>
        <v>40.214444638899337</v>
      </c>
      <c r="G19" s="55">
        <f t="shared" si="7"/>
        <v>42.902102646383561</v>
      </c>
      <c r="H19" s="55">
        <f t="shared" si="7"/>
        <v>45.769385304414541</v>
      </c>
      <c r="I19" s="55">
        <f t="shared" si="7"/>
        <v>48.828297494191496</v>
      </c>
      <c r="J19" s="55">
        <f t="shared" si="7"/>
        <v>52.091646420938666</v>
      </c>
      <c r="K19" s="55">
        <f t="shared" si="7"/>
        <v>55.573095235747019</v>
      </c>
      <c r="L19" s="55">
        <f t="shared" si="7"/>
        <v>59.287220241132815</v>
      </c>
      <c r="M19" s="55">
        <f t="shared" si="7"/>
        <v>63.249571919823609</v>
      </c>
      <c r="N19" s="55">
        <f t="shared" si="7"/>
        <v>67.476740042290444</v>
      </c>
    </row>
    <row r="20" spans="1:14" ht="13.2" x14ac:dyDescent="0.25">
      <c r="A20" s="25" t="s">
        <v>158</v>
      </c>
      <c r="B20" s="55">
        <f>B18+B19</f>
        <v>376.9266947452868</v>
      </c>
      <c r="C20" s="55">
        <f>C18+C19</f>
        <v>443.16595744680814</v>
      </c>
      <c r="D20" s="43"/>
      <c r="E20" s="55">
        <f>E18+E19</f>
        <v>454.36627116698423</v>
      </c>
      <c r="F20" s="55">
        <f t="shared" ref="F20:N20" si="8">F18+F19</f>
        <v>484.7330002862879</v>
      </c>
      <c r="G20" s="55">
        <f t="shared" si="8"/>
        <v>517.1292335653892</v>
      </c>
      <c r="H20" s="55">
        <f t="shared" si="8"/>
        <v>551.6906091600631</v>
      </c>
      <c r="I20" s="55">
        <f t="shared" si="8"/>
        <v>588.56183035128197</v>
      </c>
      <c r="J20" s="55">
        <f t="shared" si="8"/>
        <v>627.8972713960917</v>
      </c>
      <c r="K20" s="55">
        <f t="shared" si="8"/>
        <v>669.86162386940225</v>
      </c>
      <c r="L20" s="55">
        <f t="shared" si="8"/>
        <v>714.63058620283925</v>
      </c>
      <c r="M20" s="55">
        <f t="shared" si="8"/>
        <v>762.39159930765118</v>
      </c>
      <c r="N20" s="55">
        <f t="shared" si="8"/>
        <v>813.34463136160889</v>
      </c>
    </row>
    <row r="21" spans="1:14" ht="13.2" x14ac:dyDescent="0.25">
      <c r="A21" s="2" t="s">
        <v>159</v>
      </c>
      <c r="B21" s="55">
        <f>B12</f>
        <v>123.8</v>
      </c>
      <c r="C21" s="55">
        <f>C12</f>
        <v>133</v>
      </c>
      <c r="D21" s="16"/>
      <c r="E21" s="71">
        <f t="shared" ref="E21:N21" si="9">+E12</f>
        <v>141.88880893930417</v>
      </c>
      <c r="F21" s="71">
        <f t="shared" si="9"/>
        <v>151.37168497905535</v>
      </c>
      <c r="G21" s="71">
        <f t="shared" si="9"/>
        <v>161.48833149484003</v>
      </c>
      <c r="H21" s="71">
        <f t="shared" si="9"/>
        <v>172.28110536389755</v>
      </c>
      <c r="I21" s="71">
        <f t="shared" si="9"/>
        <v>183.79519430699392</v>
      </c>
      <c r="J21" s="71">
        <f t="shared" si="9"/>
        <v>196.07880608261164</v>
      </c>
      <c r="K21" s="71">
        <f t="shared" si="9"/>
        <v>209.18337032558313</v>
      </c>
      <c r="L21" s="71">
        <f t="shared" si="9"/>
        <v>223.16375387523584</v>
      </c>
      <c r="M21" s="71">
        <f t="shared" si="9"/>
        <v>238.0784904945958</v>
      </c>
      <c r="N21" s="71">
        <f t="shared" si="9"/>
        <v>253.99002594244845</v>
      </c>
    </row>
    <row r="22" spans="1:14" ht="13.2" x14ac:dyDescent="0.25">
      <c r="A22" s="2" t="s">
        <v>160</v>
      </c>
      <c r="B22" s="55">
        <f>-('OAT Balance Sheet'!C27-'OAT Balance Sheet'!D27)</f>
        <v>23.500000000000007</v>
      </c>
      <c r="C22" s="55">
        <f>-('OAT Balance Sheet'!B27-'OAT Balance Sheet'!C27)</f>
        <v>0</v>
      </c>
      <c r="D22" s="44" t="s">
        <v>161</v>
      </c>
      <c r="E22" s="71">
        <f>C56-E56+C57-E57</f>
        <v>3.9640269194954811</v>
      </c>
      <c r="F22" s="71">
        <f>E56-F56+E57-F57</f>
        <v>3.7143400705106018</v>
      </c>
      <c r="G22" s="71">
        <f t="shared" ref="G22:N22" si="10">F56-G56+F57-G57</f>
        <v>3.4479658629145717</v>
      </c>
      <c r="H22" s="71">
        <f t="shared" si="10"/>
        <v>3.1637890279675815</v>
      </c>
      <c r="I22" s="71">
        <f t="shared" si="10"/>
        <v>2.8606197600068839</v>
      </c>
      <c r="J22" s="71">
        <f t="shared" si="10"/>
        <v>2.537188734909563</v>
      </c>
      <c r="K22" s="71">
        <f t="shared" si="10"/>
        <v>2.1921417956232858</v>
      </c>
      <c r="L22" s="71">
        <f t="shared" si="10"/>
        <v>1.8240342825143756</v>
      </c>
      <c r="M22" s="71">
        <f t="shared" si="10"/>
        <v>1.4313249847953529</v>
      </c>
      <c r="N22" s="71">
        <f t="shared" si="10"/>
        <v>1.01236968770705</v>
      </c>
    </row>
    <row r="23" spans="1:14" ht="13.2" x14ac:dyDescent="0.25">
      <c r="A23" s="2" t="s">
        <v>162</v>
      </c>
      <c r="B23" s="55">
        <f>-('OAT Balance Sheet'!C43-'OAT Balance Sheet'!D43)</f>
        <v>10.299999999999955</v>
      </c>
      <c r="C23" s="55">
        <f>-('OAT Balance Sheet'!B43-'OAT Balance Sheet'!C43)</f>
        <v>5.1000000000000227</v>
      </c>
      <c r="D23" s="44" t="s">
        <v>161</v>
      </c>
      <c r="E23" s="71">
        <f>C65-E65</f>
        <v>-34.619571658342579</v>
      </c>
      <c r="F23" s="71">
        <f>E65-F65</f>
        <v>-36.933306681136173</v>
      </c>
      <c r="G23" s="71">
        <f t="shared" ref="G23:N23" si="11">F65-G65</f>
        <v>-39.401675903582372</v>
      </c>
      <c r="H23" s="71">
        <f t="shared" si="11"/>
        <v>-42.035014016329342</v>
      </c>
      <c r="I23" s="71">
        <f t="shared" si="11"/>
        <v>-44.844346409954255</v>
      </c>
      <c r="J23" s="71">
        <f t="shared" si="11"/>
        <v>-47.841435336616314</v>
      </c>
      <c r="K23" s="71">
        <f t="shared" si="11"/>
        <v>-51.0388291568363</v>
      </c>
      <c r="L23" s="71">
        <f t="shared" si="11"/>
        <v>-54.449914877595006</v>
      </c>
      <c r="M23" s="71">
        <f t="shared" si="11"/>
        <v>-58.088974201717633</v>
      </c>
      <c r="N23" s="71">
        <f t="shared" si="11"/>
        <v>-61.971243323215617</v>
      </c>
    </row>
    <row r="24" spans="1:14" ht="13.2" x14ac:dyDescent="0.25">
      <c r="A24" s="7" t="s">
        <v>163</v>
      </c>
      <c r="B24" s="62">
        <v>0</v>
      </c>
      <c r="C24" s="62">
        <v>0</v>
      </c>
      <c r="D24" s="45" t="s">
        <v>161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</row>
    <row r="25" spans="1:14" ht="13.2" x14ac:dyDescent="0.25">
      <c r="A25" s="25" t="s">
        <v>164</v>
      </c>
      <c r="B25" s="55">
        <f>SUM(B20:B24)</f>
        <v>534.52669474528682</v>
      </c>
      <c r="C25" s="55">
        <f>SUM(C20:C24)</f>
        <v>581.2659574468081</v>
      </c>
      <c r="D25" s="43"/>
      <c r="E25" s="65">
        <f t="shared" ref="E25:N25" si="12">SUM(E20:E24)</f>
        <v>565.59953536744138</v>
      </c>
      <c r="F25" s="65">
        <f t="shared" si="12"/>
        <v>602.88571865471772</v>
      </c>
      <c r="G25" s="65">
        <f t="shared" si="12"/>
        <v>642.66385501956142</v>
      </c>
      <c r="H25" s="65">
        <f t="shared" si="12"/>
        <v>685.10048953559885</v>
      </c>
      <c r="I25" s="65">
        <f t="shared" si="12"/>
        <v>730.37329800832856</v>
      </c>
      <c r="J25" s="65">
        <f t="shared" si="12"/>
        <v>778.67183087699664</v>
      </c>
      <c r="K25" s="65">
        <f t="shared" si="12"/>
        <v>830.19830683377245</v>
      </c>
      <c r="L25" s="65">
        <f t="shared" si="12"/>
        <v>885.16845948299442</v>
      </c>
      <c r="M25" s="65">
        <f t="shared" si="12"/>
        <v>943.81244058532468</v>
      </c>
      <c r="N25" s="65">
        <f t="shared" si="12"/>
        <v>1006.3757836685487</v>
      </c>
    </row>
    <row r="26" spans="1:14" ht="13.2" x14ac:dyDescent="0.25">
      <c r="A26" s="46" t="s">
        <v>165</v>
      </c>
      <c r="B26" s="55">
        <f>-('OAT Balance Sheet'!C7-'OAT Balance Sheet'!D7)</f>
        <v>29.099999999999966</v>
      </c>
      <c r="C26" s="55">
        <f>-('OAT Balance Sheet'!B7-'OAT Balance Sheet'!C7)</f>
        <v>-43.699999999999989</v>
      </c>
      <c r="D26" s="16" t="s">
        <v>161</v>
      </c>
      <c r="E26" s="71">
        <f>IF(E50=0,0,C50-E50)</f>
        <v>-19.916278676034892</v>
      </c>
      <c r="F26" s="71">
        <f t="shared" ref="F26:N26" si="13">E50-F50</f>
        <v>-21.247346314630477</v>
      </c>
      <c r="G26" s="71">
        <f t="shared" si="13"/>
        <v>-22.667373396269454</v>
      </c>
      <c r="H26" s="71">
        <f t="shared" si="13"/>
        <v>-24.182305360745431</v>
      </c>
      <c r="I26" s="71">
        <f t="shared" si="13"/>
        <v>-25.798485000321136</v>
      </c>
      <c r="J26" s="71">
        <f t="shared" si="13"/>
        <v>-27.522679016045686</v>
      </c>
      <c r="K26" s="71">
        <f t="shared" si="13"/>
        <v>-29.362106348913585</v>
      </c>
      <c r="L26" s="71">
        <f t="shared" si="13"/>
        <v>-31.324468404485117</v>
      </c>
      <c r="M26" s="71">
        <f t="shared" si="13"/>
        <v>-33.417981297513222</v>
      </c>
      <c r="N26" s="71">
        <f t="shared" si="13"/>
        <v>-35.651410251579705</v>
      </c>
    </row>
    <row r="27" spans="1:14" ht="13.2" x14ac:dyDescent="0.25">
      <c r="A27" s="46" t="s">
        <v>166</v>
      </c>
      <c r="B27" s="55">
        <f>-(('OAT Balance Sheet'!C14-'OAT Balance Sheet'!D14)+('OAT Balance Sheet'!C13-'OAT Balance Sheet'!D13))</f>
        <v>18.299999999999983</v>
      </c>
      <c r="C27" s="55">
        <f>-(('OAT Balance Sheet'!B14-'OAT Balance Sheet'!C14)+('OAT Balance Sheet'!B13-'OAT Balance Sheet'!C13))</f>
        <v>-81.899999999999977</v>
      </c>
      <c r="D27" s="16" t="s">
        <v>161</v>
      </c>
      <c r="E27" s="71">
        <f>IF(E53=0,0,C51+C53-E51-E53)</f>
        <v>-96.863417421484883</v>
      </c>
      <c r="F27" s="71">
        <f>E51+E53-F51-F53</f>
        <v>-38.580332519619219</v>
      </c>
      <c r="G27" s="71">
        <f t="shared" ref="G27:N27" si="14">F51+F53-G51-G53</f>
        <v>-41.158777666850369</v>
      </c>
      <c r="H27" s="71">
        <f t="shared" si="14"/>
        <v>-43.909548425165553</v>
      </c>
      <c r="I27" s="71">
        <f t="shared" si="14"/>
        <v>-46.844161857965787</v>
      </c>
      <c r="J27" s="71">
        <f t="shared" si="14"/>
        <v>-49.97490475027621</v>
      </c>
      <c r="K27" s="71">
        <f t="shared" si="14"/>
        <v>-53.314885051668227</v>
      </c>
      <c r="L27" s="71">
        <f t="shared" si="14"/>
        <v>-56.878086757271433</v>
      </c>
      <c r="M27" s="71">
        <f t="shared" si="14"/>
        <v>-60.679428456659139</v>
      </c>
      <c r="N27" s="71">
        <f t="shared" si="14"/>
        <v>-64.734825795737436</v>
      </c>
    </row>
    <row r="28" spans="1:14" ht="13.2" x14ac:dyDescent="0.25">
      <c r="A28" s="46" t="s">
        <v>167</v>
      </c>
      <c r="B28" s="55">
        <f>-('OAT Balance Sheet'!C35-'OAT Balance Sheet'!D35)</f>
        <v>-45.199999999999989</v>
      </c>
      <c r="C28" s="55">
        <f>-('OAT Balance Sheet'!B35-'OAT Balance Sheet'!C35)</f>
        <v>1.2999999999999829</v>
      </c>
      <c r="D28" s="16" t="s">
        <v>161</v>
      </c>
      <c r="E28" s="71">
        <f>IF(E60=0,0,+E60-C60)</f>
        <v>14.188677727926887</v>
      </c>
      <c r="F28" s="71">
        <f>+F60-E60</f>
        <v>15.136951753678005</v>
      </c>
      <c r="G28" s="71">
        <f t="shared" ref="G28:N28" si="15">+G60-F60</f>
        <v>16.148601919557052</v>
      </c>
      <c r="H28" s="71">
        <f t="shared" si="15"/>
        <v>17.22786385263845</v>
      </c>
      <c r="I28" s="71">
        <f t="shared" si="15"/>
        <v>18.379256260295904</v>
      </c>
      <c r="J28" s="71">
        <f t="shared" si="15"/>
        <v>19.60759984935072</v>
      </c>
      <c r="K28" s="71">
        <f t="shared" si="15"/>
        <v>20.918037509645444</v>
      </c>
      <c r="L28" s="71">
        <f t="shared" si="15"/>
        <v>22.316055846550967</v>
      </c>
      <c r="M28" s="71">
        <f t="shared" si="15"/>
        <v>23.807508152557261</v>
      </c>
      <c r="N28" s="71">
        <f t="shared" si="15"/>
        <v>25.398638914128753</v>
      </c>
    </row>
    <row r="29" spans="1:14" ht="13.2" x14ac:dyDescent="0.25">
      <c r="A29" s="40" t="s">
        <v>168</v>
      </c>
      <c r="B29" s="62">
        <f>-(('OAT Balance Sheet'!C36-'OAT Balance Sheet'!D36)+('OAT Balance Sheet'!C37-'OAT Balance Sheet'!D37)+('OAT Balance Sheet'!C39-'OAT Balance Sheet'!D39))</f>
        <v>110.4</v>
      </c>
      <c r="C29" s="62">
        <f>-(('OAT Balance Sheet'!B36-'OAT Balance Sheet'!C36)+('OAT Balance Sheet'!B37-'OAT Balance Sheet'!C37)+('OAT Balance Sheet'!B39-'OAT Balance Sheet'!C39))</f>
        <v>27.199999999999974</v>
      </c>
      <c r="D29" s="9" t="s">
        <v>161</v>
      </c>
      <c r="E29" s="81">
        <f>IF(E61=0,0,E61-C61)</f>
        <v>33.610391094556917</v>
      </c>
      <c r="F29" s="81">
        <f t="shared" ref="F29:N29" si="16">F61-E61</f>
        <v>35.856679401435144</v>
      </c>
      <c r="G29" s="81">
        <f t="shared" si="16"/>
        <v>38.253094231489627</v>
      </c>
      <c r="H29" s="81">
        <f t="shared" si="16"/>
        <v>40.809669013150483</v>
      </c>
      <c r="I29" s="81">
        <f t="shared" si="16"/>
        <v>43.537107740474994</v>
      </c>
      <c r="J29" s="81">
        <f t="shared" si="16"/>
        <v>46.446829789158983</v>
      </c>
      <c r="K29" s="81">
        <f t="shared" si="16"/>
        <v>49.551017727746967</v>
      </c>
      <c r="L29" s="81">
        <f t="shared" si="16"/>
        <v>52.862668324213473</v>
      </c>
      <c r="M29" s="81">
        <f t="shared" si="16"/>
        <v>56.39564696147454</v>
      </c>
      <c r="N29" s="81">
        <f t="shared" si="16"/>
        <v>60.164745689662368</v>
      </c>
    </row>
    <row r="30" spans="1:14" ht="13.2" x14ac:dyDescent="0.25">
      <c r="A30" s="25" t="s">
        <v>169</v>
      </c>
      <c r="B30" s="55">
        <f>SUM(B25:B29)</f>
        <v>647.12669474528673</v>
      </c>
      <c r="C30" s="55">
        <f>SUM(C25:C29)</f>
        <v>484.16595744680814</v>
      </c>
      <c r="D30" s="43"/>
      <c r="E30" s="65">
        <f t="shared" ref="E30:N30" si="17">SUM(E25:E29)</f>
        <v>496.61890809240549</v>
      </c>
      <c r="F30" s="65">
        <f t="shared" si="17"/>
        <v>594.05167097558115</v>
      </c>
      <c r="G30" s="65">
        <f t="shared" si="17"/>
        <v>633.23940010748822</v>
      </c>
      <c r="H30" s="65">
        <f t="shared" si="17"/>
        <v>675.04616861547686</v>
      </c>
      <c r="I30" s="65">
        <f t="shared" si="17"/>
        <v>719.64701515081242</v>
      </c>
      <c r="J30" s="65">
        <f t="shared" si="17"/>
        <v>767.22867674918439</v>
      </c>
      <c r="K30" s="65">
        <f t="shared" si="17"/>
        <v>817.99037067058316</v>
      </c>
      <c r="L30" s="65">
        <f t="shared" si="17"/>
        <v>872.14462849200243</v>
      </c>
      <c r="M30" s="65">
        <f t="shared" si="17"/>
        <v>929.91818594518418</v>
      </c>
      <c r="N30" s="65">
        <f t="shared" si="17"/>
        <v>991.55293222502269</v>
      </c>
    </row>
    <row r="31" spans="1:14" ht="13.2" x14ac:dyDescent="0.25">
      <c r="A31" s="2" t="s">
        <v>170</v>
      </c>
      <c r="B31" s="56">
        <f>'OAT Balance Sheet'!D25-'OAT Balance Sheet'!C25-'OAT Cash Flow'!D9</f>
        <v>-160.30000000000001</v>
      </c>
      <c r="C31" s="158">
        <f>B55-C55-'OAT Cash Flow'!C9</f>
        <v>-146.29999999999995</v>
      </c>
      <c r="D31" s="16"/>
      <c r="E31" s="71">
        <f>IF(E55=0,0,+C55-E55-E21)</f>
        <v>-216.74193684923415</v>
      </c>
      <c r="F31" s="71">
        <f>+E55-F55-F21</f>
        <v>-231.22748320853887</v>
      </c>
      <c r="G31" s="71">
        <f t="shared" ref="G31:N31" si="18">+F55-G55-G21</f>
        <v>-246.68114425934263</v>
      </c>
      <c r="H31" s="71">
        <f t="shared" si="18"/>
        <v>-263.16762215596083</v>
      </c>
      <c r="I31" s="71">
        <f t="shared" si="18"/>
        <v>-280.75594330148976</v>
      </c>
      <c r="J31" s="71">
        <f t="shared" si="18"/>
        <v>-299.51974735097133</v>
      </c>
      <c r="K31" s="71">
        <f t="shared" si="18"/>
        <v>-319.53759552955353</v>
      </c>
      <c r="L31" s="71">
        <f t="shared" si="18"/>
        <v>-340.89329955652209</v>
      </c>
      <c r="M31" s="71">
        <f t="shared" si="18"/>
        <v>-363.6762725523638</v>
      </c>
      <c r="N31" s="71">
        <f t="shared" si="18"/>
        <v>-387.98190339804978</v>
      </c>
    </row>
    <row r="32" spans="1:14" ht="13.2" x14ac:dyDescent="0.25">
      <c r="A32" s="25" t="s">
        <v>171</v>
      </c>
      <c r="B32" s="55">
        <f>B30-B31</f>
        <v>807.4266947452868</v>
      </c>
      <c r="C32" s="55">
        <f>C30-C31</f>
        <v>630.46595744680803</v>
      </c>
      <c r="D32" s="25"/>
      <c r="E32" s="65">
        <f t="shared" ref="E32:N32" si="19">E30+E31</f>
        <v>279.87697124317134</v>
      </c>
      <c r="F32" s="65">
        <f t="shared" si="19"/>
        <v>362.8241877670423</v>
      </c>
      <c r="G32" s="65">
        <f t="shared" si="19"/>
        <v>386.55825584814556</v>
      </c>
      <c r="H32" s="65">
        <f t="shared" si="19"/>
        <v>411.87854645951603</v>
      </c>
      <c r="I32" s="65">
        <f t="shared" si="19"/>
        <v>438.89107184932266</v>
      </c>
      <c r="J32" s="65">
        <f t="shared" si="19"/>
        <v>467.70892939821306</v>
      </c>
      <c r="K32" s="65">
        <f t="shared" si="19"/>
        <v>498.45277514102963</v>
      </c>
      <c r="L32" s="65">
        <f t="shared" si="19"/>
        <v>531.25132893548039</v>
      </c>
      <c r="M32" s="65">
        <f t="shared" si="19"/>
        <v>566.24191339282038</v>
      </c>
      <c r="N32" s="65">
        <f t="shared" si="19"/>
        <v>603.57102882697291</v>
      </c>
    </row>
    <row r="33" spans="1:14" ht="13.2" x14ac:dyDescent="0.25">
      <c r="A33" s="25" t="s">
        <v>172</v>
      </c>
      <c r="B33" s="2"/>
      <c r="C33" s="64">
        <f>'OAT Inputs'!E11</f>
        <v>7</v>
      </c>
      <c r="D33" s="30"/>
      <c r="E33" s="65"/>
      <c r="F33" s="65"/>
      <c r="G33" s="65"/>
      <c r="H33" s="65"/>
      <c r="I33" s="65"/>
      <c r="J33" s="65"/>
      <c r="K33" s="65"/>
      <c r="L33" s="65"/>
      <c r="M33" s="65"/>
      <c r="N33" s="66">
        <f>((+N14+N13+N12)*$C$33)</f>
        <v>10479.09375454134</v>
      </c>
    </row>
    <row r="34" spans="1:14" ht="13.2" x14ac:dyDescent="0.25">
      <c r="A34" s="25" t="s">
        <v>173</v>
      </c>
      <c r="B34" s="2"/>
      <c r="C34" s="67"/>
      <c r="D34" s="30"/>
      <c r="E34" s="65">
        <f>SUM(E32:E33)</f>
        <v>279.87697124317134</v>
      </c>
      <c r="F34" s="65">
        <f t="shared" ref="F34:N34" si="20">SUM(F32:F33)</f>
        <v>362.8241877670423</v>
      </c>
      <c r="G34" s="65">
        <f t="shared" si="20"/>
        <v>386.55825584814556</v>
      </c>
      <c r="H34" s="65">
        <f t="shared" si="20"/>
        <v>411.87854645951603</v>
      </c>
      <c r="I34" s="65">
        <f t="shared" si="20"/>
        <v>438.89107184932266</v>
      </c>
      <c r="J34" s="65">
        <f t="shared" si="20"/>
        <v>467.70892939821306</v>
      </c>
      <c r="K34" s="65">
        <f t="shared" si="20"/>
        <v>498.45277514102963</v>
      </c>
      <c r="L34" s="65">
        <f t="shared" si="20"/>
        <v>531.25132893548039</v>
      </c>
      <c r="M34" s="65">
        <f t="shared" si="20"/>
        <v>566.24191339282038</v>
      </c>
      <c r="N34" s="65">
        <f t="shared" si="20"/>
        <v>11082.664783368313</v>
      </c>
    </row>
    <row r="35" spans="1:14" ht="13.2" x14ac:dyDescent="0.25">
      <c r="A35" s="25"/>
      <c r="B35" s="2"/>
      <c r="C35" s="67"/>
      <c r="D35" s="30"/>
      <c r="E35" s="65"/>
      <c r="F35" s="65"/>
      <c r="G35" s="65"/>
      <c r="H35" s="65"/>
      <c r="I35" s="65"/>
      <c r="J35" s="65"/>
      <c r="K35" s="65"/>
      <c r="L35" s="65"/>
      <c r="M35" s="65"/>
      <c r="N35" s="68"/>
    </row>
    <row r="36" spans="1:14" ht="13.2" x14ac:dyDescent="0.25">
      <c r="A36" s="25" t="s">
        <v>174</v>
      </c>
      <c r="B36" s="2"/>
      <c r="C36" s="69">
        <f>'OAT Inputs'!E10</f>
        <v>0.12</v>
      </c>
      <c r="E36" s="70">
        <f>NPV(C36,E34:N34)</f>
        <v>5774.5788319244784</v>
      </c>
      <c r="F36" s="65"/>
      <c r="G36" s="65"/>
      <c r="H36" s="65"/>
      <c r="I36" s="65"/>
      <c r="J36" s="65"/>
      <c r="K36" s="65"/>
      <c r="L36" s="65"/>
      <c r="M36" s="65"/>
      <c r="N36" s="68"/>
    </row>
    <row r="37" spans="1:14" ht="13.2" x14ac:dyDescent="0.25">
      <c r="A37" s="47" t="s">
        <v>175</v>
      </c>
      <c r="B37" s="2"/>
      <c r="C37" s="71"/>
      <c r="E37" s="72">
        <f>IF(E36=0,0,-(C67))</f>
        <v>-793.7</v>
      </c>
      <c r="F37" s="73"/>
      <c r="G37" s="73"/>
      <c r="H37" s="74"/>
      <c r="I37" s="73"/>
      <c r="J37" s="73"/>
      <c r="K37" s="73"/>
      <c r="L37" s="73"/>
      <c r="M37" s="73"/>
      <c r="N37" s="73"/>
    </row>
    <row r="38" spans="1:14" ht="13.2" x14ac:dyDescent="0.25">
      <c r="A38" s="48" t="s">
        <v>176</v>
      </c>
      <c r="B38" s="2"/>
      <c r="C38" s="71"/>
      <c r="D38" s="12"/>
      <c r="E38" s="75">
        <v>0</v>
      </c>
      <c r="F38" s="71"/>
      <c r="G38" s="71"/>
      <c r="H38" s="71"/>
      <c r="I38" s="71"/>
      <c r="J38" s="71"/>
      <c r="K38" s="71"/>
      <c r="L38" s="71"/>
      <c r="M38" s="71"/>
      <c r="N38" s="71"/>
    </row>
    <row r="39" spans="1:14" ht="13.2" x14ac:dyDescent="0.25">
      <c r="A39" s="48" t="s">
        <v>177</v>
      </c>
      <c r="B39" s="2"/>
      <c r="C39" s="76"/>
      <c r="D39" s="77"/>
      <c r="E39" s="72">
        <f>SUM(E36:E38)</f>
        <v>4980.8788319244786</v>
      </c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3.2" x14ac:dyDescent="0.25">
      <c r="A40" s="2" t="s">
        <v>178</v>
      </c>
      <c r="B40" s="2"/>
      <c r="C40" s="71"/>
      <c r="D40" s="12"/>
      <c r="E40" s="72">
        <f>'OAT Inputs'!E30/1000000</f>
        <v>131.93299999999999</v>
      </c>
      <c r="F40" s="71"/>
      <c r="G40" s="71"/>
      <c r="H40" s="71"/>
      <c r="I40" s="71"/>
      <c r="J40" s="71"/>
      <c r="K40" s="71"/>
      <c r="L40" s="71"/>
      <c r="M40" s="71"/>
      <c r="N40" s="71"/>
    </row>
    <row r="41" spans="1:14" ht="13.2" x14ac:dyDescent="0.25">
      <c r="A41" s="49" t="s">
        <v>179</v>
      </c>
      <c r="B41" s="2"/>
      <c r="C41" s="65"/>
      <c r="D41" s="78"/>
      <c r="E41" s="79">
        <f>E39/E40</f>
        <v>37.753093099713332</v>
      </c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57" t="s">
        <v>182</v>
      </c>
      <c r="B43" s="2"/>
      <c r="C43" s="2"/>
      <c r="D43" s="50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57">
        <f>+A3</f>
        <v>0</v>
      </c>
      <c r="B44" s="2"/>
      <c r="C44" s="2"/>
      <c r="D44" s="50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57" t="s">
        <v>183</v>
      </c>
      <c r="B45" s="2"/>
      <c r="C45" s="2"/>
      <c r="D45" s="50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57"/>
      <c r="B46" s="2"/>
      <c r="C46" s="2"/>
      <c r="D46" s="50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25"/>
      <c r="B47" s="149" t="str">
        <f>+B6</f>
        <v>Actual</v>
      </c>
      <c r="C47" s="149" t="str">
        <f>+C6</f>
        <v>Actual</v>
      </c>
      <c r="D47" s="12"/>
      <c r="E47" s="149" t="str">
        <f t="shared" ref="E47:N48" si="21">+E6</f>
        <v>Forecast</v>
      </c>
      <c r="F47" s="149" t="str">
        <f t="shared" si="21"/>
        <v>Forecast</v>
      </c>
      <c r="G47" s="149" t="str">
        <f t="shared" si="21"/>
        <v>Forecast</v>
      </c>
      <c r="H47" s="149" t="str">
        <f t="shared" si="21"/>
        <v>Forecast</v>
      </c>
      <c r="I47" s="149" t="str">
        <f t="shared" si="21"/>
        <v>Forecast</v>
      </c>
      <c r="J47" s="149" t="str">
        <f t="shared" si="21"/>
        <v>Forecast</v>
      </c>
      <c r="K47" s="149" t="str">
        <f t="shared" si="21"/>
        <v>Forecast</v>
      </c>
      <c r="L47" s="149" t="str">
        <f t="shared" si="21"/>
        <v>Forecast</v>
      </c>
      <c r="M47" s="149" t="str">
        <f t="shared" si="21"/>
        <v>Forecast</v>
      </c>
      <c r="N47" s="149" t="str">
        <f t="shared" si="21"/>
        <v>Forecast</v>
      </c>
    </row>
    <row r="48" spans="1:14" ht="13.2" x14ac:dyDescent="0.25">
      <c r="A48" s="51" t="s">
        <v>144</v>
      </c>
      <c r="B48" s="150">
        <f>+B7</f>
        <v>1999</v>
      </c>
      <c r="C48" s="150">
        <f>+C7</f>
        <v>2000</v>
      </c>
      <c r="D48" s="33" t="s">
        <v>221</v>
      </c>
      <c r="E48" s="150">
        <f t="shared" si="21"/>
        <v>2001</v>
      </c>
      <c r="F48" s="150">
        <f t="shared" si="21"/>
        <v>2002</v>
      </c>
      <c r="G48" s="150">
        <f t="shared" si="21"/>
        <v>2003</v>
      </c>
      <c r="H48" s="150">
        <f t="shared" si="21"/>
        <v>2004</v>
      </c>
      <c r="I48" s="150">
        <f t="shared" si="21"/>
        <v>2005</v>
      </c>
      <c r="J48" s="150">
        <f t="shared" si="21"/>
        <v>2006</v>
      </c>
      <c r="K48" s="150">
        <f t="shared" si="21"/>
        <v>2007</v>
      </c>
      <c r="L48" s="150">
        <f t="shared" si="21"/>
        <v>2008</v>
      </c>
      <c r="M48" s="150">
        <f t="shared" si="21"/>
        <v>2009</v>
      </c>
      <c r="N48" s="151">
        <f t="shared" si="21"/>
        <v>2010</v>
      </c>
    </row>
    <row r="49" spans="1:14" ht="13.2" x14ac:dyDescent="0.25">
      <c r="A49" s="2" t="s">
        <v>184</v>
      </c>
      <c r="B49" s="152">
        <f>'OAT Balance Sheet'!C5</f>
        <v>282.89999999999998</v>
      </c>
      <c r="C49" s="152">
        <f>'OAT Balance Sheet'!B5</f>
        <v>174.3</v>
      </c>
      <c r="D49" s="44"/>
      <c r="E49" s="55">
        <f>E8*'OAT Balance Sheet'!I70</f>
        <v>185.94901803098287</v>
      </c>
      <c r="F49" s="55">
        <f>F8*'OAT Balance Sheet'!J70</f>
        <v>198.37657663044624</v>
      </c>
      <c r="G49" s="55">
        <f>G8*'OAT Balance Sheet'!K70</f>
        <v>211.63470811692196</v>
      </c>
      <c r="H49" s="55">
        <f>H8*'OAT Balance Sheet'!L70</f>
        <v>225.77892229268681</v>
      </c>
      <c r="I49" s="55">
        <f>I8*'OAT Balance Sheet'!M70</f>
        <v>240.86843885495523</v>
      </c>
      <c r="J49" s="55">
        <f>J8*'OAT Balance Sheet'!N70</f>
        <v>256.96643533984371</v>
      </c>
      <c r="K49" s="55">
        <f>K8*'OAT Balance Sheet'!O70</f>
        <v>274.1403116372116</v>
      </c>
      <c r="L49" s="55">
        <f>L8*'OAT Balance Sheet'!P70</f>
        <v>292.4619721838618</v>
      </c>
      <c r="M49" s="55">
        <f>M8*'OAT Balance Sheet'!Q70</f>
        <v>312.00812701660192</v>
      </c>
      <c r="N49" s="55">
        <f>N8*'OAT Balance Sheet'!R70</f>
        <v>332.8606129456299</v>
      </c>
    </row>
    <row r="50" spans="1:14" ht="13.2" x14ac:dyDescent="0.25">
      <c r="A50" s="2" t="s">
        <v>185</v>
      </c>
      <c r="B50" s="155">
        <f>'OAT Balance Sheet'!C7</f>
        <v>254.3</v>
      </c>
      <c r="C50" s="155">
        <f>'OAT Balance Sheet'!B7</f>
        <v>298</v>
      </c>
      <c r="D50" s="44"/>
      <c r="E50" s="155">
        <f>E8*'OAT Balance Sheet'!I72</f>
        <v>317.91627867603489</v>
      </c>
      <c r="F50" s="155">
        <f>F8*'OAT Balance Sheet'!J72</f>
        <v>339.16362499066537</v>
      </c>
      <c r="G50" s="155">
        <f>G8*'OAT Balance Sheet'!K72</f>
        <v>361.83099838693482</v>
      </c>
      <c r="H50" s="155">
        <f>H8*'OAT Balance Sheet'!L72</f>
        <v>386.01330374768025</v>
      </c>
      <c r="I50" s="155">
        <f>I8*'OAT Balance Sheet'!M72</f>
        <v>411.81178874800139</v>
      </c>
      <c r="J50" s="155">
        <f>J8*'OAT Balance Sheet'!N72</f>
        <v>439.33446776404708</v>
      </c>
      <c r="K50" s="155">
        <f>K8*'OAT Balance Sheet'!O72</f>
        <v>468.69657411296066</v>
      </c>
      <c r="L50" s="155">
        <f>L8*'OAT Balance Sheet'!P72</f>
        <v>500.02104251744578</v>
      </c>
      <c r="M50" s="155">
        <f>M8*'OAT Balance Sheet'!Q72</f>
        <v>533.439023814959</v>
      </c>
      <c r="N50" s="155">
        <f>N8*'OAT Balance Sheet'!R72</f>
        <v>569.09043406653871</v>
      </c>
    </row>
    <row r="51" spans="1:14" ht="13.2" x14ac:dyDescent="0.25">
      <c r="A51" s="2" t="s">
        <v>186</v>
      </c>
      <c r="B51" s="155">
        <f>'OAT Balance Sheet'!C13</f>
        <v>266.2</v>
      </c>
      <c r="C51" s="155">
        <f>'OAT Balance Sheet'!B13</f>
        <v>287.39999999999998</v>
      </c>
      <c r="D51" s="44"/>
      <c r="E51" s="155">
        <f>E8*'OAT Balance Sheet'!I78</f>
        <v>306.60784728688736</v>
      </c>
      <c r="F51" s="155">
        <f>F8*'OAT Balance Sheet'!J78</f>
        <v>327.09941551113161</v>
      </c>
      <c r="G51" s="155">
        <f>G8*'OAT Balance Sheet'!K78</f>
        <v>348.9604997865942</v>
      </c>
      <c r="H51" s="155">
        <f>H8*'OAT Balance Sheet'!L78</f>
        <v>372.28262918484324</v>
      </c>
      <c r="I51" s="155">
        <f>I8*'OAT Balance Sheet'!M78</f>
        <v>397.16344995360942</v>
      </c>
      <c r="J51" s="155">
        <f>J8*'OAT Balance Sheet'!N78</f>
        <v>423.7071343469367</v>
      </c>
      <c r="K51" s="155">
        <f>K8*'OAT Balance Sheet'!O78</f>
        <v>452.02481677874124</v>
      </c>
      <c r="L51" s="155">
        <f>L8*'OAT Balance Sheet'!P78</f>
        <v>482.23505912588564</v>
      </c>
      <c r="M51" s="155">
        <f>M8*'OAT Balance Sheet'!Q78</f>
        <v>514.46434712892358</v>
      </c>
      <c r="N51" s="155">
        <f>N8*'OAT Balance Sheet'!R78</f>
        <v>548.84761996886982</v>
      </c>
    </row>
    <row r="52" spans="1:14" ht="13.2" x14ac:dyDescent="0.25">
      <c r="A52" s="2" t="s">
        <v>187</v>
      </c>
      <c r="B52" s="155">
        <v>0</v>
      </c>
      <c r="C52" s="155">
        <v>0</v>
      </c>
      <c r="D52" s="44"/>
      <c r="E52" s="155"/>
      <c r="F52" s="155"/>
      <c r="G52" s="155"/>
      <c r="H52" s="155"/>
      <c r="I52" s="155"/>
      <c r="J52" s="155"/>
      <c r="K52" s="155"/>
      <c r="L52" s="155"/>
      <c r="M52" s="155"/>
      <c r="N52" s="155"/>
    </row>
    <row r="53" spans="1:14" ht="13.2" x14ac:dyDescent="0.25">
      <c r="A53" s="7" t="s">
        <v>188</v>
      </c>
      <c r="B53" s="156">
        <f>'OAT Balance Sheet'!B14</f>
        <v>253.7</v>
      </c>
      <c r="C53" s="156">
        <f>'OAT Balance Sheet'!C14</f>
        <v>193</v>
      </c>
      <c r="D53" s="45"/>
      <c r="E53" s="156">
        <f>E8*'OAT Balance Sheet'!I79</f>
        <v>270.6555701345975</v>
      </c>
      <c r="F53" s="156">
        <f>F8*'OAT Balance Sheet'!J79</f>
        <v>288.74433442997247</v>
      </c>
      <c r="G53" s="156">
        <f>G8*'OAT Balance Sheet'!K79</f>
        <v>308.04202782136025</v>
      </c>
      <c r="H53" s="156">
        <f>H8*'OAT Balance Sheet'!L79</f>
        <v>328.62944684827676</v>
      </c>
      <c r="I53" s="156">
        <f>I8*'OAT Balance Sheet'!M79</f>
        <v>350.59278793747637</v>
      </c>
      <c r="J53" s="156">
        <f>J8*'OAT Balance Sheet'!N79</f>
        <v>374.0240082944253</v>
      </c>
      <c r="K53" s="156">
        <f>K8*'OAT Balance Sheet'!O79</f>
        <v>399.02121091428899</v>
      </c>
      <c r="L53" s="156">
        <f>L8*'OAT Balance Sheet'!P79</f>
        <v>425.68905532441607</v>
      </c>
      <c r="M53" s="156">
        <f>M8*'OAT Balance Sheet'!Q79</f>
        <v>454.13919577803722</v>
      </c>
      <c r="N53" s="156">
        <f>N8*'OAT Balance Sheet'!R79</f>
        <v>484.49074873382841</v>
      </c>
    </row>
    <row r="54" spans="1:14" ht="13.2" x14ac:dyDescent="0.25">
      <c r="A54" s="2" t="s">
        <v>189</v>
      </c>
      <c r="B54" s="155">
        <f>SUM(B49:B53)</f>
        <v>1057.1000000000001</v>
      </c>
      <c r="C54" s="155">
        <f>SUM(C49:C53)</f>
        <v>952.7</v>
      </c>
      <c r="D54" s="44"/>
      <c r="E54" s="155">
        <f t="shared" ref="E54:N54" si="22">SUM(E49:E53)</f>
        <v>1081.1287141285025</v>
      </c>
      <c r="F54" s="155">
        <f t="shared" si="22"/>
        <v>1153.3839515622158</v>
      </c>
      <c r="G54" s="155">
        <f t="shared" si="22"/>
        <v>1230.4682341118114</v>
      </c>
      <c r="H54" s="155">
        <f t="shared" si="22"/>
        <v>1312.704302073487</v>
      </c>
      <c r="I54" s="155">
        <f t="shared" si="22"/>
        <v>1400.4364654940423</v>
      </c>
      <c r="J54" s="155">
        <f t="shared" si="22"/>
        <v>1494.0320457452528</v>
      </c>
      <c r="K54" s="155">
        <f t="shared" si="22"/>
        <v>1593.8829134432026</v>
      </c>
      <c r="L54" s="155">
        <f t="shared" si="22"/>
        <v>1700.4071291516093</v>
      </c>
      <c r="M54" s="155">
        <f t="shared" si="22"/>
        <v>1814.0506937385219</v>
      </c>
      <c r="N54" s="155">
        <f t="shared" si="22"/>
        <v>1935.2894157148669</v>
      </c>
    </row>
    <row r="55" spans="1:14" ht="13.2" x14ac:dyDescent="0.25">
      <c r="A55" s="2" t="s">
        <v>190</v>
      </c>
      <c r="B55" s="155">
        <f>'OAT Balance Sheet'!C25</f>
        <v>1106.7</v>
      </c>
      <c r="C55" s="155">
        <f>'OAT Balance Sheet'!B25</f>
        <v>1120</v>
      </c>
      <c r="D55" s="52"/>
      <c r="E55" s="155">
        <f>E8*'OAT Balance Sheet'!I90</f>
        <v>1194.85312790993</v>
      </c>
      <c r="F55" s="155">
        <f>F8*'OAT Balance Sheet'!J90</f>
        <v>1274.7089261394135</v>
      </c>
      <c r="G55" s="155">
        <f>G8*'OAT Balance Sheet'!K90</f>
        <v>1359.9017389039161</v>
      </c>
      <c r="H55" s="155">
        <f>H8*'OAT Balance Sheet'!L90</f>
        <v>1450.7882556959794</v>
      </c>
      <c r="I55" s="155">
        <f>I8*'OAT Balance Sheet'!M90</f>
        <v>1547.7490046904752</v>
      </c>
      <c r="J55" s="155">
        <f>J8*'OAT Balance Sheet'!N90</f>
        <v>1651.1899459588349</v>
      </c>
      <c r="K55" s="155">
        <f>K8*'OAT Balance Sheet'!O90</f>
        <v>1761.5441711628052</v>
      </c>
      <c r="L55" s="155">
        <f>L8*'OAT Balance Sheet'!P90</f>
        <v>1879.2737168440915</v>
      </c>
      <c r="M55" s="155">
        <f>M8*'OAT Balance Sheet'!Q90</f>
        <v>2004.8714989018595</v>
      </c>
      <c r="N55" s="155">
        <f>N8*'OAT Balance Sheet'!R90</f>
        <v>2138.8633763574608</v>
      </c>
    </row>
    <row r="56" spans="1:14" ht="13.2" x14ac:dyDescent="0.25">
      <c r="A56" s="2" t="s">
        <v>191</v>
      </c>
      <c r="B56" s="155">
        <f>'OAT Balance Sheet'!C26</f>
        <v>236.9</v>
      </c>
      <c r="C56" s="155">
        <f>'OAT Balance Sheet'!B26</f>
        <v>229.2</v>
      </c>
      <c r="D56" s="52" t="s">
        <v>222</v>
      </c>
      <c r="E56" s="155">
        <f>C56-(B56-C56)</f>
        <v>221.49999999999997</v>
      </c>
      <c r="F56" s="155">
        <f>E56-($B$56-$C$56)</f>
        <v>213.79999999999995</v>
      </c>
      <c r="G56" s="155">
        <f t="shared" ref="G56:N56" si="23">F56-($B$56-$C$56)</f>
        <v>206.09999999999994</v>
      </c>
      <c r="H56" s="155">
        <f t="shared" si="23"/>
        <v>198.39999999999992</v>
      </c>
      <c r="I56" s="155">
        <f t="shared" si="23"/>
        <v>190.6999999999999</v>
      </c>
      <c r="J56" s="155">
        <f t="shared" si="23"/>
        <v>182.99999999999989</v>
      </c>
      <c r="K56" s="155">
        <f t="shared" si="23"/>
        <v>175.29999999999987</v>
      </c>
      <c r="L56" s="155">
        <f t="shared" si="23"/>
        <v>167.59999999999985</v>
      </c>
      <c r="M56" s="155">
        <f t="shared" si="23"/>
        <v>159.89999999999984</v>
      </c>
      <c r="N56" s="155">
        <f t="shared" si="23"/>
        <v>152.19999999999982</v>
      </c>
    </row>
    <row r="57" spans="1:14" ht="13.2" x14ac:dyDescent="0.25">
      <c r="A57" s="7" t="s">
        <v>192</v>
      </c>
      <c r="B57" s="156">
        <f>'OAT Balance Sheet'!C27</f>
        <v>55.9</v>
      </c>
      <c r="C57" s="156">
        <f>'OAT Balance Sheet'!B27</f>
        <v>55.9</v>
      </c>
      <c r="D57" s="45"/>
      <c r="E57" s="156">
        <f>E8*'OAT Balance Sheet'!I92</f>
        <v>59.635973080504534</v>
      </c>
      <c r="F57" s="156">
        <f>F8*'OAT Balance Sheet'!J92</f>
        <v>63.621633009993943</v>
      </c>
      <c r="G57" s="156">
        <f>G8*'OAT Balance Sheet'!K92</f>
        <v>67.873667147079388</v>
      </c>
      <c r="H57" s="156">
        <f>H8*'OAT Balance Sheet'!L92</f>
        <v>72.409878119111823</v>
      </c>
      <c r="I57" s="156">
        <f>I8*'OAT Balance Sheet'!M92</f>
        <v>77.249258359104957</v>
      </c>
      <c r="J57" s="156">
        <f>J8*'OAT Balance Sheet'!N92</f>
        <v>82.412069624195411</v>
      </c>
      <c r="K57" s="156">
        <f>K8*'OAT Balance Sheet'!O92</f>
        <v>87.919927828572142</v>
      </c>
      <c r="L57" s="156">
        <f>L8*'OAT Balance Sheet'!P92</f>
        <v>93.795893546057783</v>
      </c>
      <c r="M57" s="156">
        <f>M8*'OAT Balance Sheet'!Q92</f>
        <v>100.06456856126245</v>
      </c>
      <c r="N57" s="156">
        <f>N8*'OAT Balance Sheet'!R92</f>
        <v>106.75219887355541</v>
      </c>
    </row>
    <row r="58" spans="1:14" ht="13.2" x14ac:dyDescent="0.25">
      <c r="A58" s="7" t="s">
        <v>193</v>
      </c>
      <c r="B58" s="156">
        <f>SUM(B55:B57)</f>
        <v>1399.5000000000002</v>
      </c>
      <c r="C58" s="156">
        <f>SUM(C55:C57)</f>
        <v>1405.1000000000001</v>
      </c>
      <c r="D58" s="40"/>
      <c r="E58" s="156">
        <f>SUM(E55:E57)</f>
        <v>1475.9891009904345</v>
      </c>
      <c r="F58" s="156">
        <f t="shared" ref="F58:N58" si="24">SUM(F55:F57)</f>
        <v>1552.1305591494074</v>
      </c>
      <c r="G58" s="156">
        <f t="shared" si="24"/>
        <v>1633.8754060509955</v>
      </c>
      <c r="H58" s="156">
        <f t="shared" si="24"/>
        <v>1721.5981338150912</v>
      </c>
      <c r="I58" s="156">
        <f t="shared" si="24"/>
        <v>1815.69826304958</v>
      </c>
      <c r="J58" s="156">
        <f t="shared" si="24"/>
        <v>1916.6020155830304</v>
      </c>
      <c r="K58" s="156">
        <f t="shared" si="24"/>
        <v>2024.7640989913773</v>
      </c>
      <c r="L58" s="156">
        <f t="shared" si="24"/>
        <v>2140.669610390149</v>
      </c>
      <c r="M58" s="156">
        <f t="shared" si="24"/>
        <v>2264.8360674631217</v>
      </c>
      <c r="N58" s="156">
        <f t="shared" si="24"/>
        <v>2397.8155752310158</v>
      </c>
    </row>
    <row r="59" spans="1:14" ht="13.2" x14ac:dyDescent="0.25">
      <c r="A59" s="2"/>
      <c r="B59" s="155"/>
      <c r="C59" s="155"/>
      <c r="D59" s="2"/>
      <c r="E59" s="155"/>
      <c r="F59" s="155"/>
      <c r="G59" s="155"/>
      <c r="H59" s="155"/>
      <c r="I59" s="155"/>
      <c r="J59" s="155"/>
      <c r="K59" s="155"/>
      <c r="L59" s="155"/>
      <c r="M59" s="155"/>
      <c r="N59" s="155"/>
    </row>
    <row r="60" spans="1:14" ht="13.2" x14ac:dyDescent="0.25">
      <c r="A60" s="2" t="s">
        <v>194</v>
      </c>
      <c r="B60" s="155">
        <f>'OAT Balance Sheet'!C35</f>
        <v>213.6</v>
      </c>
      <c r="C60" s="155">
        <f>'OAT Balance Sheet'!B35</f>
        <v>212.3</v>
      </c>
      <c r="D60" s="44"/>
      <c r="E60" s="155">
        <f>E8*'OAT Balance Sheet'!I100</f>
        <v>226.4886777279269</v>
      </c>
      <c r="F60" s="155">
        <f>F8*'OAT Balance Sheet'!J100</f>
        <v>241.6256294816049</v>
      </c>
      <c r="G60" s="155">
        <f>G8*'OAT Balance Sheet'!K100</f>
        <v>257.77423140116196</v>
      </c>
      <c r="H60" s="155">
        <f>H8*'OAT Balance Sheet'!L100</f>
        <v>275.00209525380041</v>
      </c>
      <c r="I60" s="155">
        <f>I8*'OAT Balance Sheet'!M100</f>
        <v>293.38135151409631</v>
      </c>
      <c r="J60" s="155">
        <f>J8*'OAT Balance Sheet'!N100</f>
        <v>312.98895136344703</v>
      </c>
      <c r="K60" s="155">
        <f>K8*'OAT Balance Sheet'!O100</f>
        <v>333.90698887309247</v>
      </c>
      <c r="L60" s="155">
        <f>L8*'OAT Balance Sheet'!P100</f>
        <v>356.22304471964344</v>
      </c>
      <c r="M60" s="155">
        <f>M8*'OAT Balance Sheet'!Q100</f>
        <v>380.0305528722007</v>
      </c>
      <c r="N60" s="155">
        <f>N8*'OAT Balance Sheet'!R100</f>
        <v>405.42919178632945</v>
      </c>
    </row>
    <row r="61" spans="1:14" ht="13.2" x14ac:dyDescent="0.25">
      <c r="A61" s="7" t="s">
        <v>195</v>
      </c>
      <c r="B61" s="156">
        <f>'OAT Balance Sheet'!C39+'OAT Balance Sheet'!C37+'OAT Balance Sheet'!C36</f>
        <v>530.1</v>
      </c>
      <c r="C61" s="156">
        <f>'OAT Balance Sheet'!B39+'OAT Balance Sheet'!B37+'OAT Balance Sheet'!B36</f>
        <v>502.9</v>
      </c>
      <c r="D61" s="45"/>
      <c r="E61" s="156">
        <f>(E8*'OAT Balance Sheet'!I101)+(E8*'OAT Balance Sheet'!I102)+(E8*'OAT Balance Sheet'!I104)</f>
        <v>536.51039109455689</v>
      </c>
      <c r="F61" s="156">
        <f>(F8*'OAT Balance Sheet'!J101)+(F8*'OAT Balance Sheet'!J102)+(F8*'OAT Balance Sheet'!J104)</f>
        <v>572.36707049599204</v>
      </c>
      <c r="G61" s="156">
        <f>(G8*'OAT Balance Sheet'!K101)+(G8*'OAT Balance Sheet'!K102)+(G8*'OAT Balance Sheet'!K104)</f>
        <v>610.62016472748167</v>
      </c>
      <c r="H61" s="156">
        <f>(H8*'OAT Balance Sheet'!L101)+(H8*'OAT Balance Sheet'!L102)+(H8*'OAT Balance Sheet'!L104)</f>
        <v>651.42983374063215</v>
      </c>
      <c r="I61" s="156">
        <f>(I8*'OAT Balance Sheet'!M101)+(I8*'OAT Balance Sheet'!M102)+(I8*'OAT Balance Sheet'!M104)</f>
        <v>694.96694148110714</v>
      </c>
      <c r="J61" s="156">
        <f>(J8*'OAT Balance Sheet'!N101)+(J8*'OAT Balance Sheet'!N102)+(J8*'OAT Balance Sheet'!N104)</f>
        <v>741.41377127026612</v>
      </c>
      <c r="K61" s="156">
        <f>(K8*'OAT Balance Sheet'!O101)+(K8*'OAT Balance Sheet'!O102)+(K8*'OAT Balance Sheet'!O104)</f>
        <v>790.96478899801309</v>
      </c>
      <c r="L61" s="156">
        <f>(L8*'OAT Balance Sheet'!P101)+(L8*'OAT Balance Sheet'!P102)+(L8*'OAT Balance Sheet'!P104)</f>
        <v>843.82745732222656</v>
      </c>
      <c r="M61" s="156">
        <f>(M8*'OAT Balance Sheet'!Q101)+(M8*'OAT Balance Sheet'!Q102)+(M8*'OAT Balance Sheet'!Q104)</f>
        <v>900.2231042837011</v>
      </c>
      <c r="N61" s="156">
        <f>(N8*'OAT Balance Sheet'!R101)+(N8*'OAT Balance Sheet'!R102)+(N8*'OAT Balance Sheet'!R104)</f>
        <v>960.38784997336347</v>
      </c>
    </row>
    <row r="62" spans="1:14" ht="13.2" x14ac:dyDescent="0.25">
      <c r="A62" s="2" t="s">
        <v>196</v>
      </c>
      <c r="B62" s="155">
        <f>SUM(B60:B61)</f>
        <v>743.7</v>
      </c>
      <c r="C62" s="155">
        <f>SUM(C60:C61)</f>
        <v>715.2</v>
      </c>
      <c r="D62" s="16"/>
      <c r="E62" s="155">
        <f>SUM(E60:E61)</f>
        <v>762.99906882248376</v>
      </c>
      <c r="F62" s="155">
        <f t="shared" ref="F62:N62" si="25">SUM(F60:F61)</f>
        <v>813.99269997759689</v>
      </c>
      <c r="G62" s="155">
        <f t="shared" si="25"/>
        <v>868.39439612864362</v>
      </c>
      <c r="H62" s="155">
        <f t="shared" si="25"/>
        <v>926.43192899443261</v>
      </c>
      <c r="I62" s="155">
        <f t="shared" si="25"/>
        <v>988.34829299520345</v>
      </c>
      <c r="J62" s="155">
        <f t="shared" si="25"/>
        <v>1054.4027226337132</v>
      </c>
      <c r="K62" s="155">
        <f t="shared" si="25"/>
        <v>1124.8717778711057</v>
      </c>
      <c r="L62" s="155">
        <f t="shared" si="25"/>
        <v>1200.05050204187</v>
      </c>
      <c r="M62" s="155">
        <f t="shared" si="25"/>
        <v>1280.2536571559017</v>
      </c>
      <c r="N62" s="155">
        <f t="shared" si="25"/>
        <v>1365.817041759693</v>
      </c>
    </row>
    <row r="63" spans="1:14" ht="13.2" x14ac:dyDescent="0.25">
      <c r="A63" s="19"/>
      <c r="B63" s="155"/>
      <c r="C63" s="155"/>
      <c r="D63" s="16"/>
      <c r="E63" s="155"/>
      <c r="F63" s="155"/>
      <c r="G63" s="155"/>
      <c r="H63" s="155"/>
      <c r="I63" s="155"/>
      <c r="J63" s="155"/>
      <c r="K63" s="155"/>
      <c r="L63" s="155"/>
      <c r="M63" s="155"/>
      <c r="N63" s="155"/>
    </row>
    <row r="64" spans="1:14" ht="13.2" x14ac:dyDescent="0.25">
      <c r="A64" s="19" t="s">
        <v>197</v>
      </c>
      <c r="B64" s="155">
        <v>0</v>
      </c>
      <c r="C64" s="155">
        <v>0</v>
      </c>
      <c r="D64" s="16"/>
      <c r="E64" s="155"/>
      <c r="F64" s="155"/>
      <c r="G64" s="155"/>
      <c r="H64" s="155"/>
      <c r="I64" s="155"/>
      <c r="J64" s="155"/>
      <c r="K64" s="155"/>
      <c r="L64" s="155"/>
      <c r="M64" s="155"/>
      <c r="N64" s="155"/>
    </row>
    <row r="65" spans="1:14" ht="13.2" x14ac:dyDescent="0.25">
      <c r="A65" s="19" t="s">
        <v>198</v>
      </c>
      <c r="B65" s="155">
        <f>'OAT Balance Sheet'!C43</f>
        <v>523.1</v>
      </c>
      <c r="C65" s="155">
        <f>'OAT Balance Sheet'!B43</f>
        <v>518</v>
      </c>
      <c r="D65" s="16"/>
      <c r="E65" s="155">
        <f>E8*'OAT Balance Sheet'!I108</f>
        <v>552.61957165834258</v>
      </c>
      <c r="F65" s="155">
        <f>F8*'OAT Balance Sheet'!J108</f>
        <v>589.55287833947875</v>
      </c>
      <c r="G65" s="155">
        <f>G8*'OAT Balance Sheet'!K108</f>
        <v>628.95455424306112</v>
      </c>
      <c r="H65" s="155">
        <f>H8*'OAT Balance Sheet'!L108</f>
        <v>670.98956825939047</v>
      </c>
      <c r="I65" s="155">
        <f>I8*'OAT Balance Sheet'!M108</f>
        <v>715.83391466934472</v>
      </c>
      <c r="J65" s="155">
        <f>J8*'OAT Balance Sheet'!N108</f>
        <v>763.67535000596104</v>
      </c>
      <c r="K65" s="155">
        <f>K8*'OAT Balance Sheet'!O108</f>
        <v>814.71417916279734</v>
      </c>
      <c r="L65" s="155">
        <f>L8*'OAT Balance Sheet'!P108</f>
        <v>869.16409404039234</v>
      </c>
      <c r="M65" s="155">
        <f>M8*'OAT Balance Sheet'!Q108</f>
        <v>927.25306824210998</v>
      </c>
      <c r="N65" s="155">
        <f>N8*'OAT Balance Sheet'!R108</f>
        <v>989.22431156532559</v>
      </c>
    </row>
    <row r="66" spans="1:14" ht="13.2" x14ac:dyDescent="0.25">
      <c r="A66" s="19" t="s">
        <v>199</v>
      </c>
      <c r="B66" s="155"/>
      <c r="C66" s="155"/>
      <c r="D66" s="44" t="s">
        <v>223</v>
      </c>
      <c r="E66" s="155"/>
      <c r="F66" s="155"/>
      <c r="G66" s="155"/>
      <c r="H66" s="155"/>
      <c r="I66" s="155"/>
      <c r="J66" s="155"/>
      <c r="K66" s="155"/>
      <c r="L66" s="155"/>
      <c r="M66" s="155"/>
      <c r="N66" s="155"/>
    </row>
    <row r="67" spans="1:14" ht="13.2" x14ac:dyDescent="0.25">
      <c r="A67" s="7" t="s">
        <v>200</v>
      </c>
      <c r="B67" s="156">
        <f>'OAT Balance Sheet'!C33+'OAT Balance Sheet'!C34+'OAT Balance Sheet'!C42</f>
        <v>869.5</v>
      </c>
      <c r="C67" s="156">
        <f>'OAT Balance Sheet'!B33+'OAT Balance Sheet'!B34+'OAT Balance Sheet'!B42</f>
        <v>793.7</v>
      </c>
      <c r="D67" s="9" t="s">
        <v>224</v>
      </c>
      <c r="E67" s="156">
        <f>($C$67/$C$58)*E58</f>
        <v>833.74318515131154</v>
      </c>
      <c r="F67" s="156">
        <f t="shared" ref="F67:N67" si="26">($C$67/$C$58)*F58</f>
        <v>876.75327364378666</v>
      </c>
      <c r="G67" s="156">
        <f t="shared" si="26"/>
        <v>922.92855297322262</v>
      </c>
      <c r="H67" s="156">
        <f t="shared" si="26"/>
        <v>972.48056281334982</v>
      </c>
      <c r="I67" s="156">
        <f t="shared" si="26"/>
        <v>1025.6349807006275</v>
      </c>
      <c r="J67" s="156">
        <f t="shared" si="26"/>
        <v>1082.6325669121422</v>
      </c>
      <c r="K67" s="156">
        <f t="shared" si="26"/>
        <v>1143.730172492674</v>
      </c>
      <c r="L67" s="156">
        <f t="shared" si="26"/>
        <v>1209.2018146513851</v>
      </c>
      <c r="M67" s="156">
        <f t="shared" si="26"/>
        <v>1279.3398240306594</v>
      </c>
      <c r="N67" s="156">
        <f t="shared" si="26"/>
        <v>1354.4560686505283</v>
      </c>
    </row>
    <row r="68" spans="1:14" ht="13.2" x14ac:dyDescent="0.25">
      <c r="A68" s="2" t="s">
        <v>201</v>
      </c>
      <c r="B68" s="152">
        <f>SUM(B62:B67)</f>
        <v>2136.3000000000002</v>
      </c>
      <c r="C68" s="152">
        <f>SUM(C62:C67)</f>
        <v>2026.9</v>
      </c>
      <c r="D68" s="16"/>
      <c r="E68" s="152">
        <f t="shared" ref="E68:N68" si="27">SUM(E62:E67)</f>
        <v>2149.3618256321379</v>
      </c>
      <c r="F68" s="152">
        <f t="shared" si="27"/>
        <v>2280.2988519608621</v>
      </c>
      <c r="G68" s="152">
        <f t="shared" si="27"/>
        <v>2420.277503344927</v>
      </c>
      <c r="H68" s="152">
        <f t="shared" si="27"/>
        <v>2569.9020600671729</v>
      </c>
      <c r="I68" s="152">
        <f t="shared" si="27"/>
        <v>2729.8171883651758</v>
      </c>
      <c r="J68" s="152">
        <f t="shared" si="27"/>
        <v>2900.7106395518167</v>
      </c>
      <c r="K68" s="152">
        <f t="shared" si="27"/>
        <v>3083.3161295265772</v>
      </c>
      <c r="L68" s="152">
        <f t="shared" si="27"/>
        <v>3278.4164107336474</v>
      </c>
      <c r="M68" s="152">
        <f t="shared" si="27"/>
        <v>3486.8465494286711</v>
      </c>
      <c r="N68" s="152">
        <f t="shared" si="27"/>
        <v>3709.4974219755468</v>
      </c>
    </row>
    <row r="69" spans="1:14" ht="13.2" x14ac:dyDescent="0.25">
      <c r="A69" s="7" t="s">
        <v>202</v>
      </c>
      <c r="B69" s="153"/>
      <c r="C69" s="153"/>
      <c r="D69" s="9" t="s">
        <v>225</v>
      </c>
      <c r="E69" s="156"/>
      <c r="F69" s="156"/>
      <c r="G69" s="156"/>
      <c r="H69" s="156"/>
      <c r="I69" s="156"/>
      <c r="J69" s="156"/>
      <c r="K69" s="156"/>
      <c r="L69" s="156"/>
      <c r="M69" s="156"/>
      <c r="N69" s="156"/>
    </row>
    <row r="70" spans="1:14" ht="13.2" x14ac:dyDescent="0.25">
      <c r="A70" s="42" t="s">
        <v>203</v>
      </c>
      <c r="B70" s="154"/>
      <c r="C70" s="154"/>
      <c r="D70" s="38"/>
      <c r="E70" s="157"/>
      <c r="F70" s="157"/>
      <c r="G70" s="157"/>
      <c r="H70" s="157"/>
      <c r="I70" s="157"/>
      <c r="J70" s="157"/>
      <c r="K70" s="157"/>
      <c r="L70" s="157"/>
      <c r="M70" s="157"/>
      <c r="N70" s="157"/>
    </row>
    <row r="71" spans="1:14" ht="13.2" x14ac:dyDescent="0.25">
      <c r="A71" s="2" t="s">
        <v>204</v>
      </c>
      <c r="B71" s="152"/>
      <c r="C71" s="152"/>
      <c r="D71" s="16" t="s">
        <v>226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</row>
    <row r="72" spans="1:14" ht="13.2" x14ac:dyDescent="0.25">
      <c r="A72" s="2"/>
      <c r="B72" s="152"/>
      <c r="C72" s="152"/>
      <c r="D72" s="2"/>
      <c r="E72" s="155"/>
      <c r="F72" s="155"/>
      <c r="G72" s="155"/>
      <c r="H72" s="155"/>
      <c r="I72" s="155"/>
      <c r="J72" s="155"/>
      <c r="K72" s="155"/>
      <c r="L72" s="155"/>
      <c r="M72" s="155"/>
      <c r="N72" s="155"/>
    </row>
    <row r="73" spans="1:14" ht="13.2" x14ac:dyDescent="0.25">
      <c r="A73" s="2" t="s">
        <v>205</v>
      </c>
      <c r="B73" s="152"/>
      <c r="C73" s="152"/>
      <c r="D73" s="2"/>
      <c r="E73" s="155"/>
      <c r="F73" s="155"/>
      <c r="G73" s="155"/>
      <c r="H73" s="155"/>
      <c r="I73" s="155"/>
      <c r="J73" s="155"/>
      <c r="K73" s="155"/>
      <c r="L73" s="155"/>
      <c r="M73" s="155"/>
      <c r="N73" s="155"/>
    </row>
    <row r="74" spans="1:14" ht="13.2" x14ac:dyDescent="0.25">
      <c r="A74" s="2" t="s">
        <v>206</v>
      </c>
      <c r="B74" s="152"/>
      <c r="C74" s="152"/>
      <c r="D74" s="44" t="s">
        <v>227</v>
      </c>
      <c r="E74" s="155"/>
      <c r="F74" s="155"/>
      <c r="G74" s="155"/>
      <c r="H74" s="155"/>
      <c r="I74" s="155"/>
      <c r="J74" s="155"/>
      <c r="K74" s="155"/>
      <c r="L74" s="155"/>
      <c r="M74" s="155"/>
      <c r="N74" s="155"/>
    </row>
    <row r="75" spans="1:14" ht="13.2" x14ac:dyDescent="0.25">
      <c r="A75" s="2" t="s">
        <v>207</v>
      </c>
      <c r="B75" s="152"/>
      <c r="C75" s="152"/>
      <c r="D75" s="44" t="s">
        <v>161</v>
      </c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ht="13.2" x14ac:dyDescent="0.25">
      <c r="A76" s="2" t="s">
        <v>208</v>
      </c>
      <c r="B76" s="152"/>
      <c r="C76" s="152"/>
      <c r="D76" s="44"/>
      <c r="E76" s="155"/>
      <c r="F76" s="155"/>
      <c r="G76" s="155"/>
      <c r="H76" s="155"/>
      <c r="I76" s="155"/>
      <c r="J76" s="155"/>
      <c r="K76" s="155"/>
      <c r="L76" s="155"/>
      <c r="M76" s="155"/>
      <c r="N76" s="155"/>
    </row>
    <row r="77" spans="1:14" ht="13.2" x14ac:dyDescent="0.25">
      <c r="A77" s="2" t="s">
        <v>209</v>
      </c>
      <c r="B77" s="152"/>
      <c r="C77" s="152"/>
      <c r="D77" s="44" t="s">
        <v>161</v>
      </c>
      <c r="E77" s="155"/>
      <c r="F77" s="155"/>
      <c r="G77" s="155"/>
      <c r="H77" s="155"/>
      <c r="I77" s="155"/>
      <c r="J77" s="155"/>
      <c r="K77" s="155"/>
      <c r="L77" s="155"/>
      <c r="M77" s="155"/>
      <c r="N77" s="155"/>
    </row>
    <row r="78" spans="1:14" ht="13.2" x14ac:dyDescent="0.25">
      <c r="A78" s="2" t="s">
        <v>210</v>
      </c>
      <c r="B78" s="152"/>
      <c r="C78" s="152"/>
      <c r="D78" s="44"/>
      <c r="E78" s="155"/>
      <c r="F78" s="155"/>
      <c r="G78" s="155"/>
      <c r="H78" s="155"/>
      <c r="I78" s="155"/>
      <c r="J78" s="155"/>
      <c r="K78" s="155"/>
      <c r="L78" s="155"/>
      <c r="M78" s="155"/>
      <c r="N78" s="155"/>
    </row>
    <row r="79" spans="1:14" ht="13.2" x14ac:dyDescent="0.25">
      <c r="A79" s="2" t="s">
        <v>211</v>
      </c>
      <c r="B79" s="152"/>
      <c r="C79" s="152"/>
      <c r="D79" s="44" t="s">
        <v>161</v>
      </c>
      <c r="E79" s="155"/>
      <c r="F79" s="155"/>
      <c r="G79" s="155"/>
      <c r="H79" s="155"/>
      <c r="I79" s="155"/>
      <c r="J79" s="155"/>
      <c r="K79" s="155"/>
      <c r="L79" s="155"/>
      <c r="M79" s="155"/>
      <c r="N79" s="155"/>
    </row>
    <row r="80" spans="1:14" ht="13.2" x14ac:dyDescent="0.25">
      <c r="A80" s="2"/>
      <c r="B80" s="152"/>
      <c r="C80" s="152"/>
      <c r="D80" s="44" t="s">
        <v>226</v>
      </c>
      <c r="E80" s="155"/>
      <c r="F80" s="155"/>
      <c r="G80" s="155"/>
      <c r="H80" s="155"/>
      <c r="I80" s="155"/>
      <c r="J80" s="155"/>
      <c r="K80" s="155"/>
      <c r="L80" s="155"/>
      <c r="M80" s="155"/>
      <c r="N80" s="155"/>
    </row>
    <row r="81" spans="1:14" ht="13.2" x14ac:dyDescent="0.25">
      <c r="A81" s="2"/>
      <c r="B81" s="152"/>
      <c r="C81" s="152"/>
      <c r="D81" s="53"/>
      <c r="E81" s="155"/>
      <c r="F81" s="155"/>
      <c r="G81" s="155"/>
      <c r="H81" s="155"/>
      <c r="I81" s="155"/>
      <c r="J81" s="155"/>
      <c r="K81" s="155"/>
      <c r="L81" s="155"/>
      <c r="M81" s="155"/>
      <c r="N81" s="155"/>
    </row>
    <row r="82" spans="1:14" ht="13.2" x14ac:dyDescent="0.25">
      <c r="A82" s="2" t="s">
        <v>212</v>
      </c>
      <c r="B82" s="152"/>
      <c r="C82" s="152"/>
      <c r="D82" s="44" t="s">
        <v>228</v>
      </c>
      <c r="E82" s="155"/>
      <c r="F82" s="155"/>
      <c r="G82" s="155"/>
      <c r="H82" s="155"/>
      <c r="I82" s="155"/>
      <c r="J82" s="155"/>
      <c r="K82" s="155"/>
      <c r="L82" s="155"/>
      <c r="M82" s="155"/>
      <c r="N82" s="155"/>
    </row>
    <row r="83" spans="1:14" ht="13.2" x14ac:dyDescent="0.25">
      <c r="A83" s="2" t="s">
        <v>213</v>
      </c>
      <c r="B83" s="152"/>
      <c r="C83" s="152"/>
      <c r="D83" s="44"/>
      <c r="E83" s="155"/>
      <c r="F83" s="155"/>
      <c r="G83" s="155"/>
      <c r="H83" s="155"/>
      <c r="I83" s="155"/>
      <c r="J83" s="155"/>
      <c r="K83" s="155"/>
      <c r="L83" s="155"/>
      <c r="M83" s="155"/>
      <c r="N83" s="155"/>
    </row>
    <row r="84" spans="1:14" ht="13.2" x14ac:dyDescent="0.25">
      <c r="A84" s="25" t="s">
        <v>214</v>
      </c>
      <c r="B84" s="152"/>
      <c r="C84" s="152"/>
      <c r="D84" s="54" t="s">
        <v>229</v>
      </c>
      <c r="E84" s="155"/>
      <c r="F84" s="155"/>
      <c r="G84" s="155"/>
      <c r="H84" s="155"/>
      <c r="I84" s="155"/>
      <c r="J84" s="155"/>
      <c r="K84" s="155"/>
      <c r="L84" s="155"/>
      <c r="M84" s="155"/>
      <c r="N84" s="155"/>
    </row>
    <row r="85" spans="1:14" ht="13.2" x14ac:dyDescent="0.25">
      <c r="A85" s="2" t="s">
        <v>215</v>
      </c>
      <c r="B85" s="152"/>
      <c r="C85" s="152"/>
      <c r="D85" s="54" t="s">
        <v>230</v>
      </c>
      <c r="E85" s="155"/>
      <c r="F85" s="155"/>
      <c r="G85" s="155"/>
      <c r="H85" s="155"/>
      <c r="I85" s="155"/>
      <c r="J85" s="155"/>
      <c r="K85" s="155"/>
      <c r="L85" s="155"/>
      <c r="M85" s="155"/>
      <c r="N85" s="155"/>
    </row>
    <row r="86" spans="1:14" ht="13.2" x14ac:dyDescent="0.25">
      <c r="A86" s="2" t="s">
        <v>216</v>
      </c>
      <c r="B86" s="152"/>
      <c r="C86" s="152"/>
      <c r="D86" s="44" t="s">
        <v>231</v>
      </c>
      <c r="E86" s="155"/>
      <c r="F86" s="155"/>
      <c r="G86" s="155"/>
      <c r="H86" s="155"/>
      <c r="I86" s="155"/>
      <c r="J86" s="155"/>
      <c r="K86" s="155"/>
      <c r="L86" s="155"/>
      <c r="M86" s="155"/>
      <c r="N86" s="155"/>
    </row>
    <row r="87" spans="1:14" ht="13.2" x14ac:dyDescent="0.25">
      <c r="A87" s="2" t="s">
        <v>217</v>
      </c>
      <c r="B87" s="152"/>
      <c r="C87" s="152"/>
      <c r="D87" s="44" t="s">
        <v>232</v>
      </c>
      <c r="E87" s="155"/>
      <c r="F87" s="155"/>
      <c r="G87" s="155"/>
      <c r="H87" s="155"/>
      <c r="I87" s="155"/>
      <c r="J87" s="155"/>
      <c r="K87" s="155"/>
      <c r="L87" s="155"/>
      <c r="M87" s="155"/>
      <c r="N87" s="155"/>
    </row>
    <row r="88" spans="1:14" ht="13.2" x14ac:dyDescent="0.25">
      <c r="A88" s="25" t="s">
        <v>218</v>
      </c>
      <c r="B88" s="152"/>
      <c r="C88" s="152"/>
      <c r="D88" s="44"/>
      <c r="E88" s="155"/>
      <c r="F88" s="155"/>
      <c r="G88" s="155"/>
      <c r="H88" s="155"/>
      <c r="I88" s="155"/>
      <c r="J88" s="155"/>
      <c r="K88" s="155"/>
      <c r="L88" s="155"/>
      <c r="M88" s="155"/>
      <c r="N88" s="155"/>
    </row>
    <row r="89" spans="1:14" ht="13.2" x14ac:dyDescent="0.25">
      <c r="A89" s="25" t="s">
        <v>219</v>
      </c>
      <c r="B89" s="152"/>
      <c r="C89" s="152"/>
      <c r="D89" s="54" t="s">
        <v>233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5"/>
    </row>
  </sheetData>
  <phoneticPr fontId="0" type="noConversion"/>
  <pageMargins left="0.75" right="0.75" top="1" bottom="1" header="0.5" footer="0.5"/>
  <pageSetup scale="85" orientation="landscape" r:id="rId1"/>
  <headerFooter alignWithMargins="0"/>
  <rowBreaks count="1" manualBreakCount="1">
    <brk id="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E28" sqref="E28"/>
    </sheetView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OAT Inputs</vt:lpstr>
      <vt:lpstr>OAT Cash Flow</vt:lpstr>
      <vt:lpstr>OAT Income Statement</vt:lpstr>
      <vt:lpstr>OAT Balance Sheet</vt:lpstr>
      <vt:lpstr>OAT DCF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Havlíček Jan</cp:lastModifiedBy>
  <cp:lastPrinted>2001-04-12T23:52:37Z</cp:lastPrinted>
  <dcterms:created xsi:type="dcterms:W3CDTF">2001-04-07T01:11:02Z</dcterms:created>
  <dcterms:modified xsi:type="dcterms:W3CDTF">2023-09-10T15:01:09Z</dcterms:modified>
</cp:coreProperties>
</file>