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ialogsheets/sheet1.xml" ContentType="application/vnd.openxmlformats-officedocument.spreadsheetml.dialog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396" yWindow="192" windowWidth="20208" windowHeight="8280" tabRatio="730" activeTab="1"/>
  </bookViews>
  <sheets>
    <sheet name="Current Prices" sheetId="1" r:id="rId1"/>
    <sheet name="Current Prices -Access" sheetId="2" r:id="rId2"/>
    <sheet name="NG-Historicals - Current Mth" sheetId="3249" r:id="rId3"/>
    <sheet name="MIDS" sheetId="3248" r:id="rId4"/>
    <sheet name="Codes" sheetId="36432" r:id="rId5"/>
    <sheet name="GetBar Docs" sheetId="332" state="hidden" r:id="rId6"/>
    <sheet name="GetBarDialog" sheetId="267" state="hidden" r:id="rId7"/>
    <sheet name="Sheet1" sheetId="2826" state="hidden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_xlnm.Print_Area" localSheetId="5">'GetBar Docs'!$A$1:$J$72</definedName>
  </definedNames>
  <calcPr calcId="92512"/>
</workbook>
</file>

<file path=xl/calcChain.xml><?xml version="1.0" encoding="utf-8"?>
<calcChain xmlns="http://schemas.openxmlformats.org/spreadsheetml/2006/main">
  <c r="C2" i="36432" l="1"/>
  <c r="D2" i="36432"/>
  <c r="E2" i="36432"/>
  <c r="F2" i="36432"/>
  <c r="G2" i="36432"/>
  <c r="H2" i="36432"/>
  <c r="I2" i="36432"/>
  <c r="J2" i="36432"/>
  <c r="I6" i="36432"/>
  <c r="M6" i="36432"/>
  <c r="I21" i="36432"/>
  <c r="M21" i="36432"/>
  <c r="W2" i="1"/>
  <c r="M3" i="1"/>
  <c r="O3" i="1"/>
  <c r="A4" i="1"/>
  <c r="B4" i="1"/>
  <c r="C4" i="1"/>
  <c r="E4" i="1"/>
  <c r="F4" i="1"/>
  <c r="H4" i="1"/>
  <c r="I4" i="1"/>
  <c r="J4" i="1"/>
  <c r="S4" i="1"/>
  <c r="T4" i="1"/>
  <c r="U4" i="1"/>
  <c r="A5" i="1"/>
  <c r="B5" i="1"/>
  <c r="C5" i="1"/>
  <c r="E5" i="1"/>
  <c r="F5" i="1"/>
  <c r="H5" i="1"/>
  <c r="I5" i="1"/>
  <c r="J5" i="1"/>
  <c r="K5" i="1"/>
  <c r="M5" i="1"/>
  <c r="O5" i="1"/>
  <c r="S5" i="1"/>
  <c r="T5" i="1"/>
  <c r="U5" i="1"/>
  <c r="A6" i="1"/>
  <c r="B6" i="1"/>
  <c r="C6" i="1"/>
  <c r="E6" i="1"/>
  <c r="F6" i="1"/>
  <c r="H6" i="1"/>
  <c r="I6" i="1"/>
  <c r="J6" i="1"/>
  <c r="M6" i="1"/>
  <c r="O6" i="1"/>
  <c r="S6" i="1"/>
  <c r="T6" i="1"/>
  <c r="U6" i="1"/>
  <c r="A7" i="1"/>
  <c r="B7" i="1"/>
  <c r="C7" i="1"/>
  <c r="E7" i="1"/>
  <c r="F7" i="1"/>
  <c r="H7" i="1"/>
  <c r="I7" i="1"/>
  <c r="J7" i="1"/>
  <c r="K7" i="1"/>
  <c r="M7" i="1"/>
  <c r="O7" i="1"/>
  <c r="S7" i="1"/>
  <c r="T7" i="1"/>
  <c r="U7" i="1"/>
  <c r="A8" i="1"/>
  <c r="B8" i="1"/>
  <c r="C8" i="1"/>
  <c r="E8" i="1"/>
  <c r="F8" i="1"/>
  <c r="H8" i="1"/>
  <c r="I8" i="1"/>
  <c r="J8" i="1"/>
  <c r="M8" i="1"/>
  <c r="O8" i="1"/>
  <c r="A9" i="1"/>
  <c r="B9" i="1"/>
  <c r="C9" i="1"/>
  <c r="E9" i="1"/>
  <c r="F9" i="1"/>
  <c r="H9" i="1"/>
  <c r="I9" i="1"/>
  <c r="J9" i="1"/>
  <c r="M9" i="1"/>
  <c r="O9" i="1"/>
  <c r="A10" i="1"/>
  <c r="B10" i="1"/>
  <c r="C10" i="1"/>
  <c r="E10" i="1"/>
  <c r="F10" i="1"/>
  <c r="S10" i="1"/>
  <c r="U10" i="1"/>
  <c r="A11" i="1"/>
  <c r="B11" i="1"/>
  <c r="C11" i="1"/>
  <c r="E11" i="1"/>
  <c r="F11" i="1"/>
  <c r="A12" i="1"/>
  <c r="B12" i="1"/>
  <c r="C12" i="1"/>
  <c r="E12" i="1"/>
  <c r="F12" i="1"/>
  <c r="A13" i="1"/>
  <c r="B13" i="1"/>
  <c r="C13" i="1"/>
  <c r="E13" i="1"/>
  <c r="F13" i="1"/>
  <c r="A14" i="1"/>
  <c r="B14" i="1"/>
  <c r="C14" i="1"/>
  <c r="E14" i="1"/>
  <c r="F14" i="1"/>
  <c r="A15" i="1"/>
  <c r="B15" i="1"/>
  <c r="C15" i="1"/>
  <c r="E15" i="1"/>
  <c r="F15" i="1"/>
  <c r="A16" i="1"/>
  <c r="B16" i="1"/>
  <c r="C16" i="1"/>
  <c r="E16" i="1"/>
  <c r="F16" i="1"/>
  <c r="J16" i="1"/>
  <c r="A17" i="1"/>
  <c r="B17" i="1"/>
  <c r="C17" i="1"/>
  <c r="E17" i="1"/>
  <c r="F17" i="1"/>
  <c r="J17" i="1"/>
  <c r="A18" i="1"/>
  <c r="B18" i="1"/>
  <c r="C18" i="1"/>
  <c r="E18" i="1"/>
  <c r="F18" i="1"/>
  <c r="J18" i="1"/>
  <c r="A19" i="1"/>
  <c r="B19" i="1"/>
  <c r="C19" i="1"/>
  <c r="E19" i="1"/>
  <c r="F19" i="1"/>
  <c r="J19" i="1"/>
  <c r="A20" i="1"/>
  <c r="B20" i="1"/>
  <c r="C20" i="1"/>
  <c r="E20" i="1"/>
  <c r="F20" i="1"/>
  <c r="J20" i="1"/>
  <c r="A21" i="1"/>
  <c r="B21" i="1"/>
  <c r="C21" i="1"/>
  <c r="E21" i="1"/>
  <c r="F21" i="1"/>
  <c r="J21" i="1"/>
  <c r="A22" i="1"/>
  <c r="B22" i="1"/>
  <c r="C22" i="1"/>
  <c r="E22" i="1"/>
  <c r="F22" i="1"/>
  <c r="J22" i="1"/>
  <c r="A23" i="1"/>
  <c r="B23" i="1"/>
  <c r="C23" i="1"/>
  <c r="E23" i="1"/>
  <c r="F23" i="1"/>
  <c r="J23" i="1"/>
  <c r="A24" i="1"/>
  <c r="B24" i="1"/>
  <c r="C24" i="1"/>
  <c r="E24" i="1"/>
  <c r="F24" i="1"/>
  <c r="J24" i="1"/>
  <c r="A25" i="1"/>
  <c r="B25" i="1"/>
  <c r="C25" i="1"/>
  <c r="E25" i="1"/>
  <c r="F25" i="1"/>
  <c r="J25" i="1"/>
  <c r="AF28" i="1"/>
  <c r="AG28" i="1"/>
  <c r="C29" i="1"/>
  <c r="G29" i="1"/>
  <c r="AE29" i="1"/>
  <c r="AG29" i="1"/>
  <c r="AH29" i="1"/>
  <c r="AK29" i="1"/>
  <c r="AQ29" i="1"/>
  <c r="AR29" i="1"/>
  <c r="A30" i="1"/>
  <c r="B30" i="1"/>
  <c r="C30" i="1"/>
  <c r="G30" i="1"/>
  <c r="AE30" i="1"/>
  <c r="AF30" i="1"/>
  <c r="AG30" i="1"/>
  <c r="AH30" i="1"/>
  <c r="AI30" i="1"/>
  <c r="AJ30" i="1"/>
  <c r="AK30" i="1"/>
  <c r="AM30" i="1"/>
  <c r="AN30" i="1"/>
  <c r="AP30" i="1"/>
  <c r="AQ30" i="1"/>
  <c r="AR30" i="1"/>
  <c r="A31" i="1"/>
  <c r="B31" i="1"/>
  <c r="C31" i="1"/>
  <c r="E31" i="1"/>
  <c r="F31" i="1"/>
  <c r="G31" i="1"/>
  <c r="AE31" i="1"/>
  <c r="AF31" i="1"/>
  <c r="AG31" i="1"/>
  <c r="AH31" i="1"/>
  <c r="AI31" i="1"/>
  <c r="AJ31" i="1"/>
  <c r="AK31" i="1"/>
  <c r="AL31" i="1"/>
  <c r="AM31" i="1"/>
  <c r="AN31" i="1"/>
  <c r="AP31" i="1"/>
  <c r="AQ31" i="1"/>
  <c r="AR31" i="1"/>
  <c r="A32" i="1"/>
  <c r="B32" i="1"/>
  <c r="C32" i="1"/>
  <c r="E32" i="1"/>
  <c r="F32" i="1"/>
  <c r="G32" i="1"/>
  <c r="AE32" i="1"/>
  <c r="AF32" i="1"/>
  <c r="AG32" i="1"/>
  <c r="AH32" i="1"/>
  <c r="AI32" i="1"/>
  <c r="AJ32" i="1"/>
  <c r="AK32" i="1"/>
  <c r="AL32" i="1"/>
  <c r="AM32" i="1"/>
  <c r="AN32" i="1"/>
  <c r="AP32" i="1"/>
  <c r="AQ32" i="1"/>
  <c r="AR32" i="1"/>
  <c r="A33" i="1"/>
  <c r="B33" i="1"/>
  <c r="C33" i="1"/>
  <c r="E33" i="1"/>
  <c r="F33" i="1"/>
  <c r="G33" i="1"/>
  <c r="AE33" i="1"/>
  <c r="AF33" i="1"/>
  <c r="AG33" i="1"/>
  <c r="AH33" i="1"/>
  <c r="AI33" i="1"/>
  <c r="AJ33" i="1"/>
  <c r="AK33" i="1"/>
  <c r="AL33" i="1"/>
  <c r="AM33" i="1"/>
  <c r="AN33" i="1"/>
  <c r="AP33" i="1"/>
  <c r="AQ33" i="1"/>
  <c r="AR33" i="1"/>
  <c r="A34" i="1"/>
  <c r="B34" i="1"/>
  <c r="C34" i="1"/>
  <c r="E34" i="1"/>
  <c r="F34" i="1"/>
  <c r="G34" i="1"/>
  <c r="AE34" i="1"/>
  <c r="AF34" i="1"/>
  <c r="AG34" i="1"/>
  <c r="AH34" i="1"/>
  <c r="AI34" i="1"/>
  <c r="AJ34" i="1"/>
  <c r="AK34" i="1"/>
  <c r="AL34" i="1"/>
  <c r="AM34" i="1"/>
  <c r="AN34" i="1"/>
  <c r="AP34" i="1"/>
  <c r="AQ34" i="1"/>
  <c r="AR34" i="1"/>
  <c r="A35" i="1"/>
  <c r="B35" i="1"/>
  <c r="C35" i="1"/>
  <c r="E35" i="1"/>
  <c r="F35" i="1"/>
  <c r="G35" i="1"/>
  <c r="AE35" i="1"/>
  <c r="AF35" i="1"/>
  <c r="AG35" i="1"/>
  <c r="AH35" i="1"/>
  <c r="AI35" i="1"/>
  <c r="AJ35" i="1"/>
  <c r="AK35" i="1"/>
  <c r="AL35" i="1"/>
  <c r="AM35" i="1"/>
  <c r="AN35" i="1"/>
  <c r="AP35" i="1"/>
  <c r="AQ35" i="1"/>
  <c r="AR35" i="1"/>
  <c r="A36" i="1"/>
  <c r="B36" i="1"/>
  <c r="C36" i="1"/>
  <c r="E36" i="1"/>
  <c r="F36" i="1"/>
  <c r="G36" i="1"/>
  <c r="AE36" i="1"/>
  <c r="AF36" i="1"/>
  <c r="AG36" i="1"/>
  <c r="AH36" i="1"/>
  <c r="AI36" i="1"/>
  <c r="AJ36" i="1"/>
  <c r="AK36" i="1"/>
  <c r="AL36" i="1"/>
  <c r="AM36" i="1"/>
  <c r="AN36" i="1"/>
  <c r="AP36" i="1"/>
  <c r="AQ36" i="1"/>
  <c r="AR36" i="1"/>
  <c r="A37" i="1"/>
  <c r="B37" i="1"/>
  <c r="C37" i="1"/>
  <c r="E37" i="1"/>
  <c r="F37" i="1"/>
  <c r="G37" i="1"/>
  <c r="AE37" i="1"/>
  <c r="AF37" i="1"/>
  <c r="AG37" i="1"/>
  <c r="AH37" i="1"/>
  <c r="AI37" i="1"/>
  <c r="AJ37" i="1"/>
  <c r="AK37" i="1"/>
  <c r="AL37" i="1"/>
  <c r="AM37" i="1"/>
  <c r="AN37" i="1"/>
  <c r="AP37" i="1"/>
  <c r="AQ37" i="1"/>
  <c r="AR37" i="1"/>
  <c r="A38" i="1"/>
  <c r="B38" i="1"/>
  <c r="C38" i="1"/>
  <c r="E38" i="1"/>
  <c r="F38" i="1"/>
  <c r="G38" i="1"/>
  <c r="AE38" i="1"/>
  <c r="AF38" i="1"/>
  <c r="AG38" i="1"/>
  <c r="AH38" i="1"/>
  <c r="AI38" i="1"/>
  <c r="AJ38" i="1"/>
  <c r="AK38" i="1"/>
  <c r="AL38" i="1"/>
  <c r="AM38" i="1"/>
  <c r="AN38" i="1"/>
  <c r="AP38" i="1"/>
  <c r="AQ38" i="1"/>
  <c r="AR38" i="1"/>
  <c r="A39" i="1"/>
  <c r="B39" i="1"/>
  <c r="C39" i="1"/>
  <c r="E39" i="1"/>
  <c r="F39" i="1"/>
  <c r="G39" i="1"/>
  <c r="AE39" i="1"/>
  <c r="AF39" i="1"/>
  <c r="AG39" i="1"/>
  <c r="AH39" i="1"/>
  <c r="AI39" i="1"/>
  <c r="AJ39" i="1"/>
  <c r="AK39" i="1"/>
  <c r="AL39" i="1"/>
  <c r="AM39" i="1"/>
  <c r="AN39" i="1"/>
  <c r="AP39" i="1"/>
  <c r="AQ39" i="1"/>
  <c r="AR39" i="1"/>
  <c r="A40" i="1"/>
  <c r="B40" i="1"/>
  <c r="C40" i="1"/>
  <c r="E40" i="1"/>
  <c r="F40" i="1"/>
  <c r="G40" i="1"/>
  <c r="AE40" i="1"/>
  <c r="AF40" i="1"/>
  <c r="AG40" i="1"/>
  <c r="AH40" i="1"/>
  <c r="AI40" i="1"/>
  <c r="AJ40" i="1"/>
  <c r="AK40" i="1"/>
  <c r="AL40" i="1"/>
  <c r="AM40" i="1"/>
  <c r="AN40" i="1"/>
  <c r="AP40" i="1"/>
  <c r="AQ40" i="1"/>
  <c r="AR40" i="1"/>
  <c r="A41" i="1"/>
  <c r="B41" i="1"/>
  <c r="C41" i="1"/>
  <c r="E41" i="1"/>
  <c r="F41" i="1"/>
  <c r="G41" i="1"/>
  <c r="AE41" i="1"/>
  <c r="AF41" i="1"/>
  <c r="AG41" i="1"/>
  <c r="AH41" i="1"/>
  <c r="AI41" i="1"/>
  <c r="AJ41" i="1"/>
  <c r="AK41" i="1"/>
  <c r="AL41" i="1"/>
  <c r="AM41" i="1"/>
  <c r="AN41" i="1"/>
  <c r="AP41" i="1"/>
  <c r="AQ41" i="1"/>
  <c r="AR41" i="1"/>
  <c r="AJ42" i="1"/>
  <c r="AK42" i="1"/>
  <c r="AL42" i="1"/>
  <c r="AM42" i="1"/>
  <c r="AN42" i="1"/>
  <c r="AP42" i="1"/>
  <c r="AJ43" i="1"/>
  <c r="AK43" i="1"/>
  <c r="AL43" i="1"/>
  <c r="AM43" i="1"/>
  <c r="AN43" i="1"/>
  <c r="AP43" i="1"/>
  <c r="AJ44" i="1"/>
  <c r="AK44" i="1"/>
  <c r="AL44" i="1"/>
  <c r="AM44" i="1"/>
  <c r="AN44" i="1"/>
  <c r="AP44" i="1"/>
  <c r="AJ45" i="1"/>
  <c r="AK45" i="1"/>
  <c r="AL45" i="1"/>
  <c r="AM45" i="1"/>
  <c r="AN45" i="1"/>
  <c r="AP45" i="1"/>
  <c r="AJ46" i="1"/>
  <c r="AK46" i="1"/>
  <c r="AL46" i="1"/>
  <c r="AM46" i="1"/>
  <c r="AN46" i="1"/>
  <c r="AP46" i="1"/>
  <c r="AJ47" i="1"/>
  <c r="AK47" i="1"/>
  <c r="AL47" i="1"/>
  <c r="AM47" i="1"/>
  <c r="AN47" i="1"/>
  <c r="AP47" i="1"/>
  <c r="AJ48" i="1"/>
  <c r="AK48" i="1"/>
  <c r="AL48" i="1"/>
  <c r="AM48" i="1"/>
  <c r="AN48" i="1"/>
  <c r="AP48" i="1"/>
  <c r="AJ49" i="1"/>
  <c r="AK49" i="1"/>
  <c r="AL49" i="1"/>
  <c r="AM49" i="1"/>
  <c r="AN49" i="1"/>
  <c r="AP49" i="1"/>
  <c r="AJ50" i="1"/>
  <c r="AK50" i="1"/>
  <c r="AL50" i="1"/>
  <c r="AM50" i="1"/>
  <c r="AN50" i="1"/>
  <c r="AP50" i="1"/>
  <c r="AJ51" i="1"/>
  <c r="AK51" i="1"/>
  <c r="AL51" i="1"/>
  <c r="AM51" i="1"/>
  <c r="AN51" i="1"/>
  <c r="AJ52" i="1"/>
  <c r="AK52" i="1"/>
  <c r="AL52" i="1"/>
  <c r="AM52" i="1"/>
  <c r="AN52" i="1"/>
  <c r="AJ53" i="1"/>
  <c r="AK53" i="1"/>
  <c r="AL53" i="1"/>
  <c r="AM53" i="1"/>
  <c r="AN53" i="1"/>
  <c r="AJ54" i="1"/>
  <c r="AK54" i="1"/>
  <c r="AL54" i="1"/>
  <c r="AM54" i="1"/>
  <c r="AN54" i="1"/>
  <c r="AJ55" i="1"/>
  <c r="AK55" i="1"/>
  <c r="AL55" i="1"/>
  <c r="AM55" i="1"/>
  <c r="AN55" i="1"/>
  <c r="AM56" i="1"/>
  <c r="AN56" i="1"/>
  <c r="AM57" i="1"/>
  <c r="AN57" i="1"/>
  <c r="AM58" i="1"/>
  <c r="AN58" i="1"/>
  <c r="AM59" i="1"/>
  <c r="AN59" i="1"/>
  <c r="AM60" i="1"/>
  <c r="AN60" i="1"/>
  <c r="AM61" i="1"/>
  <c r="AN61" i="1"/>
  <c r="AM62" i="1"/>
  <c r="AN62" i="1"/>
  <c r="AM63" i="1"/>
  <c r="AN63" i="1"/>
  <c r="AM64" i="1"/>
  <c r="AN64" i="1"/>
  <c r="AM65" i="1"/>
  <c r="AN65" i="1"/>
  <c r="AM66" i="1"/>
  <c r="AN66" i="1"/>
  <c r="AM67" i="1"/>
  <c r="AN67" i="1"/>
  <c r="AM68" i="1"/>
  <c r="AN68" i="1"/>
  <c r="AM69" i="1"/>
  <c r="AN69" i="1"/>
  <c r="AM70" i="1"/>
  <c r="AN70" i="1"/>
  <c r="AM71" i="1"/>
  <c r="AN71" i="1"/>
  <c r="AM72" i="1"/>
  <c r="AN72" i="1"/>
  <c r="AM73" i="1"/>
  <c r="AN73" i="1"/>
  <c r="AM74" i="1"/>
  <c r="AN74" i="1"/>
  <c r="AM75" i="1"/>
  <c r="AN75" i="1"/>
  <c r="AM76" i="1"/>
  <c r="AN76" i="1"/>
  <c r="AM77" i="1"/>
  <c r="AN77" i="1"/>
  <c r="M2" i="2"/>
  <c r="N2" i="2"/>
  <c r="O2" i="2"/>
  <c r="B3" i="2"/>
  <c r="C3" i="2"/>
  <c r="D3" i="2"/>
  <c r="E3" i="2"/>
  <c r="G3" i="2"/>
  <c r="H3" i="2"/>
  <c r="I3" i="2"/>
  <c r="J3" i="2"/>
  <c r="M3" i="2"/>
  <c r="O3" i="2"/>
  <c r="Q3" i="2"/>
  <c r="A4" i="2"/>
  <c r="B4" i="2"/>
  <c r="C4" i="2"/>
  <c r="D4" i="2"/>
  <c r="G4" i="2"/>
  <c r="H4" i="2"/>
  <c r="I4" i="2"/>
  <c r="J4" i="2"/>
  <c r="M4" i="2"/>
  <c r="O4" i="2"/>
  <c r="Q4" i="2"/>
  <c r="A5" i="2"/>
  <c r="B5" i="2"/>
  <c r="C5" i="2"/>
  <c r="D5" i="2"/>
  <c r="G5" i="2"/>
  <c r="H5" i="2"/>
  <c r="I5" i="2"/>
  <c r="J5" i="2"/>
  <c r="M5" i="2"/>
  <c r="O5" i="2"/>
  <c r="Q5" i="2"/>
  <c r="A6" i="2"/>
  <c r="B6" i="2"/>
  <c r="C6" i="2"/>
  <c r="D6" i="2"/>
  <c r="G6" i="2"/>
  <c r="H6" i="2"/>
  <c r="I6" i="2"/>
  <c r="J6" i="2"/>
  <c r="A7" i="2"/>
  <c r="B7" i="2"/>
  <c r="C7" i="2"/>
  <c r="D7" i="2"/>
  <c r="G7" i="2"/>
  <c r="H7" i="2"/>
  <c r="I7" i="2"/>
  <c r="J7" i="2"/>
  <c r="A8" i="2"/>
  <c r="B8" i="2"/>
  <c r="C8" i="2"/>
  <c r="D8" i="2"/>
  <c r="G8" i="2"/>
  <c r="H8" i="2"/>
  <c r="I8" i="2"/>
  <c r="J8" i="2"/>
  <c r="A9" i="2"/>
  <c r="B9" i="2"/>
  <c r="C9" i="2"/>
  <c r="D9" i="2"/>
  <c r="A10" i="2"/>
  <c r="B10" i="2"/>
  <c r="C10" i="2"/>
  <c r="D10" i="2"/>
  <c r="A11" i="2"/>
  <c r="B11" i="2"/>
  <c r="C11" i="2"/>
  <c r="D11" i="2"/>
  <c r="G11" i="2"/>
  <c r="H11" i="2"/>
  <c r="I11" i="2"/>
  <c r="J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C27" i="2"/>
  <c r="I27" i="2"/>
  <c r="J27" i="2"/>
  <c r="C28" i="2"/>
  <c r="C29" i="2"/>
  <c r="D29" i="2"/>
  <c r="E29" i="2"/>
  <c r="C30" i="2"/>
  <c r="D30" i="2"/>
  <c r="C31" i="2"/>
  <c r="D31" i="2"/>
  <c r="E31" i="2"/>
  <c r="G31" i="2"/>
  <c r="I31" i="2"/>
  <c r="J31" i="2"/>
  <c r="K31" i="2"/>
  <c r="C32" i="2"/>
  <c r="D32" i="2"/>
  <c r="E32" i="2"/>
  <c r="G32" i="2"/>
  <c r="I32" i="2"/>
  <c r="J32" i="2"/>
  <c r="C33" i="2"/>
  <c r="D33" i="2"/>
  <c r="E33" i="2"/>
  <c r="I33" i="2"/>
  <c r="J33" i="2"/>
  <c r="C34" i="2"/>
  <c r="D34" i="2"/>
  <c r="E34" i="2"/>
  <c r="I34" i="2"/>
  <c r="J34" i="2"/>
  <c r="K34" i="2"/>
  <c r="L34" i="2"/>
  <c r="C35" i="2"/>
  <c r="D35" i="2"/>
  <c r="E35" i="2"/>
  <c r="C36" i="2"/>
  <c r="D36" i="2"/>
  <c r="E36" i="2"/>
  <c r="I38" i="2"/>
  <c r="J38" i="2"/>
  <c r="K38" i="2"/>
  <c r="C39" i="2"/>
  <c r="I39" i="2"/>
  <c r="J39" i="2"/>
  <c r="K39" i="2"/>
  <c r="C40" i="2"/>
  <c r="D40" i="2"/>
  <c r="E40" i="2"/>
  <c r="C41" i="2"/>
  <c r="D41" i="2"/>
  <c r="I41" i="2"/>
  <c r="J41" i="2"/>
  <c r="C42" i="2"/>
  <c r="D42" i="2"/>
  <c r="E42" i="2"/>
  <c r="I42" i="2"/>
  <c r="J42" i="2"/>
  <c r="C11" i="3249"/>
  <c r="D11" i="3249"/>
  <c r="B12" i="3249"/>
  <c r="H14" i="3249"/>
  <c r="H15" i="3249"/>
  <c r="H16" i="3249"/>
  <c r="H17" i="3249"/>
  <c r="H18" i="3249"/>
  <c r="H19" i="3249"/>
  <c r="H20" i="3249"/>
  <c r="H21" i="3249"/>
  <c r="H22" i="3249"/>
  <c r="H23" i="3249"/>
  <c r="H24" i="3249"/>
  <c r="H25" i="3249"/>
  <c r="H26" i="3249"/>
  <c r="H27" i="3249"/>
  <c r="H28" i="3249"/>
  <c r="H29" i="3249"/>
  <c r="H30" i="3249"/>
  <c r="H31" i="3249"/>
  <c r="H32" i="3249"/>
  <c r="H33" i="3249"/>
  <c r="H34" i="3249"/>
  <c r="H35" i="3249"/>
  <c r="H36" i="3249"/>
  <c r="H37" i="3249"/>
  <c r="H38" i="3249"/>
  <c r="H39" i="3249"/>
  <c r="H40" i="3249"/>
  <c r="H41" i="3249"/>
  <c r="H42" i="3249"/>
  <c r="H43" i="3249"/>
  <c r="H44" i="3249"/>
  <c r="H45" i="3249"/>
  <c r="H46" i="3249"/>
  <c r="H47" i="3249"/>
  <c r="H48" i="3249"/>
  <c r="H49" i="3249"/>
  <c r="H50" i="3249"/>
  <c r="H51" i="3249"/>
  <c r="H52" i="3249"/>
  <c r="H53" i="3249"/>
  <c r="H54" i="3249"/>
  <c r="H55" i="3249"/>
  <c r="H56" i="3249"/>
  <c r="H57" i="3249"/>
  <c r="H58" i="3249"/>
  <c r="H59" i="3249"/>
  <c r="H60" i="3249"/>
  <c r="H61" i="3249"/>
  <c r="H62" i="3249"/>
  <c r="H63" i="3249"/>
  <c r="H64" i="3249"/>
  <c r="H65" i="3249"/>
  <c r="H66" i="3249"/>
  <c r="H67" i="3249"/>
  <c r="H68" i="3249"/>
  <c r="H69" i="3249"/>
  <c r="H70" i="3249"/>
  <c r="H71" i="3249"/>
  <c r="H72" i="3249"/>
  <c r="H73" i="3249"/>
  <c r="H74" i="3249"/>
  <c r="H75" i="3249"/>
  <c r="H76" i="3249"/>
  <c r="H77" i="3249"/>
  <c r="H78" i="3249"/>
  <c r="H79" i="3249"/>
  <c r="H80" i="3249"/>
  <c r="H81" i="3249"/>
  <c r="H82" i="3249"/>
  <c r="H83" i="3249"/>
  <c r="H84" i="3249"/>
  <c r="H85" i="3249"/>
  <c r="H86" i="3249"/>
  <c r="H87" i="3249"/>
  <c r="H88" i="3249"/>
  <c r="H89" i="3249"/>
  <c r="H90" i="3249"/>
  <c r="H91" i="3249"/>
  <c r="H92" i="3249"/>
  <c r="H93" i="3249"/>
  <c r="H94" i="3249"/>
  <c r="H95" i="3249"/>
  <c r="H96" i="3249"/>
  <c r="H97" i="3249"/>
  <c r="H98" i="3249"/>
  <c r="H99" i="3249"/>
  <c r="H100" i="3249"/>
  <c r="H101" i="3249"/>
  <c r="H102" i="3249"/>
  <c r="H103" i="3249"/>
  <c r="H104" i="3249"/>
  <c r="H105" i="3249"/>
  <c r="H106" i="3249"/>
  <c r="H107" i="3249"/>
  <c r="H108" i="3249"/>
  <c r="H109" i="3249"/>
  <c r="H110" i="3249"/>
  <c r="H111" i="3249"/>
  <c r="H112" i="3249"/>
  <c r="H113" i="3249"/>
  <c r="H114" i="3249"/>
  <c r="H115" i="3249"/>
  <c r="H116" i="3249"/>
  <c r="H117" i="3249"/>
  <c r="H118" i="3249"/>
  <c r="H119" i="3249"/>
  <c r="H120" i="3249"/>
  <c r="H121" i="3249"/>
  <c r="H122" i="3249"/>
  <c r="H123" i="3249"/>
  <c r="H124" i="3249"/>
  <c r="H125" i="3249"/>
  <c r="H126" i="3249"/>
  <c r="H127" i="3249"/>
  <c r="H128" i="3249"/>
  <c r="H129" i="3249"/>
  <c r="H130" i="3249"/>
  <c r="H131" i="3249"/>
  <c r="H132" i="3249"/>
  <c r="H133" i="3249"/>
  <c r="H134" i="3249"/>
  <c r="H135" i="3249"/>
  <c r="H136" i="3249"/>
  <c r="H137" i="3249"/>
  <c r="H138" i="3249"/>
  <c r="H139" i="3249"/>
  <c r="H140" i="3249"/>
  <c r="H141" i="3249"/>
  <c r="H142" i="3249"/>
  <c r="H143" i="3249"/>
  <c r="H144" i="3249"/>
  <c r="H145" i="3249"/>
  <c r="H146" i="3249"/>
  <c r="H147" i="3249"/>
  <c r="H148" i="3249"/>
  <c r="H149" i="3249"/>
  <c r="H150" i="3249"/>
  <c r="H151" i="3249"/>
  <c r="H152" i="3249"/>
  <c r="H153" i="3249"/>
  <c r="H154" i="3249"/>
  <c r="H155" i="3249"/>
  <c r="H156" i="3249"/>
  <c r="H157" i="3249"/>
  <c r="H158" i="3249"/>
  <c r="H159" i="3249"/>
  <c r="H160" i="3249"/>
  <c r="H161" i="3249"/>
  <c r="H162" i="3249"/>
  <c r="H163" i="3249"/>
  <c r="H164" i="3249"/>
  <c r="H165" i="3249"/>
  <c r="H166" i="3249"/>
  <c r="H167" i="3249"/>
  <c r="H168" i="3249"/>
  <c r="H169" i="3249"/>
  <c r="H170" i="3249"/>
  <c r="H171" i="3249"/>
  <c r="H172" i="3249"/>
  <c r="H173" i="3249"/>
  <c r="H174" i="3249"/>
  <c r="H175" i="3249"/>
  <c r="H176" i="3249"/>
  <c r="H177" i="3249"/>
  <c r="H178" i="3249"/>
  <c r="H179" i="3249"/>
  <c r="H180" i="3249"/>
  <c r="H181" i="3249"/>
  <c r="H182" i="3249"/>
  <c r="H183" i="3249"/>
  <c r="H184" i="3249"/>
  <c r="H185" i="3249"/>
  <c r="H186" i="3249"/>
  <c r="H187" i="3249"/>
  <c r="H188" i="3249"/>
  <c r="H189" i="3249"/>
  <c r="H190" i="3249"/>
  <c r="H191" i="3249"/>
  <c r="H192" i="3249"/>
  <c r="H193" i="3249"/>
  <c r="H194" i="3249"/>
  <c r="H195" i="3249"/>
  <c r="H196" i="3249"/>
  <c r="H197" i="3249"/>
  <c r="H198" i="3249"/>
  <c r="H199" i="3249"/>
  <c r="H200" i="3249"/>
  <c r="H201" i="3249"/>
  <c r="H202" i="3249"/>
  <c r="H203" i="3249"/>
  <c r="H204" i="3249"/>
  <c r="H205" i="3249"/>
  <c r="H206" i="3249"/>
  <c r="H207" i="3249"/>
  <c r="H208" i="3249"/>
  <c r="H209" i="3249"/>
  <c r="H210" i="3249"/>
  <c r="H211" i="3249"/>
  <c r="H212" i="3249"/>
  <c r="H213" i="3249"/>
  <c r="H214" i="3249"/>
  <c r="H215" i="3249"/>
  <c r="H216" i="3249"/>
  <c r="H217" i="3249"/>
  <c r="H218" i="3249"/>
  <c r="H219" i="3249"/>
  <c r="H220" i="3249"/>
  <c r="H221" i="3249"/>
  <c r="H222" i="3249"/>
  <c r="H223" i="3249"/>
  <c r="H224" i="3249"/>
  <c r="H225" i="3249"/>
  <c r="H226" i="3249"/>
  <c r="H227" i="3249"/>
  <c r="H228" i="3249"/>
  <c r="H229" i="3249"/>
  <c r="H230" i="3249"/>
  <c r="H231" i="3249"/>
  <c r="H232" i="3249"/>
  <c r="H233" i="3249"/>
  <c r="H234" i="3249"/>
  <c r="H235" i="3249"/>
  <c r="H236" i="3249"/>
  <c r="H237" i="3249"/>
  <c r="H238" i="3249"/>
  <c r="H239" i="3249"/>
  <c r="H240" i="3249"/>
  <c r="H241" i="3249"/>
  <c r="H242" i="3249"/>
  <c r="H243" i="3249"/>
  <c r="H244" i="3249"/>
  <c r="H245" i="3249"/>
  <c r="H246" i="3249"/>
  <c r="H247" i="3249"/>
  <c r="H248" i="3249"/>
  <c r="H249" i="3249"/>
  <c r="H250" i="3249"/>
  <c r="H251" i="3249"/>
  <c r="H252" i="3249"/>
  <c r="H253" i="3249"/>
  <c r="H254" i="3249"/>
  <c r="H255" i="3249"/>
  <c r="H256" i="3249"/>
  <c r="H257" i="3249"/>
  <c r="H258" i="3249"/>
  <c r="H259" i="3249"/>
  <c r="H260" i="3249"/>
  <c r="H261" i="3249"/>
  <c r="H262" i="3249"/>
  <c r="H263" i="3249"/>
  <c r="H264" i="3249"/>
  <c r="H265" i="3249"/>
  <c r="H266" i="3249"/>
  <c r="H267" i="3249"/>
  <c r="H268" i="3249"/>
  <c r="H269" i="3249"/>
  <c r="H270" i="3249"/>
  <c r="H271" i="3249"/>
  <c r="H272" i="3249"/>
  <c r="H273" i="3249"/>
  <c r="H274" i="3249"/>
  <c r="H275" i="3249"/>
  <c r="H276" i="3249"/>
  <c r="H277" i="3249"/>
  <c r="H278" i="3249"/>
  <c r="H279" i="3249"/>
  <c r="H280" i="3249"/>
  <c r="H281" i="3249"/>
  <c r="H282" i="3249"/>
  <c r="H283" i="3249"/>
  <c r="H284" i="3249"/>
  <c r="H285" i="3249"/>
  <c r="H286" i="3249"/>
  <c r="H287" i="3249"/>
  <c r="H288" i="3249"/>
  <c r="H289" i="3249"/>
  <c r="H290" i="3249"/>
  <c r="H291" i="3249"/>
  <c r="H292" i="3249"/>
  <c r="H293" i="3249"/>
  <c r="H294" i="3249"/>
  <c r="H295" i="3249"/>
  <c r="H296" i="3249"/>
  <c r="H297" i="3249"/>
  <c r="H298" i="3249"/>
  <c r="H299" i="3249"/>
  <c r="H300" i="3249"/>
  <c r="H301" i="3249"/>
  <c r="H302" i="3249"/>
  <c r="H303" i="3249"/>
  <c r="H304" i="3249"/>
  <c r="H305" i="3249"/>
  <c r="H306" i="3249"/>
  <c r="H307" i="3249"/>
  <c r="H308" i="3249"/>
  <c r="H309" i="3249"/>
  <c r="H310" i="3249"/>
  <c r="H311" i="3249"/>
  <c r="H312" i="3249"/>
  <c r="H313" i="3249"/>
  <c r="C3" i="2826"/>
  <c r="D3" i="2826"/>
</calcChain>
</file>

<file path=xl/comments1.xml><?xml version="1.0" encoding="utf-8"?>
<comments xmlns="http://schemas.openxmlformats.org/spreadsheetml/2006/main">
  <authors>
    <author>rwatt</author>
  </authors>
  <commentList>
    <comment ref="C39" authorId="0" shapeId="0">
      <text>
        <r>
          <rPr>
            <b/>
            <sz val="8"/>
            <color indexed="81"/>
            <rFont val="Tahoma"/>
          </rPr>
          <t>rwatt:</t>
        </r>
        <r>
          <rPr>
            <sz val="8"/>
            <color indexed="81"/>
            <rFont val="Tahoma"/>
          </rPr>
          <t xml:space="preserve">
3100 for first ROM, then 9300 for 2nd ROM</t>
        </r>
      </text>
    </comment>
  </commentList>
</comments>
</file>

<file path=xl/sharedStrings.xml><?xml version="1.0" encoding="utf-8"?>
<sst xmlns="http://schemas.openxmlformats.org/spreadsheetml/2006/main" count="432" uniqueCount="298">
  <si>
    <t>To retrieve bars for a contract, place the cursor in the contract symbol cell and  run the Get Bars macro, either from the Tools Menu, or by pressing &lt;Ctrl+G&gt;</t>
  </si>
  <si>
    <t>Symbol</t>
  </si>
  <si>
    <t>LastPrice</t>
  </si>
  <si>
    <t>Current Time</t>
  </si>
  <si>
    <t>Time Frame</t>
  </si>
  <si>
    <t>Sort Mode</t>
  </si>
  <si>
    <t>Number Of Bars</t>
  </si>
  <si>
    <t>DJI</t>
  </si>
  <si>
    <t>Line Time</t>
  </si>
  <si>
    <t>OPEN</t>
  </si>
  <si>
    <t>HIGH</t>
  </si>
  <si>
    <t>LOW</t>
  </si>
  <si>
    <t>CLOSE</t>
  </si>
  <si>
    <t>NetChange</t>
  </si>
  <si>
    <t>Daily</t>
  </si>
  <si>
    <t>Weekly</t>
  </si>
  <si>
    <t>Down</t>
  </si>
  <si>
    <t>NGJ0</t>
  </si>
  <si>
    <t>The element to the right of the symbol is a hot link to the current price followed by a hot link to the current time.</t>
  </si>
  <si>
    <t>CODES</t>
  </si>
  <si>
    <t>Nat. Gas</t>
  </si>
  <si>
    <t>Crude</t>
  </si>
  <si>
    <t>Unleaded</t>
  </si>
  <si>
    <t>Heating Oil</t>
  </si>
  <si>
    <t>COB</t>
  </si>
  <si>
    <t>Palo Verde</t>
  </si>
  <si>
    <t>Cinergy</t>
  </si>
  <si>
    <t>Entergy</t>
  </si>
  <si>
    <t>Contract</t>
  </si>
  <si>
    <t>Natural Gas</t>
  </si>
  <si>
    <t>.</t>
  </si>
  <si>
    <t>NGH0</t>
  </si>
  <si>
    <t>h</t>
  </si>
  <si>
    <t>HUH0</t>
  </si>
  <si>
    <t>COH0</t>
  </si>
  <si>
    <t>KVH0</t>
  </si>
  <si>
    <t>j</t>
  </si>
  <si>
    <t>HUJ0</t>
  </si>
  <si>
    <t>COJ0</t>
  </si>
  <si>
    <t>KVJ0</t>
  </si>
  <si>
    <t>NGK0</t>
  </si>
  <si>
    <t>k</t>
  </si>
  <si>
    <t>HUK0</t>
  </si>
  <si>
    <t>COK0</t>
  </si>
  <si>
    <t>KVK0</t>
  </si>
  <si>
    <t>NGM0</t>
  </si>
  <si>
    <t>m</t>
  </si>
  <si>
    <t>HUM0</t>
  </si>
  <si>
    <t>COM0</t>
  </si>
  <si>
    <t>KVM0</t>
  </si>
  <si>
    <t>NGN0</t>
  </si>
  <si>
    <t>n</t>
  </si>
  <si>
    <t>HUN0</t>
  </si>
  <si>
    <t>CON0</t>
  </si>
  <si>
    <t>KVN0</t>
  </si>
  <si>
    <t>NGQ0</t>
  </si>
  <si>
    <t>q</t>
  </si>
  <si>
    <t>HUQ0</t>
  </si>
  <si>
    <t>COQ0</t>
  </si>
  <si>
    <t>KVQ0</t>
  </si>
  <si>
    <t>NGU0</t>
  </si>
  <si>
    <t>u</t>
  </si>
  <si>
    <t>HUU0</t>
  </si>
  <si>
    <t>COU0</t>
  </si>
  <si>
    <t>KVU0</t>
  </si>
  <si>
    <t>NGV0</t>
  </si>
  <si>
    <t>v</t>
  </si>
  <si>
    <t>HUV0</t>
  </si>
  <si>
    <t>COV0</t>
  </si>
  <si>
    <t>KVV0</t>
  </si>
  <si>
    <t>NGX0</t>
  </si>
  <si>
    <t>x</t>
  </si>
  <si>
    <t>HUX0</t>
  </si>
  <si>
    <t>COX0</t>
  </si>
  <si>
    <t>KVX0</t>
  </si>
  <si>
    <t>NGZ0</t>
  </si>
  <si>
    <t>z</t>
  </si>
  <si>
    <t>HUZ0</t>
  </si>
  <si>
    <t>COZ0</t>
  </si>
  <si>
    <t>KVZ0</t>
  </si>
  <si>
    <t>NGF1</t>
  </si>
  <si>
    <t>f</t>
  </si>
  <si>
    <t>HUF0</t>
  </si>
  <si>
    <t>COF0</t>
  </si>
  <si>
    <t>KVF0</t>
  </si>
  <si>
    <t>NGG1</t>
  </si>
  <si>
    <t>g</t>
  </si>
  <si>
    <t>HUG1</t>
  </si>
  <si>
    <t>COG1</t>
  </si>
  <si>
    <t>KVG1</t>
  </si>
  <si>
    <t>Crude Oil</t>
  </si>
  <si>
    <t>CLH0</t>
  </si>
  <si>
    <t>HOH0</t>
  </si>
  <si>
    <t>CIH0</t>
  </si>
  <si>
    <t>NTH0</t>
  </si>
  <si>
    <t>CLJ0</t>
  </si>
  <si>
    <t>HOJ0</t>
  </si>
  <si>
    <t>CIJ0</t>
  </si>
  <si>
    <t>NTJ0</t>
  </si>
  <si>
    <t>CLK0</t>
  </si>
  <si>
    <t>HOK0</t>
  </si>
  <si>
    <t>CIK0</t>
  </si>
  <si>
    <t>NTK0</t>
  </si>
  <si>
    <t>CLM0</t>
  </si>
  <si>
    <t>HOM0</t>
  </si>
  <si>
    <t>CIM0</t>
  </si>
  <si>
    <t>NTM0</t>
  </si>
  <si>
    <t>CLN0</t>
  </si>
  <si>
    <t>HON0</t>
  </si>
  <si>
    <t>CIN0</t>
  </si>
  <si>
    <t>NTN0</t>
  </si>
  <si>
    <t>CLQ0</t>
  </si>
  <si>
    <t>HOQ0</t>
  </si>
  <si>
    <t>CIQ0</t>
  </si>
  <si>
    <t>NTQ0</t>
  </si>
  <si>
    <t>CLU0</t>
  </si>
  <si>
    <t>HOU0</t>
  </si>
  <si>
    <t>CIU0</t>
  </si>
  <si>
    <t>NTU0</t>
  </si>
  <si>
    <t>CLV0</t>
  </si>
  <si>
    <t>HOV0</t>
  </si>
  <si>
    <t>CIV0</t>
  </si>
  <si>
    <t>NTV0</t>
  </si>
  <si>
    <t>CLX0</t>
  </si>
  <si>
    <t>HOX0</t>
  </si>
  <si>
    <t>CIX0</t>
  </si>
  <si>
    <t>NTX0</t>
  </si>
  <si>
    <t>CLZ0</t>
  </si>
  <si>
    <t>HOZ0</t>
  </si>
  <si>
    <t>CIZ0</t>
  </si>
  <si>
    <t>NTZ0</t>
  </si>
  <si>
    <t>CLF1</t>
  </si>
  <si>
    <t>HOF0</t>
  </si>
  <si>
    <t>CIF0</t>
  </si>
  <si>
    <t>NTF0</t>
  </si>
  <si>
    <t>CLG1</t>
  </si>
  <si>
    <t>HOG1</t>
  </si>
  <si>
    <t>CIG1</t>
  </si>
  <si>
    <t>NTG1</t>
  </si>
  <si>
    <t>Henry Hub</t>
  </si>
  <si>
    <t>CAD Spot</t>
  </si>
  <si>
    <t>TSE 300 (delayed)</t>
  </si>
  <si>
    <t>Nasdaq (delayed)</t>
  </si>
  <si>
    <t>CAD Forward</t>
  </si>
  <si>
    <t>DJIA</t>
  </si>
  <si>
    <t>1Mth</t>
  </si>
  <si>
    <t>S&amp;P 500</t>
  </si>
  <si>
    <t>2Mth</t>
  </si>
  <si>
    <t>3Mth</t>
  </si>
  <si>
    <t>6Mth</t>
  </si>
  <si>
    <t>1Yr</t>
  </si>
  <si>
    <t>2Yr</t>
  </si>
  <si>
    <t>3Yr</t>
  </si>
  <si>
    <t>4Yr</t>
  </si>
  <si>
    <t>5Yr</t>
  </si>
  <si>
    <t>Bid</t>
  </si>
  <si>
    <t>Ask</t>
  </si>
  <si>
    <t>NG?0</t>
  </si>
  <si>
    <t>Equity</t>
  </si>
  <si>
    <t>Markets</t>
  </si>
  <si>
    <t>Cash</t>
  </si>
  <si>
    <t xml:space="preserve">  Copy Positions Tab!!!</t>
  </si>
  <si>
    <t>This page should automatically roll, watch if you add a curve to the Input Sheet</t>
  </si>
  <si>
    <t>This is for saving the mids for each day, do not touch!</t>
  </si>
  <si>
    <t>GREEN ARE VLOOKUPS</t>
  </si>
  <si>
    <t>Winter 00</t>
  </si>
  <si>
    <t>Aeco Physical Spread</t>
  </si>
  <si>
    <t>DON'T CHANGE THE CURVE NAMES</t>
  </si>
  <si>
    <t>AprOct01</t>
  </si>
  <si>
    <t>Prompt  Index</t>
  </si>
  <si>
    <t>CHANGE TO PROMPT WHEN MONTH ROLLS</t>
  </si>
  <si>
    <t>CHANGE</t>
  </si>
  <si>
    <t>Strip Avg</t>
  </si>
  <si>
    <t>Phys Vol Spread</t>
  </si>
  <si>
    <t>DATE!</t>
  </si>
  <si>
    <t>BASIS CURVES</t>
  </si>
  <si>
    <t>Winter Sumas</t>
  </si>
  <si>
    <t>Winter01</t>
  </si>
  <si>
    <t>Winter Average</t>
  </si>
  <si>
    <t>PRICE</t>
  </si>
  <si>
    <t>Apr Oct</t>
  </si>
  <si>
    <t>Apr2 +</t>
  </si>
  <si>
    <t>Summer Average</t>
  </si>
  <si>
    <t>You hole</t>
  </si>
  <si>
    <t>Aeco</t>
  </si>
  <si>
    <t>Date</t>
  </si>
  <si>
    <t>Nymex</t>
  </si>
  <si>
    <t>AecoB</t>
  </si>
  <si>
    <t>EmpressB</t>
  </si>
  <si>
    <t>Station2B</t>
  </si>
  <si>
    <t>DawnB</t>
  </si>
  <si>
    <t>ParkwayB</t>
  </si>
  <si>
    <t>NiagaraB</t>
  </si>
  <si>
    <t>WaddB</t>
  </si>
  <si>
    <t xml:space="preserve">  ChicagoB</t>
  </si>
  <si>
    <t>MichiganB</t>
  </si>
  <si>
    <t xml:space="preserve">   TZ6B</t>
  </si>
  <si>
    <t xml:space="preserve">  RockiesB</t>
  </si>
  <si>
    <t>SocalB</t>
  </si>
  <si>
    <t xml:space="preserve">  MalinB</t>
  </si>
  <si>
    <t xml:space="preserve">  SumasB</t>
  </si>
  <si>
    <t>Aeco Vol</t>
  </si>
  <si>
    <t>Aeco Phys Vol</t>
  </si>
  <si>
    <t>SumasVol</t>
  </si>
  <si>
    <t>Omnicron 1</t>
  </si>
  <si>
    <t>Nymex Vol</t>
  </si>
  <si>
    <t>AecoUS</t>
  </si>
  <si>
    <t>EmpressUS</t>
  </si>
  <si>
    <t>Stn2 US</t>
  </si>
  <si>
    <t>ETransport</t>
  </si>
  <si>
    <t>STNTransport</t>
  </si>
  <si>
    <t xml:space="preserve">Aeco </t>
  </si>
  <si>
    <t>Empress</t>
  </si>
  <si>
    <t>Station2</t>
  </si>
  <si>
    <t xml:space="preserve">  Sumas</t>
  </si>
  <si>
    <t xml:space="preserve">  Rockies</t>
  </si>
  <si>
    <t xml:space="preserve">  Malin</t>
  </si>
  <si>
    <t>San Juan</t>
  </si>
  <si>
    <t>FX</t>
  </si>
  <si>
    <t>CD %</t>
  </si>
  <si>
    <t>US %</t>
  </si>
  <si>
    <t>CD DF</t>
  </si>
  <si>
    <t>US DF</t>
  </si>
  <si>
    <t>Consumers</t>
  </si>
  <si>
    <t>Aeco/Emp</t>
  </si>
  <si>
    <t>Adj.FX</t>
  </si>
  <si>
    <t>Basis</t>
  </si>
  <si>
    <t>Index</t>
  </si>
  <si>
    <t>VentB</t>
  </si>
  <si>
    <t>Aeco GD Vol</t>
  </si>
  <si>
    <t>Sumas GD Vol</t>
  </si>
  <si>
    <t>AllianceB</t>
  </si>
  <si>
    <t>Winter 00/01</t>
  </si>
  <si>
    <t>Tolls</t>
  </si>
  <si>
    <t>Change</t>
  </si>
  <si>
    <t>Summer 01 -</t>
  </si>
  <si>
    <t>due to FX</t>
  </si>
  <si>
    <t>Nov 99</t>
  </si>
  <si>
    <t>Sum</t>
  </si>
  <si>
    <t>Nov 00</t>
  </si>
  <si>
    <t>Wtr</t>
  </si>
  <si>
    <t>Nov 01</t>
  </si>
  <si>
    <t>Nov 02</t>
  </si>
  <si>
    <t>Nov 03</t>
  </si>
  <si>
    <t>Nov 04</t>
  </si>
  <si>
    <t>Nov 05</t>
  </si>
  <si>
    <t>Nov 06</t>
  </si>
  <si>
    <t>Nov 07</t>
  </si>
  <si>
    <t>Nov 08</t>
  </si>
  <si>
    <t>Net</t>
  </si>
  <si>
    <t>Last</t>
  </si>
  <si>
    <t>CURRENT</t>
  </si>
  <si>
    <t>SETTLE</t>
  </si>
  <si>
    <t>FORWARD</t>
  </si>
  <si>
    <t>NOMINAL</t>
  </si>
  <si>
    <t>TVM</t>
  </si>
  <si>
    <t>PAYMENT</t>
  </si>
  <si>
    <t>FEE</t>
  </si>
  <si>
    <t>Cash Offer:</t>
  </si>
  <si>
    <t>INDEX</t>
  </si>
  <si>
    <t>BASIS</t>
  </si>
  <si>
    <t>Prompt Index:</t>
  </si>
  <si>
    <t>SPRD</t>
  </si>
  <si>
    <t>NYMEX</t>
  </si>
  <si>
    <t>Sum/Winter</t>
  </si>
  <si>
    <t>Cash/Winter</t>
  </si>
  <si>
    <t>ChiGate</t>
  </si>
  <si>
    <t>CHI.Gate Phys</t>
  </si>
  <si>
    <t>Aeco Phys</t>
  </si>
  <si>
    <t>Omnicron 11</t>
  </si>
  <si>
    <t>2001 9 5</t>
  </si>
  <si>
    <t>AECO</t>
  </si>
  <si>
    <t>HEHUB</t>
  </si>
  <si>
    <t>DAWN</t>
  </si>
  <si>
    <t>HUNT</t>
  </si>
  <si>
    <t>OPAL</t>
  </si>
  <si>
    <t>MALIN</t>
  </si>
  <si>
    <t>CHICAGO</t>
  </si>
  <si>
    <t>DEMARC</t>
  </si>
  <si>
    <t>SOCAL</t>
  </si>
  <si>
    <t>EOL DAY GAS</t>
  </si>
  <si>
    <t>EOL REST OF MONTH</t>
  </si>
  <si>
    <t>DOW</t>
  </si>
  <si>
    <t>NASDAQ</t>
  </si>
  <si>
    <t>ENE</t>
  </si>
  <si>
    <t>HEATING OIL</t>
  </si>
  <si>
    <t>CRUDE OIL</t>
  </si>
  <si>
    <t>HENRY HUB</t>
  </si>
  <si>
    <t>SPREAD</t>
  </si>
  <si>
    <t>ALBERTA POWER</t>
  </si>
  <si>
    <t>NEXT DAY</t>
  </si>
  <si>
    <t>TERM NYMEX</t>
  </si>
  <si>
    <t>WINTER</t>
  </si>
  <si>
    <t>SUMMER</t>
  </si>
  <si>
    <t>EOL AECO PROMPT</t>
  </si>
  <si>
    <t>BID</t>
  </si>
  <si>
    <t>ASK</t>
  </si>
  <si>
    <t>HEHUB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</si>
</sst>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78" formatCode="mm/dd/yy\ hh:mm"/>
    <numFmt numFmtId="179" formatCode="mm/dd/yy"/>
    <numFmt numFmtId="181" formatCode="0.000"/>
    <numFmt numFmtId="182" formatCode="0.0"/>
    <numFmt numFmtId="184" formatCode="hh:mm"/>
    <numFmt numFmtId="185" formatCode="0.0000"/>
    <numFmt numFmtId="186" formatCode="0.00000"/>
    <numFmt numFmtId="188" formatCode="mmm\-yyyy"/>
    <numFmt numFmtId="191" formatCode="#\ ###"/>
    <numFmt numFmtId="194" formatCode="0_);[Red]\(0\)"/>
    <numFmt numFmtId="196" formatCode="dd\-mmm_)"/>
    <numFmt numFmtId="197" formatCode="0.0000_)"/>
    <numFmt numFmtId="198" formatCode="0.000_)"/>
    <numFmt numFmtId="199" formatCode="0.00000000_)"/>
    <numFmt numFmtId="200" formatCode="_(* #,##0.0000_);_(* \(#,##0.0000\);_(* &quot;-&quot;??_);_(@_)"/>
    <numFmt numFmtId="201" formatCode="#,##0.0000_);\(#,##0.0000\)"/>
    <numFmt numFmtId="202" formatCode="d\-mmm\-yyyy"/>
    <numFmt numFmtId="203" formatCode="&quot;$&quot;#,##0.000_);\(&quot;$&quot;#,##0.000\)"/>
    <numFmt numFmtId="204" formatCode="#,##0.000_);[Red]\(#,##0.000\)"/>
    <numFmt numFmtId="205" formatCode="#,##0.0000"/>
    <numFmt numFmtId="206" formatCode="0.0%"/>
    <numFmt numFmtId="207" formatCode="0.00_)"/>
    <numFmt numFmtId="208" formatCode="mmm\-yyyy_)"/>
    <numFmt numFmtId="209" formatCode="0.000000000_)"/>
    <numFmt numFmtId="210" formatCode="0.0_)"/>
    <numFmt numFmtId="211" formatCode="0.0000%"/>
    <numFmt numFmtId="212" formatCode="_(* #,##0.000_);_(* \(#,##0.000\);_(* &quot;-&quot;??_);_(@_)"/>
    <numFmt numFmtId="213" formatCode="mmm\-yy_)"/>
    <numFmt numFmtId="216" formatCode="0.000_);[Red]\(0.000\)"/>
    <numFmt numFmtId="217" formatCode="0.0000_);[Red]\(0.0000\)"/>
    <numFmt numFmtId="218" formatCode="dd\-mmm\-yy"/>
    <numFmt numFmtId="219" formatCode="h:mm:ss&quot;\&quot;&quot;\&quot;&quot;\&quot;&quot;\&quot;\ AM/PM"/>
    <numFmt numFmtId="220" formatCode="yy&quot;\&quot;&quot;\&quot;&quot;\&quot;\-mm&quot;\&quot;&quot;\&quot;&quot;\&quot;\-dd&quot;\&quot;&quot;\&quot;&quot;\&quot;&quot;\&quot;\ h:mm"/>
    <numFmt numFmtId="221" formatCode="#&quot;\&quot;&quot;\&quot;&quot;\&quot;&quot;\&quot;\ ??/??"/>
    <numFmt numFmtId="226" formatCode="0.00_);[Red]\(0.00\)"/>
  </numFmts>
  <fonts count="7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i/>
      <u/>
      <sz val="10"/>
      <name val="Arial"/>
      <family val="2"/>
    </font>
    <font>
      <sz val="10"/>
      <color indexed="9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color indexed="9"/>
      <name val="Arial"/>
      <family val="2"/>
    </font>
    <font>
      <sz val="13"/>
      <color indexed="11"/>
      <name val="Arial"/>
      <family val="2"/>
    </font>
    <font>
      <b/>
      <sz val="13"/>
      <color indexed="11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  <font>
      <sz val="11"/>
      <color indexed="11"/>
      <name val="Arial"/>
      <family val="2"/>
    </font>
    <font>
      <b/>
      <sz val="11"/>
      <color indexed="11"/>
      <name val="Arial"/>
      <family val="2"/>
    </font>
    <font>
      <b/>
      <u/>
      <sz val="11"/>
      <color indexed="11"/>
      <name val="Arial"/>
      <family val="2"/>
    </font>
    <font>
      <b/>
      <sz val="13"/>
      <color indexed="49"/>
      <name val="Arial"/>
      <family val="2"/>
    </font>
    <font>
      <b/>
      <sz val="13"/>
      <color indexed="43"/>
      <name val="Arial"/>
      <family val="2"/>
    </font>
    <font>
      <sz val="14"/>
      <color indexed="49"/>
      <name val="Arial"/>
      <family val="2"/>
    </font>
    <font>
      <b/>
      <sz val="14"/>
      <color indexed="49"/>
      <name val="Arial"/>
      <family val="2"/>
    </font>
    <font>
      <sz val="13"/>
      <color indexed="10"/>
      <name val="Arial"/>
      <family val="2"/>
    </font>
    <font>
      <sz val="15"/>
      <color indexed="9"/>
      <name val="Arial"/>
      <family val="2"/>
    </font>
    <font>
      <b/>
      <sz val="15"/>
      <color indexed="9"/>
      <name val="Arial"/>
      <family val="2"/>
    </font>
    <font>
      <sz val="15"/>
      <name val="Arial"/>
      <family val="2"/>
    </font>
    <font>
      <sz val="15"/>
      <color indexed="11"/>
      <name val="Arial"/>
      <family val="2"/>
    </font>
    <font>
      <b/>
      <sz val="15"/>
      <color indexed="11"/>
      <name val="Arial"/>
      <family val="2"/>
    </font>
    <font>
      <sz val="10"/>
      <name val="Courier"/>
    </font>
    <font>
      <b/>
      <sz val="9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10"/>
      <color indexed="17"/>
      <name val="Times New Roman"/>
      <family val="1"/>
    </font>
    <font>
      <sz val="10"/>
      <color indexed="12"/>
      <name val="Times New Roman"/>
      <family val="1"/>
    </font>
    <font>
      <b/>
      <sz val="10"/>
      <color indexed="8"/>
      <name val="Arial"/>
      <family val="2"/>
    </font>
    <font>
      <b/>
      <sz val="10"/>
      <color indexed="5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Arial"/>
      <family val="2"/>
    </font>
    <font>
      <sz val="10"/>
      <name val="Times New Roman"/>
    </font>
    <font>
      <sz val="12"/>
      <name val="Arial"/>
      <family val="2"/>
    </font>
    <font>
      <b/>
      <sz val="12"/>
      <color indexed="12"/>
      <name val="Arial"/>
      <family val="2"/>
    </font>
    <font>
      <i/>
      <sz val="12"/>
      <name val="Arial"/>
      <family val="2"/>
    </font>
    <font>
      <sz val="11"/>
      <name val="??"/>
      <family val="3"/>
      <charset val="129"/>
    </font>
    <font>
      <sz val="8"/>
      <name val="Helvetica-Narrow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3"/>
      <color indexed="12"/>
      <name val="Arial"/>
      <family val="2"/>
    </font>
    <font>
      <i/>
      <sz val="13"/>
      <name val="Arial"/>
      <family val="2"/>
    </font>
    <font>
      <sz val="13"/>
      <color indexed="43"/>
      <name val="Arial"/>
      <family val="2"/>
    </font>
    <font>
      <b/>
      <sz val="16"/>
      <color indexed="49"/>
      <name val="Arial"/>
      <family val="2"/>
    </font>
    <font>
      <sz val="16"/>
      <color indexed="49"/>
      <name val="Arial"/>
      <family val="2"/>
    </font>
    <font>
      <b/>
      <sz val="12"/>
      <color indexed="23"/>
      <name val="Arial"/>
      <family val="2"/>
    </font>
    <font>
      <sz val="12"/>
      <color indexed="23"/>
      <name val="Arial"/>
      <family val="2"/>
    </font>
    <font>
      <sz val="10"/>
      <color indexed="23"/>
      <name val="Arial"/>
      <family val="2"/>
    </font>
    <font>
      <b/>
      <sz val="12"/>
      <color indexed="47"/>
      <name val="Arial"/>
      <family val="2"/>
    </font>
    <font>
      <sz val="11"/>
      <color indexed="43"/>
      <name val="Arial"/>
      <family val="2"/>
    </font>
    <font>
      <b/>
      <sz val="10"/>
      <color indexed="11"/>
      <name val="Arial"/>
      <family val="2"/>
    </font>
    <font>
      <b/>
      <sz val="10"/>
      <color indexed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42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42"/>
      </right>
      <top/>
      <bottom/>
      <diagonal/>
    </border>
    <border>
      <left style="double">
        <color indexed="42"/>
      </left>
      <right/>
      <top style="double">
        <color indexed="42"/>
      </top>
      <bottom style="medium">
        <color indexed="64"/>
      </bottom>
      <diagonal/>
    </border>
    <border>
      <left/>
      <right style="double">
        <color indexed="42"/>
      </right>
      <top style="medium">
        <color indexed="64"/>
      </top>
      <bottom/>
      <diagonal/>
    </border>
    <border>
      <left style="double">
        <color indexed="42"/>
      </left>
      <right/>
      <top/>
      <bottom/>
      <diagonal/>
    </border>
    <border>
      <left/>
      <right style="double">
        <color indexed="42"/>
      </right>
      <top/>
      <bottom/>
      <diagonal/>
    </border>
    <border>
      <left style="double">
        <color indexed="42"/>
      </left>
      <right/>
      <top/>
      <bottom style="double">
        <color indexed="42"/>
      </bottom>
      <diagonal/>
    </border>
    <border>
      <left/>
      <right/>
      <top/>
      <bottom style="double">
        <color indexed="42"/>
      </bottom>
      <diagonal/>
    </border>
    <border>
      <left/>
      <right style="double">
        <color indexed="42"/>
      </right>
      <top/>
      <bottom style="double">
        <color indexed="42"/>
      </bottom>
      <diagonal/>
    </border>
    <border>
      <left/>
      <right/>
      <top style="double">
        <color indexed="42"/>
      </top>
      <bottom style="medium">
        <color indexed="64"/>
      </bottom>
      <diagonal/>
    </border>
    <border>
      <left/>
      <right style="double">
        <color indexed="42"/>
      </right>
      <top style="double">
        <color indexed="42"/>
      </top>
      <bottom style="medium">
        <color indexed="64"/>
      </bottom>
      <diagonal/>
    </border>
    <border>
      <left style="double">
        <color indexed="42"/>
      </left>
      <right/>
      <top style="medium">
        <color indexed="64"/>
      </top>
      <bottom/>
      <diagonal/>
    </border>
    <border>
      <left style="double">
        <color indexed="42"/>
      </left>
      <right/>
      <top style="double">
        <color indexed="42"/>
      </top>
      <bottom/>
      <diagonal/>
    </border>
    <border>
      <left/>
      <right/>
      <top style="double">
        <color indexed="42"/>
      </top>
      <bottom/>
      <diagonal/>
    </border>
    <border>
      <left/>
      <right style="double">
        <color indexed="42"/>
      </right>
      <top style="double">
        <color indexed="42"/>
      </top>
      <bottom/>
      <diagonal/>
    </border>
    <border>
      <left style="double">
        <color indexed="42"/>
      </left>
      <right/>
      <top/>
      <bottom style="medium">
        <color indexed="64"/>
      </bottom>
      <diagonal/>
    </border>
    <border>
      <left/>
      <right style="double">
        <color indexed="42"/>
      </right>
      <top/>
      <bottom style="medium">
        <color indexed="64"/>
      </bottom>
      <diagonal/>
    </border>
    <border>
      <left style="thin">
        <color indexed="64"/>
      </left>
      <right style="double">
        <color indexed="42"/>
      </right>
      <top style="medium">
        <color indexed="64"/>
      </top>
      <bottom/>
      <diagonal/>
    </border>
    <border>
      <left style="double">
        <color indexed="42"/>
      </left>
      <right style="thin">
        <color indexed="64"/>
      </right>
      <top/>
      <bottom style="double">
        <color indexed="42"/>
      </bottom>
      <diagonal/>
    </border>
    <border>
      <left style="thin">
        <color indexed="64"/>
      </left>
      <right style="medium">
        <color indexed="64"/>
      </right>
      <top/>
      <bottom style="double">
        <color indexed="42"/>
      </bottom>
      <diagonal/>
    </border>
    <border>
      <left style="thin">
        <color indexed="64"/>
      </left>
      <right/>
      <top/>
      <bottom style="double">
        <color indexed="42"/>
      </bottom>
      <diagonal/>
    </border>
    <border>
      <left style="thin">
        <color indexed="64"/>
      </left>
      <right style="double">
        <color indexed="42"/>
      </right>
      <top/>
      <bottom style="double">
        <color indexed="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6" fontId="49" fillId="0" borderId="0">
      <protection locked="0"/>
    </xf>
    <xf numFmtId="219" fontId="31" fillId="0" borderId="0">
      <protection locked="0"/>
    </xf>
    <xf numFmtId="39" fontId="50" fillId="2" borderId="0" applyNumberFormat="0" applyFont="0" applyBorder="0" applyAlignment="0" applyProtection="0"/>
    <xf numFmtId="0" fontId="51" fillId="0" borderId="0" applyNumberFormat="0" applyFill="0" applyBorder="0" applyAlignment="0" applyProtection="0"/>
    <xf numFmtId="220" fontId="49" fillId="0" borderId="0">
      <protection locked="0"/>
    </xf>
    <xf numFmtId="220" fontId="49" fillId="0" borderId="0">
      <protection locked="0"/>
    </xf>
    <xf numFmtId="0" fontId="52" fillId="0" borderId="1" applyNumberFormat="0" applyFill="0" applyAlignment="0" applyProtection="0"/>
    <xf numFmtId="221" fontId="49" fillId="0" borderId="0"/>
    <xf numFmtId="0" fontId="45" fillId="0" borderId="0"/>
    <xf numFmtId="0" fontId="31" fillId="0" borderId="0"/>
    <xf numFmtId="9" fontId="1" fillId="0" borderId="0" applyFont="0" applyFill="0" applyBorder="0" applyAlignment="0" applyProtection="0"/>
    <xf numFmtId="220" fontId="49" fillId="0" borderId="2">
      <protection locked="0"/>
    </xf>
    <xf numFmtId="37" fontId="53" fillId="3" borderId="0" applyNumberFormat="0" applyBorder="0" applyAlignment="0" applyProtection="0"/>
    <xf numFmtId="37" fontId="54" fillId="0" borderId="0"/>
    <xf numFmtId="3" fontId="55" fillId="0" borderId="1" applyProtection="0"/>
  </cellStyleXfs>
  <cellXfs count="647">
    <xf numFmtId="0" fontId="0" fillId="0" borderId="0" xfId="0"/>
    <xf numFmtId="0" fontId="0" fillId="0" borderId="0" xfId="0" applyNumberFormat="1"/>
    <xf numFmtId="182" fontId="0" fillId="0" borderId="0" xfId="0" applyNumberFormat="1"/>
    <xf numFmtId="182" fontId="0" fillId="0" borderId="0" xfId="0" applyNumberFormat="1" applyAlignment="1"/>
    <xf numFmtId="178" fontId="0" fillId="0" borderId="0" xfId="0" applyNumberFormat="1"/>
    <xf numFmtId="0" fontId="0" fillId="0" borderId="0" xfId="0" applyNumberFormat="1" applyBorder="1" applyAlignment="1">
      <alignment horizontal="centerContinuous" wrapText="1"/>
    </xf>
    <xf numFmtId="182" fontId="0" fillId="0" borderId="0" xfId="0" applyNumberFormat="1" applyBorder="1" applyAlignment="1">
      <alignment horizontal="centerContinuous" wrapText="1"/>
    </xf>
    <xf numFmtId="0" fontId="0" fillId="0" borderId="3" xfId="0" applyNumberFormat="1" applyBorder="1" applyAlignment="1">
      <alignment horizontal="centerContinuous" vertical="center" wrapText="1"/>
    </xf>
    <xf numFmtId="182" fontId="0" fillId="0" borderId="4" xfId="0" applyNumberFormat="1" applyBorder="1" applyAlignment="1">
      <alignment horizontal="centerContinuous" vertical="center" wrapText="1"/>
    </xf>
    <xf numFmtId="0" fontId="0" fillId="0" borderId="5" xfId="0" applyNumberFormat="1" applyBorder="1" applyAlignment="1">
      <alignment horizontal="centerContinuous" vertical="center" wrapText="1"/>
    </xf>
    <xf numFmtId="182" fontId="0" fillId="0" borderId="6" xfId="0" applyNumberFormat="1" applyBorder="1" applyAlignment="1">
      <alignment horizontal="centerContinuous" vertical="center" wrapText="1"/>
    </xf>
    <xf numFmtId="0" fontId="0" fillId="0" borderId="7" xfId="0" applyNumberFormat="1" applyBorder="1"/>
    <xf numFmtId="182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179" fontId="0" fillId="0" borderId="9" xfId="0" applyNumberFormat="1" applyBorder="1" applyAlignment="1">
      <alignment horizontal="center"/>
    </xf>
    <xf numFmtId="182" fontId="0" fillId="0" borderId="10" xfId="0" applyNumberFormat="1" applyBorder="1" applyAlignment="1">
      <alignment horizontal="center"/>
    </xf>
    <xf numFmtId="179" fontId="0" fillId="0" borderId="11" xfId="0" applyNumberFormat="1" applyBorder="1"/>
    <xf numFmtId="179" fontId="0" fillId="0" borderId="0" xfId="0" applyNumberFormat="1"/>
    <xf numFmtId="0" fontId="0" fillId="0" borderId="12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Continuous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 vertical="center"/>
    </xf>
    <xf numFmtId="182" fontId="0" fillId="0" borderId="10" xfId="0" applyNumberFormat="1" applyBorder="1" applyAlignment="1">
      <alignment horizontal="center" vertical="center"/>
    </xf>
    <xf numFmtId="18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Continuous" wrapText="1"/>
    </xf>
    <xf numFmtId="181" fontId="0" fillId="0" borderId="15" xfId="0" applyNumberFormat="1" applyBorder="1"/>
    <xf numFmtId="181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Continuous"/>
    </xf>
    <xf numFmtId="0" fontId="0" fillId="0" borderId="0" xfId="0" applyNumberFormat="1" applyBorder="1"/>
    <xf numFmtId="0" fontId="0" fillId="0" borderId="4" xfId="0" applyNumberFormat="1" applyBorder="1" applyAlignment="1">
      <alignment horizontal="centerContinuous"/>
    </xf>
    <xf numFmtId="0" fontId="0" fillId="0" borderId="6" xfId="0" applyNumberFormat="1" applyBorder="1" applyAlignment="1">
      <alignment horizontal="centerContinuous" vertical="center"/>
    </xf>
    <xf numFmtId="0" fontId="0" fillId="0" borderId="6" xfId="0" applyNumberFormat="1" applyBorder="1" applyAlignment="1">
      <alignment horizontal="centerContinuous"/>
    </xf>
    <xf numFmtId="0" fontId="0" fillId="0" borderId="16" xfId="0" applyNumberFormat="1" applyBorder="1" applyAlignment="1">
      <alignment horizontal="centerContinuous"/>
    </xf>
    <xf numFmtId="184" fontId="0" fillId="0" borderId="0" xfId="0" applyNumberFormat="1"/>
    <xf numFmtId="184" fontId="0" fillId="0" borderId="8" xfId="0" applyNumberFormat="1" applyBorder="1" applyAlignment="1">
      <alignment horizontal="center"/>
    </xf>
    <xf numFmtId="181" fontId="0" fillId="0" borderId="17" xfId="0" applyNumberFormat="1" applyBorder="1"/>
    <xf numFmtId="181" fontId="0" fillId="0" borderId="18" xfId="0" applyNumberFormat="1" applyBorder="1"/>
    <xf numFmtId="0" fontId="0" fillId="0" borderId="0" xfId="0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Continuous" wrapText="1"/>
    </xf>
    <xf numFmtId="182" fontId="0" fillId="0" borderId="0" xfId="0" applyNumberFormat="1" applyBorder="1" applyAlignment="1">
      <alignment horizontal="center"/>
    </xf>
    <xf numFmtId="18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Continuous"/>
    </xf>
    <xf numFmtId="178" fontId="0" fillId="0" borderId="0" xfId="0" applyNumberFormat="1" applyBorder="1"/>
    <xf numFmtId="182" fontId="0" fillId="0" borderId="0" xfId="0" applyNumberFormat="1" applyBorder="1"/>
    <xf numFmtId="179" fontId="0" fillId="0" borderId="0" xfId="0" applyNumberFormat="1" applyBorder="1" applyAlignment="1">
      <alignment horizontal="center"/>
    </xf>
    <xf numFmtId="181" fontId="0" fillId="0" borderId="0" xfId="0" applyNumberFormat="1" applyBorder="1"/>
    <xf numFmtId="179" fontId="0" fillId="0" borderId="0" xfId="0" applyNumberFormat="1" applyBorder="1"/>
    <xf numFmtId="181" fontId="0" fillId="0" borderId="0" xfId="0" applyNumberFormat="1" applyBorder="1" applyAlignment="1">
      <alignment horizontal="center"/>
    </xf>
    <xf numFmtId="184" fontId="0" fillId="0" borderId="0" xfId="0" applyNumberFormat="1" applyBorder="1"/>
    <xf numFmtId="184" fontId="0" fillId="0" borderId="17" xfId="0" applyNumberFormat="1" applyBorder="1"/>
    <xf numFmtId="0" fontId="0" fillId="0" borderId="6" xfId="0" applyNumberFormat="1" applyBorder="1"/>
    <xf numFmtId="0" fontId="2" fillId="0" borderId="0" xfId="0" applyNumberFormat="1" applyFont="1" applyBorder="1" applyAlignment="1">
      <alignment horizontal="centerContinuous"/>
    </xf>
    <xf numFmtId="182" fontId="0" fillId="0" borderId="0" xfId="0" applyNumberFormat="1" applyBorder="1" applyAlignment="1">
      <alignment horizontal="centerContinuous"/>
    </xf>
    <xf numFmtId="0" fontId="0" fillId="0" borderId="0" xfId="0" applyNumberFormat="1" applyBorder="1" applyAlignment="1">
      <alignment horizontal="centerContinuous" vertical="center" wrapText="1"/>
    </xf>
    <xf numFmtId="182" fontId="0" fillId="0" borderId="0" xfId="0" applyNumberFormat="1" applyBorder="1" applyAlignment="1">
      <alignment horizontal="centerContinuous" vertical="center" wrapText="1"/>
    </xf>
    <xf numFmtId="179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181" fontId="0" fillId="0" borderId="20" xfId="0" applyNumberFormat="1" applyBorder="1"/>
    <xf numFmtId="0" fontId="0" fillId="0" borderId="21" xfId="0" applyBorder="1" applyAlignment="1">
      <alignment horizontal="centerContinuous" wrapText="1"/>
    </xf>
    <xf numFmtId="0" fontId="0" fillId="0" borderId="21" xfId="0" applyNumberFormat="1" applyBorder="1" applyAlignment="1">
      <alignment horizontal="centerContinuous"/>
    </xf>
    <xf numFmtId="182" fontId="0" fillId="0" borderId="21" xfId="0" applyNumberFormat="1" applyBorder="1"/>
    <xf numFmtId="182" fontId="0" fillId="0" borderId="21" xfId="0" applyNumberFormat="1" applyBorder="1" applyAlignment="1">
      <alignment horizontal="center"/>
    </xf>
    <xf numFmtId="181" fontId="0" fillId="0" borderId="21" xfId="0" applyNumberFormat="1" applyBorder="1"/>
    <xf numFmtId="181" fontId="0" fillId="0" borderId="22" xfId="0" applyNumberFormat="1" applyBorder="1"/>
    <xf numFmtId="179" fontId="0" fillId="0" borderId="19" xfId="0" applyNumberFormat="1" applyBorder="1" applyAlignment="1">
      <alignment horizontal="right"/>
    </xf>
    <xf numFmtId="179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right" wrapText="1"/>
    </xf>
    <xf numFmtId="182" fontId="0" fillId="0" borderId="20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4" fillId="4" borderId="23" xfId="0" applyFont="1" applyFill="1" applyBorder="1" applyAlignment="1">
      <alignment horizontal="centerContinuous"/>
    </xf>
    <xf numFmtId="0" fontId="0" fillId="4" borderId="13" xfId="0" applyFill="1" applyBorder="1" applyAlignment="1">
      <alignment horizontal="centerContinuous"/>
    </xf>
    <xf numFmtId="0" fontId="7" fillId="0" borderId="24" xfId="0" applyFont="1" applyFill="1" applyBorder="1" applyAlignment="1">
      <alignment horizontal="centerContinuous"/>
    </xf>
    <xf numFmtId="0" fontId="0" fillId="0" borderId="24" xfId="0" applyBorder="1"/>
    <xf numFmtId="0" fontId="0" fillId="4" borderId="12" xfId="0" applyFill="1" applyBorder="1" applyAlignment="1">
      <alignment horizontal="centerContinuous"/>
    </xf>
    <xf numFmtId="0" fontId="0" fillId="0" borderId="3" xfId="0" applyBorder="1" applyAlignment="1">
      <alignment horizontal="center"/>
    </xf>
    <xf numFmtId="17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24" xfId="0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4" xfId="0" applyNumberFormat="1" applyFill="1" applyBorder="1" applyAlignment="1">
      <alignment horizontal="center"/>
    </xf>
    <xf numFmtId="17" fontId="0" fillId="0" borderId="0" xfId="0" applyNumberFormat="1" applyBorder="1"/>
    <xf numFmtId="0" fontId="0" fillId="0" borderId="16" xfId="0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7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1" fontId="4" fillId="4" borderId="23" xfId="0" applyNumberFormat="1" applyFont="1" applyFill="1" applyBorder="1" applyAlignment="1">
      <alignment horizontal="centerContinuous"/>
    </xf>
    <xf numFmtId="17" fontId="0" fillId="4" borderId="13" xfId="0" applyNumberFormat="1" applyFill="1" applyBorder="1" applyAlignment="1">
      <alignment horizontal="centerContinuous"/>
    </xf>
    <xf numFmtId="17" fontId="0" fillId="0" borderId="0" xfId="0" applyNumberFormat="1" applyBorder="1" applyAlignment="1">
      <alignment horizontal="left" wrapText="1"/>
    </xf>
    <xf numFmtId="181" fontId="0" fillId="0" borderId="20" xfId="0" applyNumberFormat="1" applyBorder="1" applyAlignment="1">
      <alignment horizontal="right" vertical="center"/>
    </xf>
    <xf numFmtId="181" fontId="0" fillId="0" borderId="20" xfId="0" applyNumberFormat="1" applyBorder="1" applyAlignment="1">
      <alignment horizontal="right" wrapText="1"/>
    </xf>
    <xf numFmtId="181" fontId="0" fillId="0" borderId="20" xfId="0" applyNumberForma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1" fontId="11" fillId="5" borderId="26" xfId="0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Continuous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6" borderId="3" xfId="0" applyFont="1" applyFill="1" applyBorder="1" applyAlignment="1">
      <alignment horizontal="centerContinuous"/>
    </xf>
    <xf numFmtId="38" fontId="15" fillId="6" borderId="4" xfId="0" applyNumberFormat="1" applyFont="1" applyFill="1" applyBorder="1" applyAlignment="1">
      <alignment horizontal="centerContinuous"/>
    </xf>
    <xf numFmtId="0" fontId="15" fillId="6" borderId="25" xfId="0" applyFont="1" applyFill="1" applyBorder="1" applyAlignment="1">
      <alignment horizontal="centerContinuous"/>
    </xf>
    <xf numFmtId="0" fontId="14" fillId="0" borderId="0" xfId="0" applyFont="1"/>
    <xf numFmtId="0" fontId="15" fillId="6" borderId="4" xfId="0" applyFont="1" applyFill="1" applyBorder="1" applyAlignment="1">
      <alignment horizontal="centerContinuous"/>
    </xf>
    <xf numFmtId="0" fontId="15" fillId="7" borderId="23" xfId="0" applyFont="1" applyFill="1" applyBorder="1"/>
    <xf numFmtId="17" fontId="18" fillId="5" borderId="27" xfId="0" applyNumberFormat="1" applyFont="1" applyFill="1" applyBorder="1"/>
    <xf numFmtId="1" fontId="19" fillId="5" borderId="26" xfId="0" applyNumberFormat="1" applyFont="1" applyFill="1" applyBorder="1" applyAlignment="1">
      <alignment horizontal="center"/>
    </xf>
    <xf numFmtId="1" fontId="18" fillId="5" borderId="28" xfId="0" applyNumberFormat="1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Continuous"/>
    </xf>
    <xf numFmtId="0" fontId="18" fillId="5" borderId="4" xfId="0" applyFont="1" applyFill="1" applyBorder="1"/>
    <xf numFmtId="0" fontId="18" fillId="5" borderId="25" xfId="0" applyFont="1" applyFill="1" applyBorder="1"/>
    <xf numFmtId="0" fontId="18" fillId="5" borderId="24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18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/>
    </xf>
    <xf numFmtId="17" fontId="18" fillId="5" borderId="7" xfId="0" applyNumberFormat="1" applyFont="1" applyFill="1" applyBorder="1"/>
    <xf numFmtId="1" fontId="19" fillId="5" borderId="29" xfId="0" applyNumberFormat="1" applyFont="1" applyFill="1" applyBorder="1" applyAlignment="1">
      <alignment horizontal="center"/>
    </xf>
    <xf numFmtId="1" fontId="18" fillId="5" borderId="30" xfId="0" applyNumberFormat="1" applyFont="1" applyFill="1" applyBorder="1" applyAlignment="1">
      <alignment horizontal="center"/>
    </xf>
    <xf numFmtId="0" fontId="14" fillId="5" borderId="0" xfId="0" applyFont="1" applyFill="1"/>
    <xf numFmtId="0" fontId="16" fillId="8" borderId="16" xfId="0" applyFont="1" applyFill="1" applyBorder="1" applyAlignment="1">
      <alignment horizontal="center"/>
    </xf>
    <xf numFmtId="0" fontId="8" fillId="5" borderId="0" xfId="0" applyFont="1" applyFill="1"/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5" borderId="0" xfId="0" applyFill="1"/>
    <xf numFmtId="0" fontId="8" fillId="5" borderId="0" xfId="0" applyFont="1" applyFill="1" applyBorder="1"/>
    <xf numFmtId="0" fontId="8" fillId="5" borderId="0" xfId="0" applyFont="1" applyFill="1" applyBorder="1" applyAlignment="1">
      <alignment horizontal="center"/>
    </xf>
    <xf numFmtId="17" fontId="11" fillId="5" borderId="31" xfId="0" applyNumberFormat="1" applyFont="1" applyFill="1" applyBorder="1"/>
    <xf numFmtId="1" fontId="12" fillId="5" borderId="32" xfId="0" applyNumberFormat="1" applyFont="1" applyFill="1" applyBorder="1" applyAlignment="1">
      <alignment horizontal="center"/>
    </xf>
    <xf numFmtId="0" fontId="10" fillId="5" borderId="33" xfId="0" applyFont="1" applyFill="1" applyBorder="1"/>
    <xf numFmtId="0" fontId="11" fillId="5" borderId="34" xfId="0" applyFont="1" applyFill="1" applyBorder="1"/>
    <xf numFmtId="0" fontId="11" fillId="5" borderId="35" xfId="0" applyFont="1" applyFill="1" applyBorder="1" applyAlignment="1">
      <alignment horizontal="center"/>
    </xf>
    <xf numFmtId="0" fontId="11" fillId="5" borderId="36" xfId="0" applyFont="1" applyFill="1" applyBorder="1" applyAlignment="1">
      <alignment horizontal="center"/>
    </xf>
    <xf numFmtId="0" fontId="11" fillId="5" borderId="37" xfId="0" applyFont="1" applyFill="1" applyBorder="1" applyAlignment="1">
      <alignment horizontal="center"/>
    </xf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5" fontId="21" fillId="5" borderId="40" xfId="0" applyNumberFormat="1" applyFont="1" applyFill="1" applyBorder="1" applyAlignment="1">
      <alignment horizontal="center"/>
    </xf>
    <xf numFmtId="185" fontId="21" fillId="5" borderId="40" xfId="0" applyNumberFormat="1" applyFont="1" applyFill="1" applyBorder="1" applyAlignment="1">
      <alignment horizontal="left"/>
    </xf>
    <xf numFmtId="185" fontId="21" fillId="5" borderId="41" xfId="0" applyNumberFormat="1" applyFont="1" applyFill="1" applyBorder="1" applyAlignment="1">
      <alignment horizontal="center"/>
    </xf>
    <xf numFmtId="0" fontId="12" fillId="5" borderId="42" xfId="0" applyFont="1" applyFill="1" applyBorder="1" applyAlignment="1">
      <alignment horizontal="centerContinuous"/>
    </xf>
    <xf numFmtId="0" fontId="8" fillId="5" borderId="0" xfId="0" applyFont="1" applyFill="1" applyAlignment="1">
      <alignment horizontal="left"/>
    </xf>
    <xf numFmtId="0" fontId="22" fillId="5" borderId="0" xfId="0" applyFont="1" applyFill="1" applyBorder="1"/>
    <xf numFmtId="0" fontId="22" fillId="5" borderId="0" xfId="0" applyFont="1" applyFill="1" applyBorder="1" applyAlignment="1">
      <alignment horizontal="left"/>
    </xf>
    <xf numFmtId="1" fontId="22" fillId="5" borderId="0" xfId="0" applyNumberFormat="1" applyFont="1" applyFill="1" applyBorder="1" applyAlignment="1">
      <alignment horizontal="left"/>
    </xf>
    <xf numFmtId="0" fontId="22" fillId="5" borderId="35" xfId="0" applyFont="1" applyFill="1" applyBorder="1"/>
    <xf numFmtId="0" fontId="9" fillId="5" borderId="36" xfId="0" applyFont="1" applyFill="1" applyBorder="1" applyAlignment="1">
      <alignment horizontal="left"/>
    </xf>
    <xf numFmtId="1" fontId="9" fillId="5" borderId="36" xfId="0" applyNumberFormat="1" applyFont="1" applyFill="1" applyBorder="1" applyAlignment="1">
      <alignment horizontal="left"/>
    </xf>
    <xf numFmtId="0" fontId="22" fillId="5" borderId="37" xfId="0" applyFont="1" applyFill="1" applyBorder="1"/>
    <xf numFmtId="0" fontId="22" fillId="5" borderId="38" xfId="0" applyFont="1" applyFill="1" applyBorder="1"/>
    <xf numFmtId="0" fontId="22" fillId="5" borderId="38" xfId="0" applyFont="1" applyFill="1" applyBorder="1" applyAlignment="1">
      <alignment horizontal="left"/>
    </xf>
    <xf numFmtId="0" fontId="8" fillId="5" borderId="38" xfId="0" applyFont="1" applyFill="1" applyBorder="1"/>
    <xf numFmtId="0" fontId="9" fillId="5" borderId="39" xfId="0" applyFont="1" applyFill="1" applyBorder="1" applyAlignment="1">
      <alignment horizontal="left"/>
    </xf>
    <xf numFmtId="0" fontId="10" fillId="6" borderId="43" xfId="0" applyFont="1" applyFill="1" applyBorder="1" applyAlignment="1">
      <alignment horizontal="left"/>
    </xf>
    <xf numFmtId="0" fontId="10" fillId="6" borderId="44" xfId="0" applyFont="1" applyFill="1" applyBorder="1" applyAlignment="1">
      <alignment horizontal="left"/>
    </xf>
    <xf numFmtId="38" fontId="10" fillId="6" borderId="44" xfId="0" applyNumberFormat="1" applyFont="1" applyFill="1" applyBorder="1" applyAlignment="1">
      <alignment horizontal="left"/>
    </xf>
    <xf numFmtId="38" fontId="10" fillId="6" borderId="45" xfId="0" applyNumberFormat="1" applyFont="1" applyFill="1" applyBorder="1" applyAlignment="1">
      <alignment horizontal="left"/>
    </xf>
    <xf numFmtId="0" fontId="10" fillId="6" borderId="35" xfId="0" applyFont="1" applyFill="1" applyBorder="1" applyAlignment="1">
      <alignment horizontal="left"/>
    </xf>
    <xf numFmtId="1" fontId="10" fillId="6" borderId="0" xfId="0" applyNumberFormat="1" applyFont="1" applyFill="1" applyBorder="1" applyAlignment="1">
      <alignment horizontal="left"/>
    </xf>
    <xf numFmtId="38" fontId="10" fillId="6" borderId="0" xfId="0" applyNumberFormat="1" applyFont="1" applyFill="1" applyBorder="1" applyAlignment="1">
      <alignment horizontal="left"/>
    </xf>
    <xf numFmtId="38" fontId="10" fillId="6" borderId="36" xfId="0" applyNumberFormat="1" applyFont="1" applyFill="1" applyBorder="1" applyAlignment="1">
      <alignment horizontal="left"/>
    </xf>
    <xf numFmtId="0" fontId="20" fillId="5" borderId="3" xfId="0" applyFont="1" applyFill="1" applyBorder="1" applyAlignment="1">
      <alignment horizontal="left"/>
    </xf>
    <xf numFmtId="0" fontId="18" fillId="5" borderId="24" xfId="0" applyFont="1" applyFill="1" applyBorder="1" applyAlignment="1">
      <alignment horizontal="left"/>
    </xf>
    <xf numFmtId="0" fontId="18" fillId="5" borderId="5" xfId="0" applyFont="1" applyFill="1" applyBorder="1" applyAlignment="1">
      <alignment horizontal="left"/>
    </xf>
    <xf numFmtId="1" fontId="11" fillId="5" borderId="16" xfId="0" applyNumberFormat="1" applyFont="1" applyFill="1" applyBorder="1" applyAlignment="1">
      <alignment horizontal="center"/>
    </xf>
    <xf numFmtId="188" fontId="21" fillId="5" borderId="0" xfId="0" applyNumberFormat="1" applyFont="1" applyFill="1" applyBorder="1"/>
    <xf numFmtId="191" fontId="11" fillId="5" borderId="28" xfId="0" applyNumberFormat="1" applyFont="1" applyFill="1" applyBorder="1" applyAlignment="1">
      <alignment horizontal="center"/>
    </xf>
    <xf numFmtId="191" fontId="11" fillId="5" borderId="0" xfId="0" applyNumberFormat="1" applyFont="1" applyFill="1" applyBorder="1" applyAlignment="1">
      <alignment horizontal="center"/>
    </xf>
    <xf numFmtId="191" fontId="11" fillId="5" borderId="36" xfId="0" applyNumberFormat="1" applyFont="1" applyFill="1" applyBorder="1" applyAlignment="1">
      <alignment horizontal="center"/>
    </xf>
    <xf numFmtId="38" fontId="8" fillId="5" borderId="0" xfId="0" applyNumberFormat="1" applyFont="1" applyFill="1" applyAlignment="1">
      <alignment horizontal="center"/>
    </xf>
    <xf numFmtId="38" fontId="8" fillId="0" borderId="0" xfId="0" applyNumberFormat="1" applyFont="1" applyAlignment="1">
      <alignment horizontal="center"/>
    </xf>
    <xf numFmtId="0" fontId="23" fillId="5" borderId="0" xfId="0" applyFont="1" applyFill="1"/>
    <xf numFmtId="0" fontId="24" fillId="5" borderId="0" xfId="0" applyFont="1" applyFill="1" applyAlignment="1">
      <alignment horizontal="center"/>
    </xf>
    <xf numFmtId="0" fontId="24" fillId="5" borderId="23" xfId="0" applyFont="1" applyFill="1" applyBorder="1"/>
    <xf numFmtId="185" fontId="24" fillId="5" borderId="13" xfId="0" applyNumberFormat="1" applyFont="1" applyFill="1" applyBorder="1" applyAlignment="1">
      <alignment horizontal="left"/>
    </xf>
    <xf numFmtId="0" fontId="25" fillId="5" borderId="0" xfId="0" applyFont="1" applyFill="1"/>
    <xf numFmtId="194" fontId="11" fillId="5" borderId="0" xfId="1" applyNumberFormat="1" applyFont="1" applyFill="1" applyBorder="1" applyAlignment="1">
      <alignment horizontal="center"/>
    </xf>
    <xf numFmtId="0" fontId="26" fillId="6" borderId="43" xfId="0" applyFont="1" applyFill="1" applyBorder="1"/>
    <xf numFmtId="0" fontId="28" fillId="5" borderId="0" xfId="0" applyFont="1" applyFill="1"/>
    <xf numFmtId="0" fontId="27" fillId="6" borderId="44" xfId="0" applyFont="1" applyFill="1" applyBorder="1" applyAlignment="1">
      <alignment horizontal="centerContinuous"/>
    </xf>
    <xf numFmtId="38" fontId="26" fillId="6" borderId="45" xfId="0" applyNumberFormat="1" applyFont="1" applyFill="1" applyBorder="1" applyAlignment="1">
      <alignment horizontal="centerContinuous"/>
    </xf>
    <xf numFmtId="0" fontId="27" fillId="6" borderId="46" xfId="0" applyFont="1" applyFill="1" applyBorder="1"/>
    <xf numFmtId="38" fontId="27" fillId="6" borderId="6" xfId="0" applyNumberFormat="1" applyFont="1" applyFill="1" applyBorder="1" applyAlignment="1">
      <alignment horizontal="center"/>
    </xf>
    <xf numFmtId="1" fontId="27" fillId="6" borderId="6" xfId="0" applyNumberFormat="1" applyFont="1" applyFill="1" applyBorder="1" applyAlignment="1">
      <alignment horizontal="center"/>
    </xf>
    <xf numFmtId="1" fontId="27" fillId="6" borderId="47" xfId="0" applyNumberFormat="1" applyFont="1" applyFill="1" applyBorder="1" applyAlignment="1">
      <alignment horizontal="center"/>
    </xf>
    <xf numFmtId="0" fontId="26" fillId="6" borderId="46" xfId="0" applyFont="1" applyFill="1" applyBorder="1"/>
    <xf numFmtId="17" fontId="29" fillId="5" borderId="31" xfId="0" applyNumberFormat="1" applyFont="1" applyFill="1" applyBorder="1"/>
    <xf numFmtId="1" fontId="29" fillId="5" borderId="26" xfId="0" applyNumberFormat="1" applyFont="1" applyFill="1" applyBorder="1" applyAlignment="1">
      <alignment horizontal="center"/>
    </xf>
    <xf numFmtId="191" fontId="29" fillId="5" borderId="28" xfId="0" applyNumberFormat="1" applyFont="1" applyFill="1" applyBorder="1" applyAlignment="1">
      <alignment horizontal="center"/>
    </xf>
    <xf numFmtId="191" fontId="29" fillId="5" borderId="0" xfId="0" applyNumberFormat="1" applyFont="1" applyFill="1" applyBorder="1" applyAlignment="1">
      <alignment horizontal="center"/>
    </xf>
    <xf numFmtId="191" fontId="29" fillId="5" borderId="36" xfId="0" applyNumberFormat="1" applyFont="1" applyFill="1" applyBorder="1" applyAlignment="1">
      <alignment horizontal="center"/>
    </xf>
    <xf numFmtId="1" fontId="29" fillId="5" borderId="28" xfId="0" applyNumberFormat="1" applyFont="1" applyFill="1" applyBorder="1" applyAlignment="1">
      <alignment horizontal="center"/>
    </xf>
    <xf numFmtId="1" fontId="30" fillId="5" borderId="48" xfId="0" applyNumberFormat="1" applyFont="1" applyFill="1" applyBorder="1" applyAlignment="1">
      <alignment horizontal="center"/>
    </xf>
    <xf numFmtId="1" fontId="30" fillId="5" borderId="32" xfId="0" applyNumberFormat="1" applyFont="1" applyFill="1" applyBorder="1" applyAlignment="1">
      <alignment horizontal="center"/>
    </xf>
    <xf numFmtId="17" fontId="29" fillId="5" borderId="49" xfId="0" applyNumberFormat="1" applyFont="1" applyFill="1" applyBorder="1"/>
    <xf numFmtId="1" fontId="29" fillId="5" borderId="50" xfId="0" applyNumberFormat="1" applyFont="1" applyFill="1" applyBorder="1" applyAlignment="1">
      <alignment horizontal="center"/>
    </xf>
    <xf numFmtId="191" fontId="29" fillId="5" borderId="51" xfId="0" applyNumberFormat="1" applyFont="1" applyFill="1" applyBorder="1" applyAlignment="1">
      <alignment horizontal="center"/>
    </xf>
    <xf numFmtId="191" fontId="29" fillId="5" borderId="38" xfId="0" applyNumberFormat="1" applyFont="1" applyFill="1" applyBorder="1" applyAlignment="1">
      <alignment horizontal="center"/>
    </xf>
    <xf numFmtId="191" fontId="29" fillId="5" borderId="39" xfId="0" applyNumberFormat="1" applyFont="1" applyFill="1" applyBorder="1" applyAlignment="1">
      <alignment horizontal="center"/>
    </xf>
    <xf numFmtId="1" fontId="29" fillId="5" borderId="51" xfId="0" applyNumberFormat="1" applyFont="1" applyFill="1" applyBorder="1" applyAlignment="1">
      <alignment horizontal="center"/>
    </xf>
    <xf numFmtId="1" fontId="30" fillId="5" borderId="52" xfId="0" applyNumberFormat="1" applyFont="1" applyFill="1" applyBorder="1" applyAlignment="1">
      <alignment horizontal="center"/>
    </xf>
    <xf numFmtId="14" fontId="4" fillId="9" borderId="53" xfId="11" applyNumberFormat="1" applyFont="1" applyFill="1" applyBorder="1" applyAlignment="1">
      <alignment horizontal="center"/>
    </xf>
    <xf numFmtId="196" fontId="32" fillId="10" borderId="0" xfId="11" applyNumberFormat="1" applyFont="1" applyFill="1" applyBorder="1" applyProtection="1"/>
    <xf numFmtId="0" fontId="33" fillId="10" borderId="0" xfId="11" applyFont="1" applyFill="1" applyBorder="1"/>
    <xf numFmtId="0" fontId="34" fillId="0" borderId="0" xfId="11" applyFont="1"/>
    <xf numFmtId="197" fontId="34" fillId="0" borderId="0" xfId="11" applyNumberFormat="1" applyFont="1" applyProtection="1"/>
    <xf numFmtId="197" fontId="34" fillId="0" borderId="0" xfId="11" applyNumberFormat="1" applyFont="1" applyBorder="1" applyProtection="1"/>
    <xf numFmtId="0" fontId="34" fillId="0" borderId="0" xfId="11" applyFont="1" applyBorder="1"/>
    <xf numFmtId="0" fontId="35" fillId="0" borderId="0" xfId="0" applyFont="1"/>
    <xf numFmtId="198" fontId="34" fillId="0" borderId="0" xfId="11" applyNumberFormat="1" applyFont="1" applyBorder="1" applyProtection="1"/>
    <xf numFmtId="198" fontId="34" fillId="0" borderId="0" xfId="11" applyNumberFormat="1" applyFont="1" applyProtection="1"/>
    <xf numFmtId="10" fontId="1" fillId="0" borderId="0" xfId="12" applyNumberFormat="1" applyFont="1" applyBorder="1" applyProtection="1"/>
    <xf numFmtId="0" fontId="35" fillId="3" borderId="20" xfId="11" applyFont="1" applyFill="1" applyBorder="1" applyAlignment="1">
      <alignment horizontal="center"/>
    </xf>
    <xf numFmtId="181" fontId="36" fillId="3" borderId="20" xfId="1" applyNumberFormat="1" applyFont="1" applyFill="1" applyBorder="1" applyAlignment="1" applyProtection="1">
      <alignment horizontal="center"/>
    </xf>
    <xf numFmtId="197" fontId="1" fillId="0" borderId="0" xfId="11" applyNumberFormat="1" applyFont="1" applyBorder="1" applyProtection="1"/>
    <xf numFmtId="0" fontId="34" fillId="9" borderId="0" xfId="11" applyFont="1" applyFill="1" applyBorder="1" applyProtection="1">
      <protection locked="0"/>
    </xf>
    <xf numFmtId="0" fontId="37" fillId="0" borderId="0" xfId="11" applyFont="1" applyBorder="1"/>
    <xf numFmtId="199" fontId="34" fillId="0" borderId="0" xfId="11" applyNumberFormat="1" applyFont="1"/>
    <xf numFmtId="200" fontId="0" fillId="0" borderId="0" xfId="1" applyNumberFormat="1" applyFont="1" applyBorder="1"/>
    <xf numFmtId="0" fontId="34" fillId="0" borderId="0" xfId="0" applyFont="1" applyBorder="1"/>
    <xf numFmtId="0" fontId="4" fillId="9" borderId="0" xfId="0" applyFont="1" applyFill="1"/>
    <xf numFmtId="0" fontId="34" fillId="9" borderId="0" xfId="0" applyFont="1" applyFill="1" applyBorder="1"/>
    <xf numFmtId="0" fontId="34" fillId="11" borderId="0" xfId="0" applyFont="1" applyFill="1" applyBorder="1"/>
    <xf numFmtId="0" fontId="34" fillId="0" borderId="0" xfId="0" applyFont="1" applyBorder="1" applyProtection="1">
      <protection locked="0"/>
    </xf>
    <xf numFmtId="0" fontId="34" fillId="0" borderId="0" xfId="0" applyFont="1" applyBorder="1" applyAlignment="1" applyProtection="1">
      <alignment horizontal="right"/>
      <protection locked="0"/>
    </xf>
    <xf numFmtId="0" fontId="34" fillId="0" borderId="0" xfId="0" applyFont="1"/>
    <xf numFmtId="0" fontId="34" fillId="10" borderId="0" xfId="11" applyFont="1" applyFill="1" applyBorder="1"/>
    <xf numFmtId="201" fontId="34" fillId="10" borderId="0" xfId="11" applyNumberFormat="1" applyFont="1" applyFill="1" applyBorder="1" applyProtection="1"/>
    <xf numFmtId="0" fontId="38" fillId="0" borderId="0" xfId="11" applyFont="1"/>
    <xf numFmtId="2" fontId="34" fillId="0" borderId="0" xfId="11" applyNumberFormat="1" applyFont="1" applyBorder="1" applyProtection="1"/>
    <xf numFmtId="0" fontId="34" fillId="3" borderId="54" xfId="0" applyFont="1" applyFill="1" applyBorder="1"/>
    <xf numFmtId="10" fontId="34" fillId="3" borderId="55" xfId="0" applyNumberFormat="1" applyFont="1" applyFill="1" applyBorder="1"/>
    <xf numFmtId="10" fontId="39" fillId="9" borderId="0" xfId="11" applyNumberFormat="1" applyFont="1" applyFill="1" applyBorder="1" applyAlignment="1" applyProtection="1">
      <alignment horizontal="center"/>
    </xf>
    <xf numFmtId="197" fontId="34" fillId="9" borderId="0" xfId="11" applyNumberFormat="1" applyFont="1" applyFill="1" applyBorder="1" applyProtection="1"/>
    <xf numFmtId="0" fontId="34" fillId="0" borderId="0" xfId="11" applyFont="1" applyBorder="1" applyProtection="1">
      <protection locked="0"/>
    </xf>
    <xf numFmtId="199" fontId="38" fillId="0" borderId="0" xfId="11" applyNumberFormat="1" applyFont="1" applyBorder="1" applyProtection="1"/>
    <xf numFmtId="5" fontId="34" fillId="0" borderId="0" xfId="11" applyNumberFormat="1" applyFont="1" applyProtection="1"/>
    <xf numFmtId="198" fontId="34" fillId="0" borderId="0" xfId="0" applyNumberFormat="1" applyFont="1" applyBorder="1" applyProtection="1"/>
    <xf numFmtId="198" fontId="34" fillId="0" borderId="0" xfId="0" applyNumberFormat="1" applyFont="1" applyBorder="1" applyProtection="1">
      <protection locked="0"/>
    </xf>
    <xf numFmtId="197" fontId="34" fillId="0" borderId="0" xfId="0" applyNumberFormat="1" applyFont="1" applyBorder="1" applyProtection="1">
      <protection locked="0"/>
    </xf>
    <xf numFmtId="0" fontId="34" fillId="0" borderId="0" xfId="11" applyFont="1" applyAlignment="1">
      <alignment horizontal="right"/>
    </xf>
    <xf numFmtId="0" fontId="35" fillId="0" borderId="0" xfId="11" applyFont="1"/>
    <xf numFmtId="10" fontId="34" fillId="0" borderId="0" xfId="11" applyNumberFormat="1" applyFont="1" applyBorder="1" applyProtection="1"/>
    <xf numFmtId="0" fontId="34" fillId="3" borderId="56" xfId="0" applyFont="1" applyFill="1" applyBorder="1"/>
    <xf numFmtId="10" fontId="34" fillId="3" borderId="17" xfId="0" applyNumberFormat="1" applyFont="1" applyFill="1" applyBorder="1"/>
    <xf numFmtId="185" fontId="35" fillId="9" borderId="0" xfId="0" applyNumberFormat="1" applyFont="1" applyFill="1" applyAlignment="1">
      <alignment horizontal="center"/>
    </xf>
    <xf numFmtId="202" fontId="35" fillId="9" borderId="0" xfId="11" applyNumberFormat="1" applyFont="1" applyFill="1" applyBorder="1" applyProtection="1"/>
    <xf numFmtId="203" fontId="34" fillId="0" borderId="0" xfId="11" applyNumberFormat="1" applyFont="1" applyProtection="1"/>
    <xf numFmtId="0" fontId="34" fillId="9" borderId="0" xfId="11" applyFont="1" applyFill="1" applyBorder="1"/>
    <xf numFmtId="199" fontId="0" fillId="0" borderId="0" xfId="0" applyNumberFormat="1"/>
    <xf numFmtId="0" fontId="34" fillId="11" borderId="0" xfId="0" applyFont="1" applyFill="1" applyBorder="1" applyAlignment="1">
      <alignment horizontal="right"/>
    </xf>
    <xf numFmtId="0" fontId="40" fillId="10" borderId="0" xfId="11" applyFont="1" applyFill="1" applyBorder="1" applyAlignment="1">
      <alignment horizontal="center"/>
    </xf>
    <xf numFmtId="0" fontId="34" fillId="0" borderId="0" xfId="11" applyFont="1" applyBorder="1" applyAlignment="1">
      <alignment horizontal="fill"/>
    </xf>
    <xf numFmtId="204" fontId="34" fillId="0" borderId="0" xfId="11" applyNumberFormat="1" applyFont="1" applyBorder="1" applyAlignment="1">
      <alignment horizontal="center"/>
    </xf>
    <xf numFmtId="0" fontId="34" fillId="0" borderId="0" xfId="11" applyFont="1" applyAlignment="1">
      <alignment horizontal="fill"/>
    </xf>
    <xf numFmtId="10" fontId="39" fillId="0" borderId="0" xfId="11" applyNumberFormat="1" applyFont="1" applyBorder="1" applyProtection="1"/>
    <xf numFmtId="9" fontId="34" fillId="9" borderId="0" xfId="12" applyFont="1" applyFill="1" applyAlignment="1">
      <alignment horizontal="center"/>
    </xf>
    <xf numFmtId="0" fontId="34" fillId="9" borderId="0" xfId="11" applyFont="1" applyFill="1" applyBorder="1" applyAlignment="1">
      <alignment horizontal="fill"/>
    </xf>
    <xf numFmtId="198" fontId="39" fillId="0" borderId="0" xfId="11" applyNumberFormat="1" applyFont="1" applyBorder="1" applyProtection="1"/>
    <xf numFmtId="37" fontId="34" fillId="0" borderId="0" xfId="11" applyNumberFormat="1" applyFont="1" applyProtection="1"/>
    <xf numFmtId="37" fontId="34" fillId="0" borderId="0" xfId="11" applyNumberFormat="1" applyFont="1" applyBorder="1" applyProtection="1"/>
    <xf numFmtId="0" fontId="34" fillId="0" borderId="0" xfId="11" applyFont="1" applyAlignment="1">
      <alignment horizontal="center"/>
    </xf>
    <xf numFmtId="198" fontId="34" fillId="0" borderId="0" xfId="11" applyNumberFormat="1" applyFont="1" applyBorder="1" applyAlignment="1" applyProtection="1">
      <alignment horizontal="centerContinuous"/>
    </xf>
    <xf numFmtId="0" fontId="34" fillId="0" borderId="0" xfId="11" applyFont="1" applyAlignment="1">
      <alignment horizontal="centerContinuous"/>
    </xf>
    <xf numFmtId="198" fontId="34" fillId="0" borderId="0" xfId="11" applyNumberFormat="1" applyFont="1" applyBorder="1" applyAlignment="1" applyProtection="1">
      <alignment horizontal="center"/>
    </xf>
    <xf numFmtId="0" fontId="35" fillId="3" borderId="54" xfId="0" applyFont="1" applyFill="1" applyBorder="1"/>
    <xf numFmtId="10" fontId="36" fillId="3" borderId="55" xfId="11" applyNumberFormat="1" applyFont="1" applyFill="1" applyBorder="1" applyProtection="1"/>
    <xf numFmtId="0" fontId="34" fillId="0" borderId="0" xfId="11" applyFont="1" applyBorder="1" applyAlignment="1">
      <alignment horizontal="right"/>
    </xf>
    <xf numFmtId="10" fontId="34" fillId="9" borderId="0" xfId="12" applyNumberFormat="1" applyFont="1" applyFill="1" applyBorder="1" applyAlignment="1">
      <alignment horizontal="center"/>
    </xf>
    <xf numFmtId="0" fontId="34" fillId="0" borderId="0" xfId="11" applyFont="1" applyProtection="1">
      <protection locked="0"/>
    </xf>
    <xf numFmtId="198" fontId="41" fillId="9" borderId="0" xfId="11" applyNumberFormat="1" applyFont="1" applyFill="1" applyBorder="1" applyProtection="1"/>
    <xf numFmtId="0" fontId="34" fillId="0" borderId="0" xfId="11" applyFont="1" applyBorder="1" applyAlignment="1">
      <alignment horizontal="center"/>
    </xf>
    <xf numFmtId="198" fontId="34" fillId="0" borderId="0" xfId="11" applyNumberFormat="1" applyFont="1" applyProtection="1">
      <protection locked="0"/>
    </xf>
    <xf numFmtId="198" fontId="1" fillId="0" borderId="0" xfId="11" applyNumberFormat="1" applyFont="1" applyBorder="1" applyProtection="1"/>
    <xf numFmtId="5" fontId="34" fillId="0" borderId="0" xfId="0" applyNumberFormat="1" applyFont="1" applyBorder="1" applyProtection="1"/>
    <xf numFmtId="198" fontId="34" fillId="0" borderId="0" xfId="11" applyNumberFormat="1" applyFont="1" applyBorder="1" applyAlignment="1" applyProtection="1">
      <alignment horizontal="right"/>
    </xf>
    <xf numFmtId="205" fontId="0" fillId="0" borderId="0" xfId="0" applyNumberFormat="1" applyBorder="1"/>
    <xf numFmtId="197" fontId="34" fillId="0" borderId="0" xfId="11" applyNumberFormat="1" applyFont="1" applyAlignment="1" applyProtection="1">
      <alignment horizontal="right"/>
    </xf>
    <xf numFmtId="0" fontId="35" fillId="3" borderId="56" xfId="0" applyFont="1" applyFill="1" applyBorder="1"/>
    <xf numFmtId="10" fontId="36" fillId="3" borderId="17" xfId="0" applyNumberFormat="1" applyFont="1" applyFill="1" applyBorder="1"/>
    <xf numFmtId="10" fontId="34" fillId="9" borderId="0" xfId="12" applyNumberFormat="1" applyFont="1" applyFill="1" applyAlignment="1">
      <alignment horizontal="center"/>
    </xf>
    <xf numFmtId="197" fontId="34" fillId="0" borderId="0" xfId="11" applyNumberFormat="1" applyFont="1" applyBorder="1"/>
    <xf numFmtId="0" fontId="34" fillId="0" borderId="0" xfId="0" applyFont="1" applyBorder="1" applyAlignment="1">
      <alignment horizontal="center"/>
    </xf>
    <xf numFmtId="37" fontId="34" fillId="11" borderId="0" xfId="0" applyNumberFormat="1" applyFont="1" applyFill="1" applyBorder="1" applyProtection="1"/>
    <xf numFmtId="10" fontId="42" fillId="0" borderId="0" xfId="12" applyNumberFormat="1" applyFont="1" applyBorder="1" applyProtection="1"/>
    <xf numFmtId="10" fontId="1" fillId="0" borderId="0" xfId="11" applyNumberFormat="1" applyFont="1" applyBorder="1" applyProtection="1"/>
    <xf numFmtId="0" fontId="34" fillId="9" borderId="0" xfId="11" applyFont="1" applyFill="1" applyBorder="1" applyAlignment="1">
      <alignment horizontal="center"/>
    </xf>
    <xf numFmtId="0" fontId="37" fillId="0" borderId="0" xfId="11" applyFont="1" applyAlignment="1">
      <alignment horizontal="center"/>
    </xf>
    <xf numFmtId="0" fontId="34" fillId="9" borderId="0" xfId="0" applyFont="1" applyFill="1" applyBorder="1" applyAlignment="1">
      <alignment horizontal="center"/>
    </xf>
    <xf numFmtId="0" fontId="34" fillId="0" borderId="0" xfId="0" applyFont="1" applyBorder="1" applyAlignment="1">
      <alignment horizontal="right"/>
    </xf>
    <xf numFmtId="0" fontId="40" fillId="11" borderId="0" xfId="0" applyFont="1" applyFill="1" applyBorder="1"/>
    <xf numFmtId="10" fontId="1" fillId="0" borderId="0" xfId="12" applyNumberFormat="1" applyFont="1" applyBorder="1" applyAlignment="1" applyProtection="1">
      <alignment horizontal="right"/>
    </xf>
    <xf numFmtId="206" fontId="34" fillId="0" borderId="0" xfId="11" applyNumberFormat="1" applyFont="1" applyAlignment="1">
      <alignment horizontal="center"/>
    </xf>
    <xf numFmtId="197" fontId="34" fillId="0" borderId="0" xfId="11" applyNumberFormat="1" applyFont="1" applyBorder="1" applyProtection="1">
      <protection locked="0"/>
    </xf>
    <xf numFmtId="0" fontId="37" fillId="0" borderId="0" xfId="11" applyFont="1"/>
    <xf numFmtId="5" fontId="34" fillId="0" borderId="0" xfId="11" applyNumberFormat="1" applyFont="1" applyBorder="1" applyProtection="1"/>
    <xf numFmtId="0" fontId="42" fillId="0" borderId="0" xfId="0" applyFont="1" applyAlignment="1">
      <alignment horizontal="right"/>
    </xf>
    <xf numFmtId="207" fontId="34" fillId="0" borderId="0" xfId="11" applyNumberFormat="1" applyFont="1" applyBorder="1" applyProtection="1"/>
    <xf numFmtId="10" fontId="1" fillId="0" borderId="15" xfId="12" applyNumberFormat="1" applyFont="1" applyBorder="1" applyAlignment="1" applyProtection="1">
      <alignment horizontal="right"/>
    </xf>
    <xf numFmtId="197" fontId="34" fillId="0" borderId="0" xfId="11" applyNumberFormat="1" applyFont="1" applyBorder="1" applyAlignment="1" applyProtection="1">
      <alignment horizontal="center"/>
    </xf>
    <xf numFmtId="37" fontId="34" fillId="0" borderId="0" xfId="0" applyNumberFormat="1" applyFont="1" applyBorder="1" applyProtection="1"/>
    <xf numFmtId="5" fontId="34" fillId="0" borderId="0" xfId="0" applyNumberFormat="1" applyFont="1" applyBorder="1" applyProtection="1">
      <protection locked="0"/>
    </xf>
    <xf numFmtId="208" fontId="34" fillId="0" borderId="54" xfId="11" applyNumberFormat="1" applyFont="1" applyBorder="1" applyProtection="1"/>
    <xf numFmtId="198" fontId="34" fillId="0" borderId="57" xfId="11" applyNumberFormat="1" applyFont="1" applyBorder="1" applyProtection="1"/>
    <xf numFmtId="205" fontId="34" fillId="0" borderId="54" xfId="1" applyNumberFormat="1" applyFont="1" applyBorder="1" applyProtection="1">
      <protection locked="0"/>
    </xf>
    <xf numFmtId="205" fontId="34" fillId="0" borderId="58" xfId="1" applyNumberFormat="1" applyFont="1" applyBorder="1" applyProtection="1">
      <protection locked="0"/>
    </xf>
    <xf numFmtId="3" fontId="34" fillId="0" borderId="54" xfId="1" applyNumberFormat="1" applyFont="1" applyBorder="1" applyProtection="1">
      <protection locked="0"/>
    </xf>
    <xf numFmtId="0" fontId="34" fillId="0" borderId="58" xfId="11" applyFont="1" applyBorder="1" applyProtection="1"/>
    <xf numFmtId="0" fontId="34" fillId="0" borderId="55" xfId="11" applyFont="1" applyBorder="1" applyProtection="1"/>
    <xf numFmtId="0" fontId="34" fillId="0" borderId="54" xfId="11" applyFont="1" applyBorder="1" applyProtection="1"/>
    <xf numFmtId="198" fontId="34" fillId="0" borderId="58" xfId="11" applyNumberFormat="1" applyFont="1" applyBorder="1" applyAlignment="1" applyProtection="1">
      <alignment horizontal="center"/>
    </xf>
    <xf numFmtId="10" fontId="34" fillId="0" borderId="54" xfId="11" applyNumberFormat="1" applyFont="1" applyBorder="1" applyProtection="1"/>
    <xf numFmtId="10" fontId="34" fillId="0" borderId="58" xfId="11" applyNumberFormat="1" applyFont="1" applyBorder="1" applyProtection="1"/>
    <xf numFmtId="0" fontId="34" fillId="0" borderId="58" xfId="11" applyFont="1" applyBorder="1" applyProtection="1">
      <protection locked="0"/>
    </xf>
    <xf numFmtId="0" fontId="34" fillId="0" borderId="55" xfId="11" applyFont="1" applyBorder="1"/>
    <xf numFmtId="197" fontId="34" fillId="0" borderId="58" xfId="11" applyNumberFormat="1" applyFont="1" applyBorder="1" applyProtection="1"/>
    <xf numFmtId="197" fontId="34" fillId="0" borderId="55" xfId="11" applyNumberFormat="1" applyFont="1" applyBorder="1" applyProtection="1"/>
    <xf numFmtId="198" fontId="34" fillId="0" borderId="58" xfId="11" applyNumberFormat="1" applyFont="1" applyFill="1" applyBorder="1" applyAlignment="1" applyProtection="1">
      <alignment horizontal="center"/>
    </xf>
    <xf numFmtId="181" fontId="34" fillId="0" borderId="54" xfId="11" applyNumberFormat="1" applyFont="1" applyBorder="1" applyAlignment="1" applyProtection="1">
      <alignment horizontal="center"/>
    </xf>
    <xf numFmtId="181" fontId="34" fillId="9" borderId="55" xfId="11" applyNumberFormat="1" applyFont="1" applyFill="1" applyBorder="1" applyAlignment="1">
      <alignment horizontal="center"/>
    </xf>
    <xf numFmtId="197" fontId="34" fillId="0" borderId="54" xfId="11" applyNumberFormat="1" applyFont="1" applyBorder="1" applyProtection="1"/>
    <xf numFmtId="197" fontId="34" fillId="0" borderId="58" xfId="11" applyNumberFormat="1" applyFont="1" applyBorder="1" applyProtection="1">
      <protection locked="0"/>
    </xf>
    <xf numFmtId="181" fontId="34" fillId="0" borderId="54" xfId="11" applyNumberFormat="1" applyFont="1" applyBorder="1" applyAlignment="1" applyProtection="1">
      <protection locked="0"/>
    </xf>
    <xf numFmtId="198" fontId="34" fillId="0" borderId="58" xfId="11" applyNumberFormat="1" applyFont="1" applyBorder="1"/>
    <xf numFmtId="198" fontId="34" fillId="0" borderId="55" xfId="11" applyNumberFormat="1" applyFont="1" applyBorder="1"/>
    <xf numFmtId="0" fontId="37" fillId="0" borderId="58" xfId="11" applyFont="1" applyBorder="1"/>
    <xf numFmtId="199" fontId="42" fillId="0" borderId="54" xfId="11" applyNumberFormat="1" applyFont="1" applyFill="1" applyBorder="1" applyProtection="1"/>
    <xf numFmtId="209" fontId="42" fillId="0" borderId="58" xfId="11" applyNumberFormat="1" applyFont="1" applyFill="1" applyBorder="1" applyProtection="1"/>
    <xf numFmtId="197" fontId="34" fillId="0" borderId="58" xfId="0" applyNumberFormat="1" applyFont="1" applyBorder="1" applyProtection="1"/>
    <xf numFmtId="197" fontId="34" fillId="0" borderId="55" xfId="0" applyNumberFormat="1" applyFont="1" applyBorder="1" applyProtection="1"/>
    <xf numFmtId="185" fontId="34" fillId="0" borderId="58" xfId="0" applyNumberFormat="1" applyFont="1" applyBorder="1"/>
    <xf numFmtId="181" fontId="42" fillId="0" borderId="58" xfId="0" applyNumberFormat="1" applyFont="1" applyBorder="1"/>
    <xf numFmtId="0" fontId="34" fillId="0" borderId="58" xfId="0" applyFont="1" applyBorder="1"/>
    <xf numFmtId="185" fontId="34" fillId="0" borderId="55" xfId="0" applyNumberFormat="1" applyFont="1" applyBorder="1"/>
    <xf numFmtId="185" fontId="34" fillId="0" borderId="0" xfId="0" applyNumberFormat="1" applyFont="1" applyBorder="1"/>
    <xf numFmtId="197" fontId="34" fillId="0" borderId="0" xfId="0" applyNumberFormat="1" applyFont="1" applyBorder="1" applyProtection="1"/>
    <xf numFmtId="210" fontId="34" fillId="0" borderId="0" xfId="0" applyNumberFormat="1" applyFont="1" applyBorder="1" applyProtection="1"/>
    <xf numFmtId="208" fontId="34" fillId="0" borderId="28" xfId="11" applyNumberFormat="1" applyFont="1" applyBorder="1" applyProtection="1"/>
    <xf numFmtId="198" fontId="42" fillId="0" borderId="59" xfId="11" applyNumberFormat="1" applyFont="1" applyBorder="1" applyProtection="1"/>
    <xf numFmtId="205" fontId="34" fillId="0" borderId="28" xfId="1" applyNumberFormat="1" applyFont="1" applyFill="1" applyBorder="1" applyProtection="1">
      <protection locked="0"/>
    </xf>
    <xf numFmtId="205" fontId="34" fillId="0" borderId="0" xfId="1" applyNumberFormat="1" applyFont="1" applyBorder="1" applyProtection="1">
      <protection locked="0"/>
    </xf>
    <xf numFmtId="3" fontId="34" fillId="0" borderId="28" xfId="1" applyNumberFormat="1" applyFont="1" applyBorder="1" applyProtection="1">
      <protection locked="0"/>
    </xf>
    <xf numFmtId="0" fontId="42" fillId="0" borderId="0" xfId="11" applyFont="1" applyFill="1" applyBorder="1" applyProtection="1"/>
    <xf numFmtId="0" fontId="42" fillId="0" borderId="60" xfId="11" applyFont="1" applyFill="1" applyBorder="1" applyProtection="1"/>
    <xf numFmtId="0" fontId="42" fillId="0" borderId="28" xfId="11" applyFont="1" applyFill="1" applyBorder="1" applyProtection="1"/>
    <xf numFmtId="10" fontId="42" fillId="0" borderId="28" xfId="11" applyNumberFormat="1" applyFont="1" applyFill="1" applyBorder="1" applyProtection="1"/>
    <xf numFmtId="10" fontId="42" fillId="0" borderId="0" xfId="11" applyNumberFormat="1" applyFont="1" applyBorder="1" applyProtection="1"/>
    <xf numFmtId="206" fontId="37" fillId="0" borderId="0" xfId="11" applyNumberFormat="1" applyFont="1" applyBorder="1" applyProtection="1"/>
    <xf numFmtId="0" fontId="34" fillId="0" borderId="60" xfId="11" applyFont="1" applyBorder="1"/>
    <xf numFmtId="197" fontId="34" fillId="0" borderId="60" xfId="11" applyNumberFormat="1" applyFont="1" applyBorder="1" applyProtection="1"/>
    <xf numFmtId="181" fontId="42" fillId="0" borderId="28" xfId="11" applyNumberFormat="1" applyFont="1" applyFill="1" applyBorder="1" applyAlignment="1" applyProtection="1">
      <alignment horizontal="center"/>
    </xf>
    <xf numFmtId="181" fontId="42" fillId="9" borderId="60" xfId="11" applyNumberFormat="1" applyFont="1" applyFill="1" applyBorder="1" applyAlignment="1">
      <alignment horizontal="center"/>
    </xf>
    <xf numFmtId="197" fontId="42" fillId="0" borderId="28" xfId="11" applyNumberFormat="1" applyFont="1" applyFill="1" applyBorder="1" applyProtection="1"/>
    <xf numFmtId="181" fontId="42" fillId="0" borderId="28" xfId="11" applyNumberFormat="1" applyFont="1" applyFill="1" applyBorder="1" applyAlignment="1" applyProtection="1">
      <protection locked="0"/>
    </xf>
    <xf numFmtId="198" fontId="34" fillId="0" borderId="0" xfId="11" applyNumberFormat="1" applyFont="1" applyBorder="1"/>
    <xf numFmtId="198" fontId="34" fillId="0" borderId="60" xfId="11" applyNumberFormat="1" applyFont="1" applyBorder="1"/>
    <xf numFmtId="199" fontId="42" fillId="0" borderId="28" xfId="11" applyNumberFormat="1" applyFont="1" applyFill="1" applyBorder="1" applyProtection="1"/>
    <xf numFmtId="209" fontId="42" fillId="0" borderId="0" xfId="11" applyNumberFormat="1" applyFont="1" applyFill="1" applyBorder="1" applyProtection="1"/>
    <xf numFmtId="197" fontId="34" fillId="0" borderId="60" xfId="0" applyNumberFormat="1" applyFont="1" applyBorder="1" applyProtection="1"/>
    <xf numFmtId="181" fontId="42" fillId="0" borderId="0" xfId="0" applyNumberFormat="1" applyFont="1" applyBorder="1"/>
    <xf numFmtId="185" fontId="34" fillId="0" borderId="60" xfId="0" applyNumberFormat="1" applyFont="1" applyBorder="1"/>
    <xf numFmtId="208" fontId="42" fillId="0" borderId="28" xfId="11" applyNumberFormat="1" applyFont="1" applyBorder="1" applyProtection="1"/>
    <xf numFmtId="205" fontId="42" fillId="0" borderId="28" xfId="1" applyNumberFormat="1" applyFont="1" applyBorder="1" applyProtection="1">
      <protection locked="0"/>
    </xf>
    <xf numFmtId="205" fontId="42" fillId="0" borderId="0" xfId="1" applyNumberFormat="1" applyFont="1" applyBorder="1" applyProtection="1">
      <protection locked="0"/>
    </xf>
    <xf numFmtId="3" fontId="42" fillId="0" borderId="28" xfId="1" applyNumberFormat="1" applyFont="1" applyBorder="1" applyProtection="1">
      <protection locked="0"/>
    </xf>
    <xf numFmtId="0" fontId="42" fillId="0" borderId="0" xfId="11" applyFont="1" applyBorder="1" applyProtection="1"/>
    <xf numFmtId="0" fontId="42" fillId="0" borderId="60" xfId="11" applyFont="1" applyBorder="1" applyProtection="1"/>
    <xf numFmtId="0" fontId="42" fillId="0" borderId="28" xfId="11" applyFont="1" applyBorder="1" applyProtection="1"/>
    <xf numFmtId="198" fontId="42" fillId="0" borderId="0" xfId="11" applyNumberFormat="1" applyFont="1" applyBorder="1" applyAlignment="1" applyProtection="1">
      <alignment horizontal="center"/>
    </xf>
    <xf numFmtId="10" fontId="42" fillId="0" borderId="28" xfId="11" applyNumberFormat="1" applyFont="1" applyBorder="1" applyProtection="1"/>
    <xf numFmtId="10" fontId="1" fillId="9" borderId="0" xfId="12" applyNumberFormat="1" applyFont="1" applyFill="1" applyBorder="1" applyProtection="1"/>
    <xf numFmtId="10" fontId="42" fillId="0" borderId="0" xfId="11" applyNumberFormat="1" applyFont="1" applyBorder="1" applyProtection="1">
      <protection locked="0"/>
    </xf>
    <xf numFmtId="10" fontId="42" fillId="0" borderId="60" xfId="11" applyNumberFormat="1" applyFont="1" applyBorder="1" applyProtection="1"/>
    <xf numFmtId="197" fontId="42" fillId="0" borderId="0" xfId="11" applyNumberFormat="1" applyFont="1" applyBorder="1" applyProtection="1"/>
    <xf numFmtId="197" fontId="42" fillId="0" borderId="60" xfId="11" applyNumberFormat="1" applyFont="1" applyBorder="1" applyProtection="1"/>
    <xf numFmtId="197" fontId="42" fillId="0" borderId="0" xfId="11" applyNumberFormat="1" applyFont="1" applyBorder="1" applyAlignment="1" applyProtection="1">
      <alignment horizontal="center"/>
    </xf>
    <xf numFmtId="181" fontId="42" fillId="0" borderId="28" xfId="11" applyNumberFormat="1" applyFont="1" applyBorder="1" applyAlignment="1" applyProtection="1">
      <alignment horizontal="center"/>
    </xf>
    <xf numFmtId="197" fontId="42" fillId="0" borderId="0" xfId="11" applyNumberFormat="1" applyFont="1" applyBorder="1" applyProtection="1">
      <protection locked="0"/>
    </xf>
    <xf numFmtId="198" fontId="42" fillId="0" borderId="0" xfId="11" applyNumberFormat="1" applyFont="1" applyBorder="1"/>
    <xf numFmtId="198" fontId="42" fillId="0" borderId="60" xfId="11" applyNumberFormat="1" applyFont="1" applyBorder="1"/>
    <xf numFmtId="199" fontId="42" fillId="0" borderId="28" xfId="11" applyNumberFormat="1" applyFont="1" applyBorder="1" applyProtection="1"/>
    <xf numFmtId="209" fontId="42" fillId="0" borderId="0" xfId="11" applyNumberFormat="1" applyFont="1" applyBorder="1" applyProtection="1"/>
    <xf numFmtId="197" fontId="42" fillId="0" borderId="0" xfId="0" applyNumberFormat="1" applyFont="1" applyBorder="1" applyProtection="1"/>
    <xf numFmtId="197" fontId="42" fillId="0" borderId="60" xfId="0" applyNumberFormat="1" applyFont="1" applyBorder="1" applyProtection="1"/>
    <xf numFmtId="185" fontId="42" fillId="0" borderId="0" xfId="0" applyNumberFormat="1" applyFont="1" applyBorder="1"/>
    <xf numFmtId="0" fontId="42" fillId="0" borderId="0" xfId="0" applyFont="1" applyBorder="1"/>
    <xf numFmtId="185" fontId="42" fillId="0" borderId="60" xfId="0" applyNumberFormat="1" applyFont="1" applyBorder="1"/>
    <xf numFmtId="0" fontId="42" fillId="11" borderId="0" xfId="0" applyFont="1" applyFill="1" applyBorder="1"/>
    <xf numFmtId="37" fontId="42" fillId="0" borderId="0" xfId="0" applyNumberFormat="1" applyFont="1" applyBorder="1" applyProtection="1"/>
    <xf numFmtId="210" fontId="42" fillId="0" borderId="0" xfId="0" applyNumberFormat="1" applyFont="1" applyBorder="1" applyProtection="1"/>
    <xf numFmtId="5" fontId="42" fillId="0" borderId="0" xfId="0" applyNumberFormat="1" applyFont="1" applyBorder="1" applyProtection="1"/>
    <xf numFmtId="198" fontId="42" fillId="0" borderId="0" xfId="0" applyNumberFormat="1" applyFont="1" applyBorder="1" applyProtection="1"/>
    <xf numFmtId="0" fontId="42" fillId="0" borderId="0" xfId="0" applyFont="1"/>
    <xf numFmtId="205" fontId="34" fillId="0" borderId="28" xfId="1" applyNumberFormat="1" applyFont="1" applyBorder="1" applyProtection="1">
      <protection locked="0"/>
    </xf>
    <xf numFmtId="205" fontId="34" fillId="0" borderId="60" xfId="1" applyNumberFormat="1" applyFont="1" applyBorder="1" applyProtection="1">
      <protection locked="0"/>
    </xf>
    <xf numFmtId="209" fontId="34" fillId="9" borderId="0" xfId="11" applyNumberFormat="1" applyFont="1" applyFill="1" applyBorder="1" applyProtection="1"/>
    <xf numFmtId="198" fontId="1" fillId="0" borderId="0" xfId="11" applyNumberFormat="1" applyFont="1" applyBorder="1" applyAlignment="1" applyProtection="1">
      <alignment horizontal="center"/>
      <protection locked="0"/>
    </xf>
    <xf numFmtId="0" fontId="42" fillId="0" borderId="0" xfId="11" applyFont="1" applyBorder="1" applyAlignment="1">
      <alignment horizontal="center"/>
    </xf>
    <xf numFmtId="209" fontId="34" fillId="0" borderId="28" xfId="11" applyNumberFormat="1" applyFont="1" applyBorder="1" applyProtection="1"/>
    <xf numFmtId="198" fontId="34" fillId="0" borderId="28" xfId="11" applyNumberFormat="1" applyFont="1" applyBorder="1"/>
    <xf numFmtId="198" fontId="42" fillId="0" borderId="0" xfId="11" applyNumberFormat="1" applyFont="1" applyBorder="1" applyAlignment="1" applyProtection="1">
      <alignment horizontal="center"/>
      <protection locked="0"/>
    </xf>
    <xf numFmtId="10" fontId="42" fillId="0" borderId="0" xfId="12" applyNumberFormat="1" applyFont="1" applyFill="1" applyBorder="1" applyProtection="1"/>
    <xf numFmtId="10" fontId="42" fillId="0" borderId="60" xfId="12" applyNumberFormat="1" applyFont="1" applyBorder="1" applyProtection="1"/>
    <xf numFmtId="197" fontId="42" fillId="0" borderId="28" xfId="11" applyNumberFormat="1" applyFont="1" applyBorder="1" applyProtection="1"/>
    <xf numFmtId="0" fontId="37" fillId="0" borderId="0" xfId="11" applyFont="1" applyBorder="1" applyAlignment="1">
      <alignment horizontal="center"/>
    </xf>
    <xf numFmtId="209" fontId="42" fillId="9" borderId="0" xfId="11" applyNumberFormat="1" applyFont="1" applyFill="1" applyBorder="1" applyProtection="1"/>
    <xf numFmtId="198" fontId="34" fillId="0" borderId="0" xfId="0" applyNumberFormat="1" applyFont="1" applyBorder="1"/>
    <xf numFmtId="10" fontId="34" fillId="11" borderId="0" xfId="0" applyNumberFormat="1" applyFont="1" applyFill="1" applyBorder="1"/>
    <xf numFmtId="198" fontId="34" fillId="11" borderId="0" xfId="0" applyNumberFormat="1" applyFont="1" applyFill="1" applyBorder="1"/>
    <xf numFmtId="201" fontId="34" fillId="0" borderId="0" xfId="0" applyNumberFormat="1" applyFont="1" applyBorder="1" applyProtection="1"/>
    <xf numFmtId="10" fontId="42" fillId="9" borderId="0" xfId="12" applyNumberFormat="1" applyFont="1" applyFill="1" applyBorder="1" applyProtection="1"/>
    <xf numFmtId="198" fontId="42" fillId="0" borderId="28" xfId="11" applyNumberFormat="1" applyFont="1" applyBorder="1"/>
    <xf numFmtId="10" fontId="42" fillId="0" borderId="0" xfId="12" applyNumberFormat="1" applyFont="1" applyBorder="1"/>
    <xf numFmtId="198" fontId="42" fillId="0" borderId="0" xfId="0" applyNumberFormat="1" applyFont="1" applyBorder="1"/>
    <xf numFmtId="198" fontId="42" fillId="11" borderId="0" xfId="0" applyNumberFormat="1" applyFont="1" applyFill="1" applyBorder="1"/>
    <xf numFmtId="201" fontId="42" fillId="0" borderId="0" xfId="0" applyNumberFormat="1" applyFont="1" applyBorder="1" applyProtection="1"/>
    <xf numFmtId="205" fontId="42" fillId="10" borderId="28" xfId="1" applyNumberFormat="1" applyFont="1" applyFill="1" applyBorder="1" applyProtection="1">
      <protection locked="0"/>
    </xf>
    <xf numFmtId="10" fontId="43" fillId="9" borderId="0" xfId="12" applyNumberFormat="1" applyFont="1" applyFill="1" applyBorder="1" applyProtection="1"/>
    <xf numFmtId="197" fontId="43" fillId="0" borderId="28" xfId="11" applyNumberFormat="1" applyFont="1" applyBorder="1" applyProtection="1"/>
    <xf numFmtId="208" fontId="42" fillId="0" borderId="28" xfId="11" applyNumberFormat="1" applyFont="1" applyFill="1" applyBorder="1" applyProtection="1"/>
    <xf numFmtId="198" fontId="42" fillId="0" borderId="59" xfId="11" applyNumberFormat="1" applyFont="1" applyFill="1" applyBorder="1" applyProtection="1"/>
    <xf numFmtId="205" fontId="42" fillId="0" borderId="28" xfId="1" applyNumberFormat="1" applyFont="1" applyFill="1" applyBorder="1" applyProtection="1">
      <protection locked="0"/>
    </xf>
    <xf numFmtId="205" fontId="42" fillId="0" borderId="0" xfId="1" applyNumberFormat="1" applyFont="1" applyFill="1" applyBorder="1" applyProtection="1">
      <protection locked="0"/>
    </xf>
    <xf numFmtId="198" fontId="42" fillId="0" borderId="0" xfId="11" applyNumberFormat="1" applyFont="1" applyFill="1" applyBorder="1" applyAlignment="1" applyProtection="1">
      <alignment horizontal="center"/>
      <protection locked="0"/>
    </xf>
    <xf numFmtId="10" fontId="43" fillId="0" borderId="0" xfId="12" applyNumberFormat="1" applyFont="1" applyFill="1" applyBorder="1" applyProtection="1"/>
    <xf numFmtId="10" fontId="42" fillId="0" borderId="0" xfId="11" applyNumberFormat="1" applyFont="1" applyFill="1" applyBorder="1" applyProtection="1"/>
    <xf numFmtId="211" fontId="42" fillId="0" borderId="60" xfId="12" applyNumberFormat="1" applyFont="1" applyFill="1" applyBorder="1" applyProtection="1"/>
    <xf numFmtId="197" fontId="42" fillId="0" borderId="0" xfId="11" applyNumberFormat="1" applyFont="1" applyFill="1" applyBorder="1" applyProtection="1"/>
    <xf numFmtId="197" fontId="42" fillId="0" borderId="60" xfId="11" applyNumberFormat="1" applyFont="1" applyFill="1" applyBorder="1" applyProtection="1"/>
    <xf numFmtId="197" fontId="42" fillId="0" borderId="0" xfId="11" applyNumberFormat="1" applyFont="1" applyFill="1" applyBorder="1" applyAlignment="1" applyProtection="1">
      <alignment horizontal="center"/>
    </xf>
    <xf numFmtId="181" fontId="42" fillId="0" borderId="60" xfId="11" applyNumberFormat="1" applyFont="1" applyFill="1" applyBorder="1" applyAlignment="1">
      <alignment horizontal="center"/>
    </xf>
    <xf numFmtId="197" fontId="3" fillId="0" borderId="28" xfId="11" applyNumberFormat="1" applyFont="1" applyFill="1" applyBorder="1" applyProtection="1"/>
    <xf numFmtId="197" fontId="42" fillId="0" borderId="0" xfId="11" applyNumberFormat="1" applyFont="1" applyFill="1" applyBorder="1" applyProtection="1">
      <protection locked="0"/>
    </xf>
    <xf numFmtId="198" fontId="42" fillId="0" borderId="28" xfId="11" applyNumberFormat="1" applyFont="1" applyFill="1" applyBorder="1"/>
    <xf numFmtId="198" fontId="42" fillId="0" borderId="0" xfId="11" applyNumberFormat="1" applyFont="1" applyFill="1" applyBorder="1"/>
    <xf numFmtId="198" fontId="42" fillId="0" borderId="60" xfId="11" applyNumberFormat="1" applyFont="1" applyFill="1" applyBorder="1"/>
    <xf numFmtId="0" fontId="42" fillId="0" borderId="0" xfId="11" applyFont="1" applyFill="1" applyBorder="1" applyAlignment="1">
      <alignment horizontal="center"/>
    </xf>
    <xf numFmtId="10" fontId="34" fillId="0" borderId="0" xfId="12" applyNumberFormat="1" applyFont="1" applyBorder="1"/>
    <xf numFmtId="181" fontId="42" fillId="0" borderId="28" xfId="11" applyNumberFormat="1" applyFont="1" applyFill="1" applyBorder="1" applyProtection="1"/>
    <xf numFmtId="198" fontId="1" fillId="0" borderId="0" xfId="11" applyNumberFormat="1" applyFont="1" applyFill="1" applyBorder="1" applyAlignment="1" applyProtection="1">
      <alignment horizontal="center"/>
      <protection locked="0"/>
    </xf>
    <xf numFmtId="10" fontId="42" fillId="11" borderId="0" xfId="12" applyNumberFormat="1" applyFont="1" applyFill="1" applyBorder="1"/>
    <xf numFmtId="208" fontId="35" fillId="0" borderId="28" xfId="11" applyNumberFormat="1" applyFont="1" applyBorder="1" applyProtection="1"/>
    <xf numFmtId="198" fontId="38" fillId="0" borderId="59" xfId="11" applyNumberFormat="1" applyFont="1" applyBorder="1" applyProtection="1"/>
    <xf numFmtId="205" fontId="42" fillId="0" borderId="28" xfId="1" applyNumberFormat="1" applyFont="1" applyFill="1" applyBorder="1" applyAlignment="1" applyProtection="1">
      <alignment horizontal="right"/>
      <protection locked="0"/>
    </xf>
    <xf numFmtId="181" fontId="42" fillId="0" borderId="28" xfId="11" applyNumberFormat="1" applyFont="1" applyBorder="1" applyProtection="1"/>
    <xf numFmtId="211" fontId="38" fillId="0" borderId="60" xfId="12" applyNumberFormat="1" applyFont="1" applyBorder="1" applyProtection="1"/>
    <xf numFmtId="181" fontId="39" fillId="0" borderId="28" xfId="11" applyNumberFormat="1" applyFont="1" applyBorder="1" applyAlignment="1" applyProtection="1">
      <alignment horizontal="center"/>
    </xf>
    <xf numFmtId="181" fontId="42" fillId="0" borderId="20" xfId="11" applyNumberFormat="1" applyFont="1" applyFill="1" applyBorder="1" applyAlignment="1">
      <alignment horizontal="center"/>
    </xf>
    <xf numFmtId="199" fontId="38" fillId="0" borderId="28" xfId="11" applyNumberFormat="1" applyFont="1" applyBorder="1" applyProtection="1"/>
    <xf numFmtId="205" fontId="36" fillId="9" borderId="28" xfId="1" applyNumberFormat="1" applyFont="1" applyFill="1" applyBorder="1" applyAlignment="1" applyProtection="1">
      <alignment horizontal="center"/>
      <protection locked="0"/>
    </xf>
    <xf numFmtId="0" fontId="38" fillId="0" borderId="28" xfId="11" applyFont="1" applyBorder="1" applyProtection="1"/>
    <xf numFmtId="0" fontId="38" fillId="0" borderId="0" xfId="11" applyFont="1" applyBorder="1" applyProtection="1"/>
    <xf numFmtId="0" fontId="38" fillId="0" borderId="60" xfId="11" applyFont="1" applyBorder="1" applyProtection="1"/>
    <xf numFmtId="181" fontId="38" fillId="0" borderId="28" xfId="11" applyNumberFormat="1" applyFont="1" applyBorder="1" applyProtection="1"/>
    <xf numFmtId="198" fontId="36" fillId="11" borderId="0" xfId="11" applyNumberFormat="1" applyFont="1" applyFill="1" applyBorder="1" applyAlignment="1" applyProtection="1">
      <alignment horizontal="center"/>
      <protection locked="0"/>
    </xf>
    <xf numFmtId="10" fontId="37" fillId="0" borderId="28" xfId="11" applyNumberFormat="1" applyFont="1" applyBorder="1" applyProtection="1"/>
    <xf numFmtId="10" fontId="33" fillId="9" borderId="0" xfId="12" applyNumberFormat="1" applyFont="1" applyFill="1" applyBorder="1" applyProtection="1"/>
    <xf numFmtId="181" fontId="36" fillId="9" borderId="20" xfId="11" applyNumberFormat="1" applyFont="1" applyFill="1" applyBorder="1" applyAlignment="1">
      <alignment horizontal="center"/>
    </xf>
    <xf numFmtId="197" fontId="44" fillId="12" borderId="28" xfId="11" applyNumberFormat="1" applyFont="1" applyFill="1" applyBorder="1" applyProtection="1"/>
    <xf numFmtId="209" fontId="38" fillId="0" borderId="0" xfId="11" applyNumberFormat="1" applyFont="1" applyBorder="1" applyProtection="1"/>
    <xf numFmtId="186" fontId="34" fillId="0" borderId="60" xfId="0" applyNumberFormat="1" applyFont="1" applyBorder="1" applyProtection="1"/>
    <xf numFmtId="10" fontId="36" fillId="11" borderId="0" xfId="12" applyNumberFormat="1" applyFont="1" applyFill="1" applyBorder="1"/>
    <xf numFmtId="181" fontId="39" fillId="9" borderId="60" xfId="11" applyNumberFormat="1" applyFont="1" applyFill="1" applyBorder="1" applyAlignment="1">
      <alignment horizontal="center"/>
    </xf>
    <xf numFmtId="197" fontId="44" fillId="13" borderId="28" xfId="11" applyNumberFormat="1" applyFont="1" applyFill="1" applyBorder="1" applyProtection="1"/>
    <xf numFmtId="197" fontId="38" fillId="0" borderId="59" xfId="11" applyNumberFormat="1" applyFont="1" applyBorder="1" applyProtection="1"/>
    <xf numFmtId="205" fontId="33" fillId="9" borderId="28" xfId="1" applyNumberFormat="1" applyFont="1" applyFill="1" applyBorder="1" applyAlignment="1" applyProtection="1">
      <alignment horizontal="center"/>
      <protection locked="0"/>
    </xf>
    <xf numFmtId="198" fontId="36" fillId="3" borderId="0" xfId="11" applyNumberFormat="1" applyFont="1" applyFill="1" applyBorder="1" applyAlignment="1" applyProtection="1">
      <alignment horizontal="center"/>
      <protection locked="0"/>
    </xf>
    <xf numFmtId="181" fontId="36" fillId="9" borderId="60" xfId="11" applyNumberFormat="1" applyFont="1" applyFill="1" applyBorder="1" applyAlignment="1">
      <alignment horizontal="center"/>
    </xf>
    <xf numFmtId="197" fontId="42" fillId="0" borderId="28" xfId="11" applyNumberFormat="1" applyFont="1" applyBorder="1" applyProtection="1">
      <protection locked="0"/>
    </xf>
    <xf numFmtId="10" fontId="34" fillId="11" borderId="0" xfId="12" applyNumberFormat="1" applyFont="1" applyFill="1" applyBorder="1"/>
    <xf numFmtId="205" fontId="33" fillId="0" borderId="28" xfId="1" applyNumberFormat="1" applyFont="1" applyBorder="1" applyAlignment="1" applyProtection="1">
      <alignment horizontal="center"/>
      <protection locked="0"/>
    </xf>
    <xf numFmtId="197" fontId="34" fillId="0" borderId="0" xfId="11" quotePrefix="1" applyNumberFormat="1" applyFont="1" applyBorder="1" applyAlignment="1" applyProtection="1">
      <alignment horizontal="center"/>
    </xf>
    <xf numFmtId="198" fontId="36" fillId="0" borderId="0" xfId="11" applyNumberFormat="1" applyFont="1" applyBorder="1" applyAlignment="1" applyProtection="1">
      <alignment horizontal="center"/>
      <protection locked="0"/>
    </xf>
    <xf numFmtId="10" fontId="42" fillId="13" borderId="0" xfId="12" applyNumberFormat="1" applyFont="1" applyFill="1" applyBorder="1"/>
    <xf numFmtId="205" fontId="36" fillId="0" borderId="28" xfId="1" applyNumberFormat="1" applyFont="1" applyBorder="1" applyAlignment="1" applyProtection="1">
      <alignment horizontal="center"/>
      <protection locked="0"/>
    </xf>
    <xf numFmtId="10" fontId="38" fillId="0" borderId="60" xfId="12" applyNumberFormat="1" applyFont="1" applyBorder="1" applyProtection="1"/>
    <xf numFmtId="198" fontId="43" fillId="0" borderId="0" xfId="11" applyNumberFormat="1" applyFont="1" applyBorder="1" applyAlignment="1" applyProtection="1">
      <alignment horizontal="center"/>
      <protection locked="0"/>
    </xf>
    <xf numFmtId="205" fontId="41" fillId="9" borderId="28" xfId="1" applyNumberFormat="1" applyFont="1" applyFill="1" applyBorder="1" applyProtection="1"/>
    <xf numFmtId="205" fontId="1" fillId="0" borderId="28" xfId="1" applyNumberFormat="1" applyFont="1" applyBorder="1" applyProtection="1"/>
    <xf numFmtId="205" fontId="41" fillId="0" borderId="28" xfId="1" applyNumberFormat="1" applyFont="1" applyBorder="1" applyProtection="1"/>
    <xf numFmtId="205" fontId="1" fillId="0" borderId="56" xfId="1" applyNumberFormat="1" applyFont="1" applyBorder="1" applyProtection="1"/>
    <xf numFmtId="0" fontId="38" fillId="0" borderId="56" xfId="11" applyFont="1" applyBorder="1" applyProtection="1"/>
    <xf numFmtId="0" fontId="38" fillId="0" borderId="15" xfId="11" applyFont="1" applyBorder="1" applyProtection="1"/>
    <xf numFmtId="0" fontId="38" fillId="0" borderId="17" xfId="11" applyFont="1" applyBorder="1" applyProtection="1"/>
    <xf numFmtId="198" fontId="42" fillId="0" borderId="61" xfId="11" applyNumberFormat="1" applyFont="1" applyBorder="1" applyAlignment="1" applyProtection="1">
      <alignment horizontal="center"/>
      <protection locked="0"/>
    </xf>
    <xf numFmtId="10" fontId="38" fillId="0" borderId="17" xfId="12" applyNumberFormat="1" applyFont="1" applyBorder="1" applyProtection="1"/>
    <xf numFmtId="197" fontId="34" fillId="0" borderId="15" xfId="11" applyNumberFormat="1" applyFont="1" applyBorder="1" applyProtection="1"/>
    <xf numFmtId="197" fontId="34" fillId="0" borderId="17" xfId="11" applyNumberFormat="1" applyFont="1" applyBorder="1" applyProtection="1"/>
    <xf numFmtId="0" fontId="34" fillId="0" borderId="15" xfId="11" applyFont="1" applyBorder="1"/>
    <xf numFmtId="181" fontId="39" fillId="0" borderId="56" xfId="11" applyNumberFormat="1" applyFont="1" applyBorder="1" applyAlignment="1" applyProtection="1">
      <alignment horizontal="center"/>
    </xf>
    <xf numFmtId="181" fontId="39" fillId="9" borderId="17" xfId="11" applyNumberFormat="1" applyFont="1" applyFill="1" applyBorder="1" applyAlignment="1">
      <alignment horizontal="center"/>
    </xf>
    <xf numFmtId="197" fontId="34" fillId="0" borderId="15" xfId="11" applyNumberFormat="1" applyFont="1" applyBorder="1" applyProtection="1">
      <protection locked="0"/>
    </xf>
    <xf numFmtId="198" fontId="34" fillId="0" borderId="56" xfId="11" applyNumberFormat="1" applyFont="1" applyBorder="1"/>
    <xf numFmtId="198" fontId="34" fillId="0" borderId="15" xfId="11" applyNumberFormat="1" applyFont="1" applyBorder="1"/>
    <xf numFmtId="198" fontId="34" fillId="0" borderId="17" xfId="11" applyNumberFormat="1" applyFont="1" applyBorder="1"/>
    <xf numFmtId="0" fontId="37" fillId="0" borderId="15" xfId="11" applyFont="1" applyBorder="1" applyAlignment="1">
      <alignment horizontal="center"/>
    </xf>
    <xf numFmtId="185" fontId="34" fillId="0" borderId="15" xfId="0" applyNumberFormat="1" applyFont="1" applyBorder="1"/>
    <xf numFmtId="181" fontId="42" fillId="0" borderId="15" xfId="0" applyNumberFormat="1" applyFont="1" applyBorder="1"/>
    <xf numFmtId="0" fontId="34" fillId="0" borderId="15" xfId="0" applyFont="1" applyBorder="1"/>
    <xf numFmtId="185" fontId="34" fillId="0" borderId="17" xfId="0" applyNumberFormat="1" applyFont="1" applyBorder="1"/>
    <xf numFmtId="199" fontId="34" fillId="0" borderId="0" xfId="0" applyNumberFormat="1" applyFont="1" applyBorder="1" applyProtection="1"/>
    <xf numFmtId="0" fontId="34" fillId="0" borderId="0" xfId="10" applyFont="1"/>
    <xf numFmtId="212" fontId="34" fillId="0" borderId="0" xfId="1" applyNumberFormat="1" applyFont="1" applyBorder="1" applyProtection="1"/>
    <xf numFmtId="0" fontId="34" fillId="0" borderId="0" xfId="0" applyFont="1" applyBorder="1" applyProtection="1"/>
    <xf numFmtId="197" fontId="34" fillId="9" borderId="0" xfId="0" applyNumberFormat="1" applyFont="1" applyFill="1" applyBorder="1" applyProtection="1">
      <protection locked="0"/>
    </xf>
    <xf numFmtId="0" fontId="37" fillId="0" borderId="0" xfId="0" applyFont="1" applyBorder="1"/>
    <xf numFmtId="17" fontId="34" fillId="0" borderId="0" xfId="0" applyNumberFormat="1" applyFont="1" applyBorder="1" applyProtection="1">
      <protection locked="0"/>
    </xf>
    <xf numFmtId="212" fontId="34" fillId="0" borderId="0" xfId="1" applyNumberFormat="1" applyFont="1" applyBorder="1"/>
    <xf numFmtId="212" fontId="34" fillId="0" borderId="0" xfId="1" applyNumberFormat="1" applyFont="1" applyBorder="1" applyProtection="1">
      <protection locked="0"/>
    </xf>
    <xf numFmtId="208" fontId="34" fillId="0" borderId="56" xfId="11" applyNumberFormat="1" applyFont="1" applyBorder="1" applyProtection="1"/>
    <xf numFmtId="198" fontId="38" fillId="0" borderId="61" xfId="11" applyNumberFormat="1" applyFont="1" applyBorder="1" applyProtection="1"/>
    <xf numFmtId="199" fontId="38" fillId="0" borderId="56" xfId="11" applyNumberFormat="1" applyFont="1" applyBorder="1" applyProtection="1"/>
    <xf numFmtId="209" fontId="38" fillId="0" borderId="15" xfId="11" applyNumberFormat="1" applyFont="1" applyBorder="1" applyProtection="1"/>
    <xf numFmtId="197" fontId="34" fillId="0" borderId="15" xfId="0" applyNumberFormat="1" applyFont="1" applyBorder="1" applyProtection="1"/>
    <xf numFmtId="197" fontId="34" fillId="0" borderId="17" xfId="0" applyNumberFormat="1" applyFont="1" applyBorder="1" applyProtection="1"/>
    <xf numFmtId="213" fontId="34" fillId="0" borderId="0" xfId="0" applyNumberFormat="1" applyFont="1" applyBorder="1" applyProtection="1"/>
    <xf numFmtId="17" fontId="34" fillId="0" borderId="0" xfId="0" applyNumberFormat="1" applyFont="1" applyBorder="1"/>
    <xf numFmtId="0" fontId="34" fillId="0" borderId="0" xfId="10" applyNumberFormat="1" applyFont="1"/>
    <xf numFmtId="0" fontId="34" fillId="0" borderId="62" xfId="10" applyNumberFormat="1" applyFont="1" applyBorder="1"/>
    <xf numFmtId="17" fontId="34" fillId="0" borderId="0" xfId="0" applyNumberFormat="1" applyFont="1"/>
    <xf numFmtId="0" fontId="34" fillId="9" borderId="0" xfId="0" applyFont="1" applyFill="1"/>
    <xf numFmtId="0" fontId="37" fillId="0" borderId="0" xfId="0" applyFont="1"/>
    <xf numFmtId="10" fontId="34" fillId="0" borderId="0" xfId="12" applyNumberFormat="1" applyFont="1"/>
    <xf numFmtId="0" fontId="34" fillId="11" borderId="0" xfId="0" applyFont="1" applyFill="1"/>
    <xf numFmtId="38" fontId="27" fillId="6" borderId="47" xfId="0" applyNumberFormat="1" applyFont="1" applyFill="1" applyBorder="1" applyAlignment="1">
      <alignment horizontal="center"/>
    </xf>
    <xf numFmtId="212" fontId="46" fillId="8" borderId="0" xfId="1" applyNumberFormat="1" applyFont="1" applyFill="1" applyAlignment="1">
      <alignment horizontal="center"/>
    </xf>
    <xf numFmtId="38" fontId="46" fillId="8" borderId="0" xfId="0" applyNumberFormat="1" applyFont="1" applyFill="1" applyAlignment="1">
      <alignment horizontal="right"/>
    </xf>
    <xf numFmtId="0" fontId="46" fillId="8" borderId="0" xfId="0" applyFont="1" applyFill="1"/>
    <xf numFmtId="0" fontId="46" fillId="8" borderId="0" xfId="0" applyFont="1" applyFill="1" applyAlignment="1">
      <alignment horizontal="center"/>
    </xf>
    <xf numFmtId="17" fontId="46" fillId="8" borderId="0" xfId="0" applyNumberFormat="1" applyFont="1" applyFill="1"/>
    <xf numFmtId="185" fontId="46" fillId="8" borderId="0" xfId="0" applyNumberFormat="1" applyFont="1" applyFill="1" applyAlignment="1">
      <alignment horizontal="center"/>
    </xf>
    <xf numFmtId="185" fontId="48" fillId="8" borderId="0" xfId="0" applyNumberFormat="1" applyFont="1" applyFill="1" applyAlignment="1">
      <alignment horizontal="center"/>
    </xf>
    <xf numFmtId="217" fontId="48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204" fontId="46" fillId="8" borderId="0" xfId="0" applyNumberFormat="1" applyFont="1" applyFill="1" applyAlignment="1">
      <alignment horizontal="center"/>
    </xf>
    <xf numFmtId="212" fontId="47" fillId="11" borderId="0" xfId="1" applyNumberFormat="1" applyFont="1" applyFill="1" applyAlignment="1">
      <alignment horizontal="center"/>
    </xf>
    <xf numFmtId="218" fontId="8" fillId="8" borderId="0" xfId="0" applyNumberFormat="1" applyFont="1" applyFill="1"/>
    <xf numFmtId="10" fontId="9" fillId="8" borderId="0" xfId="12" applyNumberFormat="1" applyFont="1" applyFill="1" applyAlignment="1">
      <alignment horizontal="center"/>
    </xf>
    <xf numFmtId="181" fontId="8" fillId="8" borderId="0" xfId="0" applyNumberFormat="1" applyFont="1" applyFill="1" applyAlignment="1">
      <alignment horizontal="center"/>
    </xf>
    <xf numFmtId="10" fontId="56" fillId="11" borderId="0" xfId="12" applyNumberFormat="1" applyFont="1" applyFill="1" applyAlignment="1">
      <alignment horizontal="center"/>
    </xf>
    <xf numFmtId="0" fontId="9" fillId="8" borderId="0" xfId="0" applyFont="1" applyFill="1"/>
    <xf numFmtId="181" fontId="46" fillId="8" borderId="0" xfId="0" applyNumberFormat="1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57" fillId="8" borderId="0" xfId="0" applyFont="1" applyFill="1"/>
    <xf numFmtId="181" fontId="46" fillId="5" borderId="0" xfId="0" applyNumberFormat="1" applyFont="1" applyFill="1"/>
    <xf numFmtId="17" fontId="11" fillId="5" borderId="0" xfId="0" applyNumberFormat="1" applyFont="1" applyFill="1" applyBorder="1"/>
    <xf numFmtId="1" fontId="11" fillId="5" borderId="0" xfId="0" applyNumberFormat="1" applyFont="1" applyFill="1" applyBorder="1" applyAlignment="1">
      <alignment horizontal="center"/>
    </xf>
    <xf numFmtId="1" fontId="12" fillId="5" borderId="0" xfId="0" applyNumberFormat="1" applyFont="1" applyFill="1" applyBorder="1" applyAlignment="1">
      <alignment horizontal="center"/>
    </xf>
    <xf numFmtId="0" fontId="58" fillId="5" borderId="0" xfId="0" applyFont="1" applyFill="1" applyAlignment="1">
      <alignment horizontal="centerContinuous"/>
    </xf>
    <xf numFmtId="0" fontId="59" fillId="5" borderId="0" xfId="0" applyFont="1" applyFill="1" applyAlignment="1">
      <alignment horizontal="center"/>
    </xf>
    <xf numFmtId="0" fontId="60" fillId="5" borderId="0" xfId="0" applyFont="1" applyFill="1"/>
    <xf numFmtId="185" fontId="59" fillId="5" borderId="13" xfId="0" applyNumberFormat="1" applyFont="1" applyFill="1" applyBorder="1" applyAlignment="1">
      <alignment horizontal="center"/>
    </xf>
    <xf numFmtId="185" fontId="59" fillId="5" borderId="12" xfId="0" applyNumberFormat="1" applyFont="1" applyFill="1" applyBorder="1" applyAlignment="1">
      <alignment horizontal="left"/>
    </xf>
    <xf numFmtId="0" fontId="59" fillId="5" borderId="0" xfId="0" applyFont="1" applyFill="1"/>
    <xf numFmtId="204" fontId="47" fillId="11" borderId="0" xfId="0" applyNumberFormat="1" applyFont="1" applyFill="1" applyAlignment="1">
      <alignment horizontal="center"/>
    </xf>
    <xf numFmtId="0" fontId="61" fillId="8" borderId="0" xfId="0" applyFont="1" applyFill="1" applyAlignment="1">
      <alignment horizontal="center"/>
    </xf>
    <xf numFmtId="0" fontId="62" fillId="8" borderId="0" xfId="0" applyFont="1" applyFill="1" applyAlignment="1">
      <alignment horizontal="center"/>
    </xf>
    <xf numFmtId="0" fontId="63" fillId="8" borderId="0" xfId="0" applyFont="1" applyFill="1" applyAlignment="1">
      <alignment horizontal="center"/>
    </xf>
    <xf numFmtId="14" fontId="22" fillId="5" borderId="0" xfId="0" applyNumberFormat="1" applyFont="1" applyFill="1" applyAlignment="1">
      <alignment horizontal="centerContinuous"/>
    </xf>
    <xf numFmtId="0" fontId="8" fillId="8" borderId="3" xfId="0" applyFont="1" applyFill="1" applyBorder="1"/>
    <xf numFmtId="0" fontId="8" fillId="8" borderId="4" xfId="0" applyFont="1" applyFill="1" applyBorder="1"/>
    <xf numFmtId="0" fontId="8" fillId="8" borderId="25" xfId="0" applyFont="1" applyFill="1" applyBorder="1"/>
    <xf numFmtId="0" fontId="9" fillId="8" borderId="24" xfId="0" applyFont="1" applyFill="1" applyBorder="1"/>
    <xf numFmtId="0" fontId="8" fillId="8" borderId="16" xfId="0" applyFont="1" applyFill="1" applyBorder="1"/>
    <xf numFmtId="0" fontId="8" fillId="8" borderId="24" xfId="0" applyFont="1" applyFill="1" applyBorder="1" applyAlignment="1">
      <alignment horizontal="right"/>
    </xf>
    <xf numFmtId="212" fontId="46" fillId="8" borderId="0" xfId="1" applyNumberFormat="1" applyFont="1" applyFill="1" applyBorder="1" applyAlignment="1">
      <alignment horizontal="center"/>
    </xf>
    <xf numFmtId="17" fontId="8" fillId="8" borderId="24" xfId="0" applyNumberFormat="1" applyFont="1" applyFill="1" applyBorder="1"/>
    <xf numFmtId="212" fontId="46" fillId="8" borderId="16" xfId="1" applyNumberFormat="1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8" fillId="8" borderId="0" xfId="0" applyFont="1" applyFill="1"/>
    <xf numFmtId="17" fontId="8" fillId="8" borderId="0" xfId="0" applyNumberFormat="1" applyFont="1" applyFill="1"/>
    <xf numFmtId="17" fontId="8" fillId="5" borderId="24" xfId="0" applyNumberFormat="1" applyFont="1" applyFill="1" applyBorder="1"/>
    <xf numFmtId="212" fontId="46" fillId="5" borderId="0" xfId="1" applyNumberFormat="1" applyFont="1" applyFill="1" applyBorder="1" applyAlignment="1">
      <alignment horizontal="center"/>
    </xf>
    <xf numFmtId="212" fontId="46" fillId="5" borderId="16" xfId="1" applyNumberFormat="1" applyFont="1" applyFill="1" applyBorder="1" applyAlignment="1">
      <alignment horizontal="center"/>
    </xf>
    <xf numFmtId="17" fontId="29" fillId="5" borderId="0" xfId="0" applyNumberFormat="1" applyFont="1" applyFill="1" applyBorder="1"/>
    <xf numFmtId="1" fontId="29" fillId="5" borderId="0" xfId="0" applyNumberFormat="1" applyFont="1" applyFill="1" applyBorder="1" applyAlignment="1">
      <alignment horizontal="center"/>
    </xf>
    <xf numFmtId="1" fontId="30" fillId="5" borderId="0" xfId="0" applyNumberFormat="1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 vertical="center"/>
    </xf>
    <xf numFmtId="18" fontId="13" fillId="5" borderId="0" xfId="0" applyNumberFormat="1" applyFont="1" applyFill="1" applyBorder="1" applyAlignment="1">
      <alignment horizontal="center" vertical="center"/>
    </xf>
    <xf numFmtId="16" fontId="13" fillId="5" borderId="0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center"/>
    </xf>
    <xf numFmtId="181" fontId="64" fillId="5" borderId="0" xfId="0" applyNumberFormat="1" applyFont="1" applyFill="1" applyAlignment="1">
      <alignment horizontal="center"/>
    </xf>
    <xf numFmtId="1" fontId="57" fillId="8" borderId="0" xfId="0" applyNumberFormat="1" applyFont="1" applyFill="1"/>
    <xf numFmtId="181" fontId="57" fillId="8" borderId="0" xfId="0" applyNumberFormat="1" applyFont="1" applyFill="1"/>
    <xf numFmtId="191" fontId="30" fillId="5" borderId="28" xfId="0" applyNumberFormat="1" applyFont="1" applyFill="1" applyBorder="1" applyAlignment="1">
      <alignment horizontal="center"/>
    </xf>
    <xf numFmtId="191" fontId="30" fillId="5" borderId="0" xfId="0" applyNumberFormat="1" applyFont="1" applyFill="1" applyBorder="1" applyAlignment="1">
      <alignment horizontal="center"/>
    </xf>
    <xf numFmtId="191" fontId="30" fillId="5" borderId="36" xfId="0" applyNumberFormat="1" applyFont="1" applyFill="1" applyBorder="1" applyAlignment="1">
      <alignment horizontal="center"/>
    </xf>
    <xf numFmtId="181" fontId="18" fillId="5" borderId="0" xfId="0" applyNumberFormat="1" applyFont="1" applyFill="1" applyBorder="1" applyAlignment="1">
      <alignment horizontal="center"/>
    </xf>
    <xf numFmtId="0" fontId="65" fillId="5" borderId="0" xfId="0" applyFont="1" applyFill="1"/>
    <xf numFmtId="181" fontId="65" fillId="5" borderId="0" xfId="0" applyNumberFormat="1" applyFont="1" applyFill="1"/>
    <xf numFmtId="43" fontId="14" fillId="5" borderId="0" xfId="1" applyFont="1" applyFill="1"/>
    <xf numFmtId="226" fontId="19" fillId="5" borderId="26" xfId="1" applyNumberFormat="1" applyFont="1" applyFill="1" applyBorder="1" applyAlignment="1">
      <alignment horizontal="center"/>
    </xf>
    <xf numFmtId="226" fontId="18" fillId="5" borderId="28" xfId="1" applyNumberFormat="1" applyFont="1" applyFill="1" applyBorder="1" applyAlignment="1">
      <alignment horizontal="center"/>
    </xf>
    <xf numFmtId="17" fontId="15" fillId="5" borderId="27" xfId="0" applyNumberFormat="1" applyFont="1" applyFill="1" applyBorder="1"/>
    <xf numFmtId="2" fontId="18" fillId="5" borderId="28" xfId="0" applyNumberFormat="1" applyFont="1" applyFill="1" applyBorder="1" applyAlignment="1">
      <alignment horizontal="center"/>
    </xf>
    <xf numFmtId="181" fontId="18" fillId="5" borderId="28" xfId="0" applyNumberFormat="1" applyFont="1" applyFill="1" applyBorder="1" applyAlignment="1">
      <alignment horizontal="center"/>
    </xf>
    <xf numFmtId="0" fontId="17" fillId="5" borderId="0" xfId="0" applyFont="1" applyFill="1"/>
    <xf numFmtId="17" fontId="18" fillId="5" borderId="0" xfId="0" applyNumberFormat="1" applyFont="1" applyFill="1" applyBorder="1"/>
    <xf numFmtId="17" fontId="15" fillId="5" borderId="0" xfId="0" applyNumberFormat="1" applyFont="1" applyFill="1" applyBorder="1"/>
    <xf numFmtId="17" fontId="18" fillId="5" borderId="6" xfId="0" applyNumberFormat="1" applyFont="1" applyFill="1" applyBorder="1"/>
    <xf numFmtId="17" fontId="18" fillId="5" borderId="27" xfId="0" applyNumberFormat="1" applyFont="1" applyFill="1" applyBorder="1" applyAlignment="1">
      <alignment horizontal="center"/>
    </xf>
    <xf numFmtId="185" fontId="15" fillId="14" borderId="13" xfId="0" applyNumberFormat="1" applyFont="1" applyFill="1" applyBorder="1" applyAlignment="1">
      <alignment horizontal="center"/>
    </xf>
    <xf numFmtId="185" fontId="15" fillId="14" borderId="12" xfId="0" applyNumberFormat="1" applyFont="1" applyFill="1" applyBorder="1" applyAlignment="1">
      <alignment horizontal="left"/>
    </xf>
    <xf numFmtId="206" fontId="18" fillId="5" borderId="16" xfId="12" applyNumberFormat="1" applyFont="1" applyFill="1" applyBorder="1" applyAlignment="1">
      <alignment horizontal="center"/>
    </xf>
    <xf numFmtId="226" fontId="19" fillId="5" borderId="0" xfId="0" applyNumberFormat="1" applyFont="1" applyFill="1" applyBorder="1" applyAlignment="1">
      <alignment horizontal="right"/>
    </xf>
    <xf numFmtId="0" fontId="15" fillId="6" borderId="5" xfId="0" applyFont="1" applyFill="1" applyBorder="1" applyAlignment="1">
      <alignment horizontal="centerContinuous"/>
    </xf>
    <xf numFmtId="0" fontId="15" fillId="6" borderId="6" xfId="0" applyFont="1" applyFill="1" applyBorder="1" applyAlignment="1">
      <alignment horizontal="centerContinuous"/>
    </xf>
    <xf numFmtId="38" fontId="17" fillId="6" borderId="6" xfId="0" applyNumberFormat="1" applyFont="1" applyFill="1" applyBorder="1" applyAlignment="1">
      <alignment horizontal="centerContinuous"/>
    </xf>
    <xf numFmtId="1" fontId="17" fillId="6" borderId="14" xfId="0" applyNumberFormat="1" applyFont="1" applyFill="1" applyBorder="1" applyAlignment="1">
      <alignment horizontal="centerContinuous"/>
    </xf>
    <xf numFmtId="17" fontId="15" fillId="5" borderId="0" xfId="0" applyNumberFormat="1" applyFont="1" applyFill="1" applyBorder="1" applyAlignment="1">
      <alignment horizontal="left"/>
    </xf>
    <xf numFmtId="226" fontId="19" fillId="5" borderId="26" xfId="1" applyNumberFormat="1" applyFont="1" applyFill="1" applyBorder="1" applyAlignment="1">
      <alignment horizontal="left"/>
    </xf>
    <xf numFmtId="17" fontId="15" fillId="5" borderId="27" xfId="0" applyNumberFormat="1" applyFont="1" applyFill="1" applyBorder="1" applyAlignment="1">
      <alignment horizontal="center"/>
    </xf>
    <xf numFmtId="17" fontId="18" fillId="5" borderId="24" xfId="0" applyNumberFormat="1" applyFont="1" applyFill="1" applyBorder="1"/>
    <xf numFmtId="1" fontId="19" fillId="5" borderId="0" xfId="0" applyNumberFormat="1" applyFont="1" applyFill="1" applyBorder="1" applyAlignment="1">
      <alignment horizontal="center"/>
    </xf>
    <xf numFmtId="1" fontId="18" fillId="5" borderId="0" xfId="0" applyNumberFormat="1" applyFont="1" applyFill="1" applyBorder="1" applyAlignment="1">
      <alignment horizontal="center"/>
    </xf>
    <xf numFmtId="17" fontId="18" fillId="5" borderId="0" xfId="0" applyNumberFormat="1" applyFont="1" applyFill="1" applyBorder="1" applyAlignment="1">
      <alignment horizontal="right"/>
    </xf>
    <xf numFmtId="1" fontId="18" fillId="5" borderId="26" xfId="0" applyNumberFormat="1" applyFont="1" applyFill="1" applyBorder="1" applyAlignment="1">
      <alignment horizontal="center"/>
    </xf>
    <xf numFmtId="0" fontId="16" fillId="5" borderId="0" xfId="0" applyFont="1" applyFill="1"/>
    <xf numFmtId="206" fontId="66" fillId="5" borderId="16" xfId="12" applyNumberFormat="1" applyFont="1" applyFill="1" applyBorder="1" applyAlignment="1">
      <alignment horizontal="center"/>
    </xf>
    <xf numFmtId="17" fontId="67" fillId="5" borderId="27" xfId="0" applyNumberFormat="1" applyFont="1" applyFill="1" applyBorder="1" applyAlignment="1">
      <alignment horizontal="center"/>
    </xf>
    <xf numFmtId="226" fontId="18" fillId="5" borderId="0" xfId="0" applyNumberFormat="1" applyFont="1" applyFill="1"/>
    <xf numFmtId="216" fontId="18" fillId="5" borderId="28" xfId="1" applyNumberFormat="1" applyFont="1" applyFill="1" applyBorder="1" applyAlignment="1">
      <alignment horizontal="center"/>
    </xf>
    <xf numFmtId="226" fontId="19" fillId="5" borderId="28" xfId="1" applyNumberFormat="1" applyFont="1" applyFill="1" applyBorder="1" applyAlignment="1">
      <alignment horizontal="left"/>
    </xf>
    <xf numFmtId="226" fontId="18" fillId="5" borderId="0" xfId="0" applyNumberFormat="1" applyFont="1" applyFill="1" applyAlignment="1">
      <alignment horizontal="center"/>
    </xf>
    <xf numFmtId="17" fontId="18" fillId="5" borderId="24" xfId="0" applyNumberFormat="1" applyFont="1" applyFill="1" applyBorder="1" applyAlignment="1">
      <alignment horizontal="center"/>
    </xf>
    <xf numFmtId="0" fontId="27" fillId="6" borderId="44" xfId="0" applyFont="1" applyFill="1" applyBorder="1" applyAlignment="1">
      <alignment horizontal="center"/>
    </xf>
    <xf numFmtId="0" fontId="27" fillId="6" borderId="45" xfId="0" applyFont="1" applyFill="1" applyBorder="1" applyAlignment="1">
      <alignment horizontal="center"/>
    </xf>
  </cellXfs>
  <cellStyles count="17">
    <cellStyle name="Comma" xfId="1" builtinId="3"/>
    <cellStyle name="Date" xfId="2"/>
    <cellStyle name="Fixed" xfId="3"/>
    <cellStyle name="GreyBar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Normal_m1" xfId="10"/>
    <cellStyle name="Normal_m1_1" xfId="11"/>
    <cellStyle name="Percent" xfId="12" builtinId="5"/>
    <cellStyle name="Total" xfId="13" builtinId="25" customBuiltin="1"/>
    <cellStyle name="Unprot" xfId="14"/>
    <cellStyle name="Unprot$" xfId="15"/>
    <cellStyle name="Unprotect" xfId="16"/>
  </cellStyles>
  <dxfs count="10"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0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dialogsheet" Target="dialogsheets/sheet1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theme" Target="theme/theme1.xml"/><Relationship Id="rId8" Type="http://schemas.openxmlformats.org/officeDocument/2006/relationships/worksheet" Target="worksheets/sheet7.xml"/><Relationship Id="rId51" Type="http://schemas.openxmlformats.org/officeDocument/2006/relationships/externalLink" Target="externalLinks/externalLink43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08898776418244E-2"/>
          <c:y val="7.5862111542582364E-2"/>
          <c:w val="0.85761957730812011"/>
          <c:h val="0.67356359642353436"/>
        </c:manualLayout>
      </c:layout>
      <c:barChart>
        <c:barDir val="col"/>
        <c:grouping val="clustered"/>
        <c:varyColors val="0"/>
        <c:ser>
          <c:idx val="2"/>
          <c:order val="2"/>
          <c:tx>
            <c:v>Fee</c:v>
          </c:tx>
          <c:spPr>
            <a:solidFill>
              <a:srgbClr val="00FF00"/>
            </a:solidFill>
            <a:ln w="12700">
              <a:solidFill>
                <a:srgbClr val="00FF00"/>
              </a:solidFill>
              <a:prstDash val="solid"/>
            </a:ln>
          </c:spPr>
          <c:invertIfNegative val="0"/>
          <c:val>
            <c:numRef>
              <c:f>'Current Prices'!$AF$29:$AF$41</c:f>
              <c:numCache>
                <c:formatCode>0.000</c:formatCode>
                <c:ptCount val="13"/>
                <c:pt idx="0" formatCode="General">
                  <c:v>-0.01</c:v>
                </c:pt>
                <c:pt idx="1">
                  <c:v>0.13540589164098243</c:v>
                </c:pt>
                <c:pt idx="2">
                  <c:v>0.39098502532750312</c:v>
                </c:pt>
                <c:pt idx="3">
                  <c:v>0.65936548790992167</c:v>
                </c:pt>
                <c:pt idx="4">
                  <c:v>0.77528817635073832</c:v>
                </c:pt>
                <c:pt idx="5">
                  <c:v>0.76655931025359259</c:v>
                </c:pt>
                <c:pt idx="6">
                  <c:v>0.71282312544914117</c:v>
                </c:pt>
                <c:pt idx="7">
                  <c:v>0.61489691492083631</c:v>
                </c:pt>
                <c:pt idx="8">
                  <c:v>0.62372645507311442</c:v>
                </c:pt>
                <c:pt idx="9">
                  <c:v>0.64722166585255148</c:v>
                </c:pt>
                <c:pt idx="10">
                  <c:v>0.67385126892681002</c:v>
                </c:pt>
                <c:pt idx="11">
                  <c:v>0.68226034423924209</c:v>
                </c:pt>
                <c:pt idx="12">
                  <c:v>0.6800659398389477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D-4564-9CC1-2C9EFB75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4"/>
      </c:barChart>
      <c:lineChart>
        <c:grouping val="standard"/>
        <c:varyColors val="0"/>
        <c:ser>
          <c:idx val="0"/>
          <c:order val="0"/>
          <c:tx>
            <c:strRef>
              <c:f>'Current Prices'!$B$28</c:f>
              <c:strCache>
                <c:ptCount val="1"/>
                <c:pt idx="0">
                  <c:v>NOMINAL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Prices'!$B$29:$B$41</c:f>
              <c:numCache>
                <c:formatCode>#,##0.000_);[Red]\(#,##0.000\)</c:formatCode>
                <c:ptCount val="13"/>
                <c:pt idx="0">
                  <c:v>2.57</c:v>
                </c:pt>
                <c:pt idx="1">
                  <c:v>2.856656300310648</c:v>
                </c:pt>
                <c:pt idx="2">
                  <c:v>3.3861900370067088</c:v>
                </c:pt>
                <c:pt idx="3">
                  <c:v>3.9451843489398453</c:v>
                </c:pt>
                <c:pt idx="4">
                  <c:v>4.1989907545263954</c:v>
                </c:pt>
                <c:pt idx="5">
                  <c:v>4.1993869052995505</c:v>
                </c:pt>
                <c:pt idx="6">
                  <c:v>4.110145061651937</c:v>
                </c:pt>
                <c:pt idx="7">
                  <c:v>3.929555990352926</c:v>
                </c:pt>
                <c:pt idx="8">
                  <c:v>3.9670413079542999</c:v>
                </c:pt>
                <c:pt idx="9">
                  <c:v>4.0342186783413911</c:v>
                </c:pt>
                <c:pt idx="10">
                  <c:v>4.1088836721001831</c:v>
                </c:pt>
                <c:pt idx="11">
                  <c:v>4.1463672327704284</c:v>
                </c:pt>
                <c:pt idx="12">
                  <c:v>4.1614538734271056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1D-4564-9CC1-2C9EFB75EB75}"/>
            </c:ext>
          </c:extLst>
        </c:ser>
        <c:ser>
          <c:idx val="1"/>
          <c:order val="1"/>
          <c:tx>
            <c:strRef>
              <c:f>'Current Prices'!$C$28</c:f>
              <c:strCache>
                <c:ptCount val="1"/>
                <c:pt idx="0">
                  <c:v>TVM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Prices'!$C$29:$C$41</c:f>
              <c:numCache>
                <c:formatCode>0.000</c:formatCode>
                <c:ptCount val="13"/>
                <c:pt idx="0">
                  <c:v>2.5516692808534041</c:v>
                </c:pt>
                <c:pt idx="1">
                  <c:v>2.819766699352841</c:v>
                </c:pt>
                <c:pt idx="2">
                  <c:v>3.3236267583048038</c:v>
                </c:pt>
                <c:pt idx="3">
                  <c:v>3.8497466076504776</c:v>
                </c:pt>
                <c:pt idx="4">
                  <c:v>4.0735559528717582</c:v>
                </c:pt>
                <c:pt idx="5">
                  <c:v>4.0525091878454278</c:v>
                </c:pt>
                <c:pt idx="6">
                  <c:v>3.9432943148490045</c:v>
                </c:pt>
                <c:pt idx="7">
                  <c:v>3.7487912449310627</c:v>
                </c:pt>
                <c:pt idx="8">
                  <c:v>3.7625165826919025</c:v>
                </c:pt>
                <c:pt idx="9">
                  <c:v>3.804668904139116</c:v>
                </c:pt>
                <c:pt idx="10">
                  <c:v>3.8525226723945458</c:v>
                </c:pt>
                <c:pt idx="11">
                  <c:v>3.8650315664729131</c:v>
                </c:pt>
                <c:pt idx="12">
                  <c:v>3.8572350079293045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1D-4564-9CC1-2C9EFB75EB75}"/>
            </c:ext>
          </c:extLst>
        </c:ser>
        <c:ser>
          <c:idx val="3"/>
          <c:order val="3"/>
          <c:spPr>
            <a:ln w="12700">
              <a:solidFill>
                <a:srgbClr val="663300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Prices'!$G$29:$G$41</c:f>
              <c:numCache>
                <c:formatCode>0.000</c:formatCode>
                <c:ptCount val="13"/>
                <c:pt idx="0">
                  <c:v>2.5516692808534041</c:v>
                </c:pt>
                <c:pt idx="1">
                  <c:v>2.5516692808534041</c:v>
                </c:pt>
                <c:pt idx="2">
                  <c:v>2.5516692808534041</c:v>
                </c:pt>
                <c:pt idx="3">
                  <c:v>2.5516692808534041</c:v>
                </c:pt>
                <c:pt idx="4">
                  <c:v>2.5516692808534041</c:v>
                </c:pt>
                <c:pt idx="5">
                  <c:v>2.5516692808534041</c:v>
                </c:pt>
                <c:pt idx="6">
                  <c:v>2.5516692808534041</c:v>
                </c:pt>
                <c:pt idx="7">
                  <c:v>2.5516692808534041</c:v>
                </c:pt>
                <c:pt idx="8">
                  <c:v>2.5516692808534041</c:v>
                </c:pt>
                <c:pt idx="9">
                  <c:v>2.5516692808534041</c:v>
                </c:pt>
                <c:pt idx="10">
                  <c:v>2.5516692808534041</c:v>
                </c:pt>
                <c:pt idx="11">
                  <c:v>2.5516692808534041</c:v>
                </c:pt>
                <c:pt idx="12">
                  <c:v>2.5516692808534041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1D-4564-9CC1-2C9EFB75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13592"/>
        <c:axId val="1"/>
      </c:lineChart>
      <c:catAx>
        <c:axId val="180913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.00_);[Red]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91359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615127919911012"/>
          <c:y val="0.92183959783562197"/>
          <c:w val="0.29477196885428253"/>
          <c:h val="5.977014848809520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808080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58296289956843E-2"/>
          <c:y val="0.10457574744548492"/>
          <c:w val="0.89573054225684545"/>
          <c:h val="0.7712461374104513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FFFF99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Prices'!$AN$30:$AN$77</c:f>
              <c:numCache>
                <c:formatCode>General</c:formatCode>
                <c:ptCount val="48"/>
                <c:pt idx="0">
                  <c:v>2.42</c:v>
                </c:pt>
                <c:pt idx="1">
                  <c:v>2.7240000000000002</c:v>
                </c:pt>
                <c:pt idx="2">
                  <c:v>3.0470000000000002</c:v>
                </c:pt>
                <c:pt idx="3">
                  <c:v>3.1920000000000002</c:v>
                </c:pt>
                <c:pt idx="4">
                  <c:v>3.1590000000000003</c:v>
                </c:pt>
                <c:pt idx="5">
                  <c:v>3.0870000000000002</c:v>
                </c:pt>
                <c:pt idx="6">
                  <c:v>2.992</c:v>
                </c:pt>
                <c:pt idx="7">
                  <c:v>3.012</c:v>
                </c:pt>
                <c:pt idx="8">
                  <c:v>3.0489999999999999</c:v>
                </c:pt>
                <c:pt idx="9">
                  <c:v>3.0910000000000002</c:v>
                </c:pt>
                <c:pt idx="10">
                  <c:v>3.1280000000000001</c:v>
                </c:pt>
                <c:pt idx="11">
                  <c:v>3.1280000000000001</c:v>
                </c:pt>
                <c:pt idx="12">
                  <c:v>3.1420000000000003</c:v>
                </c:pt>
                <c:pt idx="13">
                  <c:v>3.298</c:v>
                </c:pt>
                <c:pt idx="14">
                  <c:v>3.468</c:v>
                </c:pt>
                <c:pt idx="15">
                  <c:v>3.5470000000000002</c:v>
                </c:pt>
                <c:pt idx="16">
                  <c:v>3.4320000000000004</c:v>
                </c:pt>
                <c:pt idx="17">
                  <c:v>3.3130000000000002</c:v>
                </c:pt>
                <c:pt idx="18">
                  <c:v>3.133</c:v>
                </c:pt>
                <c:pt idx="19">
                  <c:v>3.1380000000000003</c:v>
                </c:pt>
                <c:pt idx="20">
                  <c:v>3.1660000000000004</c:v>
                </c:pt>
                <c:pt idx="21">
                  <c:v>3.194</c:v>
                </c:pt>
                <c:pt idx="22">
                  <c:v>3.214</c:v>
                </c:pt>
                <c:pt idx="23">
                  <c:v>3.2149999999999999</c:v>
                </c:pt>
                <c:pt idx="24">
                  <c:v>3.22</c:v>
                </c:pt>
                <c:pt idx="25">
                  <c:v>3.37</c:v>
                </c:pt>
                <c:pt idx="26">
                  <c:v>3.5260000000000002</c:v>
                </c:pt>
                <c:pt idx="27">
                  <c:v>3.5820000000000003</c:v>
                </c:pt>
                <c:pt idx="28">
                  <c:v>3.468</c:v>
                </c:pt>
                <c:pt idx="29">
                  <c:v>3.3360000000000003</c:v>
                </c:pt>
                <c:pt idx="30">
                  <c:v>3.1380000000000003</c:v>
                </c:pt>
                <c:pt idx="31">
                  <c:v>3.1340000000000003</c:v>
                </c:pt>
                <c:pt idx="32">
                  <c:v>3.1660000000000004</c:v>
                </c:pt>
                <c:pt idx="33">
                  <c:v>3.2160000000000002</c:v>
                </c:pt>
                <c:pt idx="34">
                  <c:v>3.25</c:v>
                </c:pt>
                <c:pt idx="35">
                  <c:v>3.2630000000000003</c:v>
                </c:pt>
                <c:pt idx="36">
                  <c:v>3.2749999999999999</c:v>
                </c:pt>
                <c:pt idx="37">
                  <c:v>3.42</c:v>
                </c:pt>
                <c:pt idx="38">
                  <c:v>3.5710000000000002</c:v>
                </c:pt>
                <c:pt idx="39">
                  <c:v>3.637</c:v>
                </c:pt>
                <c:pt idx="40">
                  <c:v>3.5230000000000001</c:v>
                </c:pt>
                <c:pt idx="41">
                  <c:v>3.391</c:v>
                </c:pt>
                <c:pt idx="42">
                  <c:v>3.1930000000000001</c:v>
                </c:pt>
                <c:pt idx="43">
                  <c:v>3.1890000000000001</c:v>
                </c:pt>
                <c:pt idx="44">
                  <c:v>3.2210000000000001</c:v>
                </c:pt>
                <c:pt idx="45">
                  <c:v>3.2710000000000004</c:v>
                </c:pt>
                <c:pt idx="46">
                  <c:v>3.3050000000000002</c:v>
                </c:pt>
                <c:pt idx="47">
                  <c:v>3.3180000000000001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8-4477-9FE0-73DA4E6A5790}"/>
            </c:ext>
          </c:extLst>
        </c:ser>
        <c:ser>
          <c:idx val="1"/>
          <c:order val="1"/>
          <c:spPr>
            <a:ln w="127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Prices'!$AO$30:$AO$77</c:f>
              <c:numCache>
                <c:formatCode>General</c:formatCode>
                <c:ptCount val="48"/>
                <c:pt idx="0">
                  <c:v>2.359</c:v>
                </c:pt>
                <c:pt idx="1">
                  <c:v>2.67</c:v>
                </c:pt>
                <c:pt idx="2">
                  <c:v>2.9950000000000001</c:v>
                </c:pt>
                <c:pt idx="3">
                  <c:v>3.14</c:v>
                </c:pt>
                <c:pt idx="4">
                  <c:v>3.1080000000000001</c:v>
                </c:pt>
                <c:pt idx="5">
                  <c:v>3.0380000000000003</c:v>
                </c:pt>
                <c:pt idx="6">
                  <c:v>2.9449999999999998</c:v>
                </c:pt>
                <c:pt idx="7">
                  <c:v>2.9649999999999999</c:v>
                </c:pt>
                <c:pt idx="8">
                  <c:v>3.0049999999999999</c:v>
                </c:pt>
                <c:pt idx="9">
                  <c:v>3.0489999999999999</c:v>
                </c:pt>
                <c:pt idx="10">
                  <c:v>3.0940000000000003</c:v>
                </c:pt>
                <c:pt idx="11">
                  <c:v>3.0940000000000003</c:v>
                </c:pt>
                <c:pt idx="12">
                  <c:v>3.1080000000000001</c:v>
                </c:pt>
                <c:pt idx="13">
                  <c:v>3.2680000000000002</c:v>
                </c:pt>
                <c:pt idx="14">
                  <c:v>3.44</c:v>
                </c:pt>
                <c:pt idx="15">
                  <c:v>3.52</c:v>
                </c:pt>
                <c:pt idx="16">
                  <c:v>3.4049999999999998</c:v>
                </c:pt>
                <c:pt idx="17">
                  <c:v>3.286</c:v>
                </c:pt>
                <c:pt idx="18">
                  <c:v>3.1060000000000003</c:v>
                </c:pt>
                <c:pt idx="19">
                  <c:v>3.1110000000000002</c:v>
                </c:pt>
                <c:pt idx="20">
                  <c:v>3.1390000000000002</c:v>
                </c:pt>
                <c:pt idx="21">
                  <c:v>3.1720000000000002</c:v>
                </c:pt>
                <c:pt idx="22">
                  <c:v>3.1949999999999998</c:v>
                </c:pt>
                <c:pt idx="23">
                  <c:v>3.1960000000000002</c:v>
                </c:pt>
                <c:pt idx="24">
                  <c:v>3.2010000000000001</c:v>
                </c:pt>
                <c:pt idx="25">
                  <c:v>3.351</c:v>
                </c:pt>
                <c:pt idx="26">
                  <c:v>3.5110000000000001</c:v>
                </c:pt>
                <c:pt idx="27">
                  <c:v>3.5660000000000003</c:v>
                </c:pt>
                <c:pt idx="28">
                  <c:v>3.452</c:v>
                </c:pt>
                <c:pt idx="29">
                  <c:v>3.32</c:v>
                </c:pt>
                <c:pt idx="30">
                  <c:v>3.1220000000000003</c:v>
                </c:pt>
                <c:pt idx="31">
                  <c:v>3.1180000000000003</c:v>
                </c:pt>
                <c:pt idx="32">
                  <c:v>3.15</c:v>
                </c:pt>
                <c:pt idx="33">
                  <c:v>3.2</c:v>
                </c:pt>
                <c:pt idx="34">
                  <c:v>3.234</c:v>
                </c:pt>
                <c:pt idx="35">
                  <c:v>3.2470000000000003</c:v>
                </c:pt>
                <c:pt idx="36">
                  <c:v>3.2560000000000002</c:v>
                </c:pt>
                <c:pt idx="37">
                  <c:v>3.4010000000000002</c:v>
                </c:pt>
                <c:pt idx="38">
                  <c:v>3.556</c:v>
                </c:pt>
                <c:pt idx="39">
                  <c:v>3.621</c:v>
                </c:pt>
                <c:pt idx="40">
                  <c:v>3.5070000000000001</c:v>
                </c:pt>
                <c:pt idx="41">
                  <c:v>3.375</c:v>
                </c:pt>
                <c:pt idx="42">
                  <c:v>3.177</c:v>
                </c:pt>
                <c:pt idx="43">
                  <c:v>3.173</c:v>
                </c:pt>
                <c:pt idx="44">
                  <c:v>3.2050000000000001</c:v>
                </c:pt>
                <c:pt idx="45">
                  <c:v>3.2549999999999999</c:v>
                </c:pt>
                <c:pt idx="46">
                  <c:v>3.2890000000000001</c:v>
                </c:pt>
                <c:pt idx="47">
                  <c:v>3.302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8-4477-9FE0-73DA4E6A5790}"/>
            </c:ext>
          </c:extLst>
        </c:ser>
        <c:ser>
          <c:idx val="2"/>
          <c:order val="2"/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Prices'!$AP$30:$AP$50</c:f>
              <c:numCache>
                <c:formatCode>0.000</c:formatCode>
                <c:ptCount val="21"/>
                <c:pt idx="0">
                  <c:v>2.355</c:v>
                </c:pt>
                <c:pt idx="1">
                  <c:v>2.74</c:v>
                </c:pt>
                <c:pt idx="2">
                  <c:v>3.11</c:v>
                </c:pt>
                <c:pt idx="3">
                  <c:v>3.27</c:v>
                </c:pt>
                <c:pt idx="4">
                  <c:v>3.27</c:v>
                </c:pt>
                <c:pt idx="5">
                  <c:v>3.21</c:v>
                </c:pt>
                <c:pt idx="6">
                  <c:v>3.1</c:v>
                </c:pt>
                <c:pt idx="7">
                  <c:v>3.125</c:v>
                </c:pt>
                <c:pt idx="8">
                  <c:v>3.17</c:v>
                </c:pt>
                <c:pt idx="9">
                  <c:v>3.22</c:v>
                </c:pt>
                <c:pt idx="10">
                  <c:v>3.2450000000000001</c:v>
                </c:pt>
                <c:pt idx="11">
                  <c:v>3.2549999999999999</c:v>
                </c:pt>
                <c:pt idx="12">
                  <c:v>3.27</c:v>
                </c:pt>
                <c:pt idx="13">
                  <c:v>3.44</c:v>
                </c:pt>
                <c:pt idx="14">
                  <c:v>3.56</c:v>
                </c:pt>
                <c:pt idx="15">
                  <c:v>3.67</c:v>
                </c:pt>
                <c:pt idx="16">
                  <c:v>3.58</c:v>
                </c:pt>
                <c:pt idx="17">
                  <c:v>3.45</c:v>
                </c:pt>
                <c:pt idx="18">
                  <c:v>0</c:v>
                </c:pt>
                <c:pt idx="19">
                  <c:v>0</c:v>
                </c:pt>
                <c:pt idx="20">
                  <c:v>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8-4477-9FE0-73DA4E6A5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01688"/>
        <c:axId val="1"/>
      </c:lineChart>
      <c:dateAx>
        <c:axId val="1810016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FF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  <c:max val="4.2"/>
          <c:min val="2.5"/>
        </c:scaling>
        <c:delete val="0"/>
        <c:axPos val="l"/>
        <c:majorGridlines>
          <c:spPr>
            <a:ln w="3175">
              <a:solidFill>
                <a:srgbClr val="424242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FF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001688"/>
        <c:crosses val="autoZero"/>
        <c:crossBetween val="between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000000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15404679580411E-2"/>
          <c:y val="0.12682979695156407"/>
          <c:w val="0.82478804584845322"/>
          <c:h val="0.6146367083037337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'Current Prices -Access'!$A$3:$A$19</c:f>
              <c:numCache>
                <c:formatCode>mmm\-yy</c:formatCode>
                <c:ptCount val="10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</c:numCache>
            </c:numRef>
          </c:cat>
          <c:val>
            <c:numRef>
              <c:f>'Current Prices -Access'!$D$3:$D$19</c:f>
              <c:numCache>
                <c:formatCode>0.000</c:formatCode>
                <c:ptCount val="10"/>
                <c:pt idx="0">
                  <c:v>2.2930000000000001</c:v>
                </c:pt>
                <c:pt idx="1">
                  <c:v>2.6720000000000002</c:v>
                </c:pt>
                <c:pt idx="2">
                  <c:v>2.9860000000000002</c:v>
                </c:pt>
                <c:pt idx="3">
                  <c:v>3.23</c:v>
                </c:pt>
                <c:pt idx="4">
                  <c:v>3.24</c:v>
                </c:pt>
                <c:pt idx="5">
                  <c:v>3.15</c:v>
                </c:pt>
                <c:pt idx="6">
                  <c:v>0</c:v>
                </c:pt>
                <c:pt idx="7">
                  <c:v>0</c:v>
                </c:pt>
                <c:pt idx="8">
                  <c:v>3.1349999999999998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E-44D1-AD1F-886325CC5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96032"/>
        <c:axId val="1"/>
      </c:lineChart>
      <c:dateAx>
        <c:axId val="1521960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196032"/>
        <c:crosses val="autoZero"/>
        <c:crossBetween val="between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000000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96052588965738E-2"/>
          <c:y val="8.1830845986779172E-2"/>
          <c:w val="0.88775642900454754"/>
          <c:h val="0.77808651862005251"/>
        </c:manualLayout>
      </c:layout>
      <c:lineChart>
        <c:grouping val="standard"/>
        <c:varyColors val="0"/>
        <c:ser>
          <c:idx val="0"/>
          <c:order val="0"/>
          <c:tx>
            <c:strRef>
              <c:f>'NG-Historicals - Current Mth'!$B$12</c:f>
              <c:strCache>
                <c:ptCount val="1"/>
                <c:pt idx="0">
                  <c:v>Oct-01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'NG-Historicals - Current Mth'!$B$14:$B$313</c:f>
              <c:numCache>
                <c:formatCode>mm/dd/yy</c:formatCode>
                <c:ptCount val="300"/>
                <c:pt idx="0">
                  <c:v>36598</c:v>
                </c:pt>
                <c:pt idx="1">
                  <c:v>36591</c:v>
                </c:pt>
                <c:pt idx="2">
                  <c:v>36584</c:v>
                </c:pt>
                <c:pt idx="3">
                  <c:v>36578</c:v>
                </c:pt>
                <c:pt idx="4">
                  <c:v>36570</c:v>
                </c:pt>
                <c:pt idx="5">
                  <c:v>36563</c:v>
                </c:pt>
                <c:pt idx="6">
                  <c:v>36556</c:v>
                </c:pt>
                <c:pt idx="7">
                  <c:v>36549</c:v>
                </c:pt>
                <c:pt idx="8">
                  <c:v>36543</c:v>
                </c:pt>
                <c:pt idx="9">
                  <c:v>36535</c:v>
                </c:pt>
                <c:pt idx="10">
                  <c:v>36529</c:v>
                </c:pt>
                <c:pt idx="11">
                  <c:v>36521</c:v>
                </c:pt>
                <c:pt idx="12">
                  <c:v>36514</c:v>
                </c:pt>
                <c:pt idx="13">
                  <c:v>36507</c:v>
                </c:pt>
                <c:pt idx="14">
                  <c:v>36500</c:v>
                </c:pt>
                <c:pt idx="15">
                  <c:v>36493</c:v>
                </c:pt>
                <c:pt idx="16">
                  <c:v>36486</c:v>
                </c:pt>
                <c:pt idx="17">
                  <c:v>36479</c:v>
                </c:pt>
                <c:pt idx="18">
                  <c:v>36472</c:v>
                </c:pt>
                <c:pt idx="19">
                  <c:v>36465</c:v>
                </c:pt>
                <c:pt idx="20">
                  <c:v>36458</c:v>
                </c:pt>
                <c:pt idx="21">
                  <c:v>36451</c:v>
                </c:pt>
                <c:pt idx="22">
                  <c:v>36444</c:v>
                </c:pt>
                <c:pt idx="23">
                  <c:v>36437</c:v>
                </c:pt>
                <c:pt idx="24">
                  <c:v>36430</c:v>
                </c:pt>
                <c:pt idx="25">
                  <c:v>36423</c:v>
                </c:pt>
                <c:pt idx="26">
                  <c:v>36416</c:v>
                </c:pt>
                <c:pt idx="27">
                  <c:v>36410</c:v>
                </c:pt>
                <c:pt idx="28">
                  <c:v>36402</c:v>
                </c:pt>
                <c:pt idx="29">
                  <c:v>36395</c:v>
                </c:pt>
                <c:pt idx="30">
                  <c:v>36388</c:v>
                </c:pt>
                <c:pt idx="31">
                  <c:v>36381</c:v>
                </c:pt>
                <c:pt idx="32">
                  <c:v>36374</c:v>
                </c:pt>
                <c:pt idx="33">
                  <c:v>36367</c:v>
                </c:pt>
                <c:pt idx="34">
                  <c:v>36360</c:v>
                </c:pt>
                <c:pt idx="35">
                  <c:v>36353</c:v>
                </c:pt>
                <c:pt idx="36">
                  <c:v>36347</c:v>
                </c:pt>
                <c:pt idx="37">
                  <c:v>36339</c:v>
                </c:pt>
                <c:pt idx="38">
                  <c:v>36332</c:v>
                </c:pt>
                <c:pt idx="39">
                  <c:v>36325</c:v>
                </c:pt>
                <c:pt idx="40">
                  <c:v>36318</c:v>
                </c:pt>
                <c:pt idx="41">
                  <c:v>36312</c:v>
                </c:pt>
                <c:pt idx="42">
                  <c:v>36304</c:v>
                </c:pt>
                <c:pt idx="43">
                  <c:v>36297</c:v>
                </c:pt>
                <c:pt idx="44">
                  <c:v>36290</c:v>
                </c:pt>
                <c:pt idx="45">
                  <c:v>36283</c:v>
                </c:pt>
                <c:pt idx="46">
                  <c:v>36276</c:v>
                </c:pt>
                <c:pt idx="47">
                  <c:v>36269</c:v>
                </c:pt>
                <c:pt idx="48">
                  <c:v>36262</c:v>
                </c:pt>
                <c:pt idx="49">
                  <c:v>36255</c:v>
                </c:pt>
                <c:pt idx="50">
                  <c:v>36248</c:v>
                </c:pt>
                <c:pt idx="51">
                  <c:v>36241</c:v>
                </c:pt>
                <c:pt idx="52">
                  <c:v>36234</c:v>
                </c:pt>
                <c:pt idx="53">
                  <c:v>36227</c:v>
                </c:pt>
                <c:pt idx="54">
                  <c:v>36220</c:v>
                </c:pt>
                <c:pt idx="55">
                  <c:v>36213</c:v>
                </c:pt>
                <c:pt idx="56">
                  <c:v>36207</c:v>
                </c:pt>
                <c:pt idx="57">
                  <c:v>36199</c:v>
                </c:pt>
                <c:pt idx="58">
                  <c:v>36192</c:v>
                </c:pt>
                <c:pt idx="59">
                  <c:v>36185</c:v>
                </c:pt>
                <c:pt idx="60">
                  <c:v>36179</c:v>
                </c:pt>
                <c:pt idx="61">
                  <c:v>36171</c:v>
                </c:pt>
                <c:pt idx="62">
                  <c:v>36164</c:v>
                </c:pt>
                <c:pt idx="63">
                  <c:v>36157</c:v>
                </c:pt>
                <c:pt idx="64">
                  <c:v>36150</c:v>
                </c:pt>
                <c:pt idx="65">
                  <c:v>36143</c:v>
                </c:pt>
                <c:pt idx="66">
                  <c:v>36136</c:v>
                </c:pt>
                <c:pt idx="67">
                  <c:v>36129</c:v>
                </c:pt>
                <c:pt idx="68">
                  <c:v>36122</c:v>
                </c:pt>
                <c:pt idx="69">
                  <c:v>36115</c:v>
                </c:pt>
                <c:pt idx="70">
                  <c:v>36108</c:v>
                </c:pt>
                <c:pt idx="71">
                  <c:v>36101</c:v>
                </c:pt>
                <c:pt idx="72">
                  <c:v>36094</c:v>
                </c:pt>
                <c:pt idx="73">
                  <c:v>36087</c:v>
                </c:pt>
                <c:pt idx="74">
                  <c:v>36080</c:v>
                </c:pt>
                <c:pt idx="75">
                  <c:v>36073</c:v>
                </c:pt>
                <c:pt idx="76">
                  <c:v>36066</c:v>
                </c:pt>
                <c:pt idx="77">
                  <c:v>36059</c:v>
                </c:pt>
                <c:pt idx="78">
                  <c:v>36052</c:v>
                </c:pt>
                <c:pt idx="79">
                  <c:v>36046</c:v>
                </c:pt>
                <c:pt idx="80">
                  <c:v>36038</c:v>
                </c:pt>
                <c:pt idx="81">
                  <c:v>36031</c:v>
                </c:pt>
                <c:pt idx="82">
                  <c:v>36024</c:v>
                </c:pt>
                <c:pt idx="83">
                  <c:v>36017</c:v>
                </c:pt>
                <c:pt idx="84">
                  <c:v>36010</c:v>
                </c:pt>
                <c:pt idx="85">
                  <c:v>36003</c:v>
                </c:pt>
                <c:pt idx="86">
                  <c:v>35996</c:v>
                </c:pt>
                <c:pt idx="87">
                  <c:v>35989</c:v>
                </c:pt>
                <c:pt idx="88">
                  <c:v>35982</c:v>
                </c:pt>
                <c:pt idx="89">
                  <c:v>35975</c:v>
                </c:pt>
                <c:pt idx="90">
                  <c:v>35968</c:v>
                </c:pt>
                <c:pt idx="91">
                  <c:v>35961</c:v>
                </c:pt>
                <c:pt idx="92">
                  <c:v>35954</c:v>
                </c:pt>
                <c:pt idx="93">
                  <c:v>35947</c:v>
                </c:pt>
                <c:pt idx="94">
                  <c:v>35941</c:v>
                </c:pt>
                <c:pt idx="95">
                  <c:v>35933</c:v>
                </c:pt>
                <c:pt idx="96">
                  <c:v>35926</c:v>
                </c:pt>
                <c:pt idx="97">
                  <c:v>35919</c:v>
                </c:pt>
                <c:pt idx="98">
                  <c:v>35912</c:v>
                </c:pt>
                <c:pt idx="99">
                  <c:v>35905</c:v>
                </c:pt>
                <c:pt idx="100">
                  <c:v>35898</c:v>
                </c:pt>
                <c:pt idx="101">
                  <c:v>35891</c:v>
                </c:pt>
                <c:pt idx="102">
                  <c:v>35884</c:v>
                </c:pt>
                <c:pt idx="103">
                  <c:v>35877</c:v>
                </c:pt>
                <c:pt idx="104">
                  <c:v>35870</c:v>
                </c:pt>
                <c:pt idx="105">
                  <c:v>35863</c:v>
                </c:pt>
                <c:pt idx="106">
                  <c:v>35856</c:v>
                </c:pt>
                <c:pt idx="107">
                  <c:v>35849</c:v>
                </c:pt>
                <c:pt idx="108">
                  <c:v>35843</c:v>
                </c:pt>
                <c:pt idx="109">
                  <c:v>35835</c:v>
                </c:pt>
                <c:pt idx="110">
                  <c:v>35828</c:v>
                </c:pt>
                <c:pt idx="111">
                  <c:v>35821</c:v>
                </c:pt>
                <c:pt idx="112">
                  <c:v>35815</c:v>
                </c:pt>
                <c:pt idx="113">
                  <c:v>35807</c:v>
                </c:pt>
                <c:pt idx="114">
                  <c:v>35800</c:v>
                </c:pt>
                <c:pt idx="115">
                  <c:v>35793</c:v>
                </c:pt>
                <c:pt idx="116">
                  <c:v>35786</c:v>
                </c:pt>
                <c:pt idx="117">
                  <c:v>35779</c:v>
                </c:pt>
                <c:pt idx="118">
                  <c:v>35772</c:v>
                </c:pt>
                <c:pt idx="119">
                  <c:v>35765</c:v>
                </c:pt>
                <c:pt idx="120">
                  <c:v>35758</c:v>
                </c:pt>
                <c:pt idx="121">
                  <c:v>35751</c:v>
                </c:pt>
                <c:pt idx="122">
                  <c:v>35744</c:v>
                </c:pt>
                <c:pt idx="123">
                  <c:v>35737</c:v>
                </c:pt>
                <c:pt idx="124">
                  <c:v>35730</c:v>
                </c:pt>
                <c:pt idx="125">
                  <c:v>35723</c:v>
                </c:pt>
                <c:pt idx="126">
                  <c:v>35716</c:v>
                </c:pt>
                <c:pt idx="127">
                  <c:v>35709</c:v>
                </c:pt>
                <c:pt idx="128">
                  <c:v>35702</c:v>
                </c:pt>
                <c:pt idx="129">
                  <c:v>35695</c:v>
                </c:pt>
                <c:pt idx="130">
                  <c:v>35688</c:v>
                </c:pt>
                <c:pt idx="131">
                  <c:v>35681</c:v>
                </c:pt>
                <c:pt idx="132">
                  <c:v>35675</c:v>
                </c:pt>
                <c:pt idx="133">
                  <c:v>35667</c:v>
                </c:pt>
                <c:pt idx="134">
                  <c:v>35660</c:v>
                </c:pt>
                <c:pt idx="135">
                  <c:v>35653</c:v>
                </c:pt>
                <c:pt idx="136">
                  <c:v>35646</c:v>
                </c:pt>
                <c:pt idx="137">
                  <c:v>35639</c:v>
                </c:pt>
                <c:pt idx="138">
                  <c:v>35632</c:v>
                </c:pt>
                <c:pt idx="139">
                  <c:v>35625</c:v>
                </c:pt>
                <c:pt idx="140">
                  <c:v>35618</c:v>
                </c:pt>
                <c:pt idx="141">
                  <c:v>35611</c:v>
                </c:pt>
                <c:pt idx="142">
                  <c:v>35604</c:v>
                </c:pt>
                <c:pt idx="143">
                  <c:v>35597</c:v>
                </c:pt>
                <c:pt idx="144">
                  <c:v>35590</c:v>
                </c:pt>
                <c:pt idx="145">
                  <c:v>35583</c:v>
                </c:pt>
                <c:pt idx="146">
                  <c:v>35577</c:v>
                </c:pt>
                <c:pt idx="147">
                  <c:v>35569</c:v>
                </c:pt>
                <c:pt idx="148">
                  <c:v>35562</c:v>
                </c:pt>
                <c:pt idx="149">
                  <c:v>35555</c:v>
                </c:pt>
                <c:pt idx="150">
                  <c:v>35548</c:v>
                </c:pt>
                <c:pt idx="151">
                  <c:v>35541</c:v>
                </c:pt>
                <c:pt idx="152">
                  <c:v>35534</c:v>
                </c:pt>
                <c:pt idx="153">
                  <c:v>35527</c:v>
                </c:pt>
                <c:pt idx="154">
                  <c:v>35520</c:v>
                </c:pt>
                <c:pt idx="155">
                  <c:v>35513</c:v>
                </c:pt>
                <c:pt idx="156">
                  <c:v>35506</c:v>
                </c:pt>
                <c:pt idx="157">
                  <c:v>35499</c:v>
                </c:pt>
                <c:pt idx="158">
                  <c:v>35492</c:v>
                </c:pt>
                <c:pt idx="159">
                  <c:v>35485</c:v>
                </c:pt>
                <c:pt idx="160">
                  <c:v>35479</c:v>
                </c:pt>
                <c:pt idx="161">
                  <c:v>35471</c:v>
                </c:pt>
                <c:pt idx="162">
                  <c:v>35464</c:v>
                </c:pt>
                <c:pt idx="163">
                  <c:v>35457</c:v>
                </c:pt>
                <c:pt idx="164">
                  <c:v>35450</c:v>
                </c:pt>
                <c:pt idx="165">
                  <c:v>35443</c:v>
                </c:pt>
                <c:pt idx="166">
                  <c:v>35436</c:v>
                </c:pt>
                <c:pt idx="167">
                  <c:v>35429</c:v>
                </c:pt>
                <c:pt idx="168">
                  <c:v>35422</c:v>
                </c:pt>
                <c:pt idx="169">
                  <c:v>35415</c:v>
                </c:pt>
                <c:pt idx="170">
                  <c:v>35408</c:v>
                </c:pt>
                <c:pt idx="171">
                  <c:v>35401</c:v>
                </c:pt>
                <c:pt idx="172">
                  <c:v>35394</c:v>
                </c:pt>
                <c:pt idx="173">
                  <c:v>35387</c:v>
                </c:pt>
                <c:pt idx="174">
                  <c:v>35380</c:v>
                </c:pt>
                <c:pt idx="175">
                  <c:v>35373</c:v>
                </c:pt>
                <c:pt idx="176">
                  <c:v>35366</c:v>
                </c:pt>
                <c:pt idx="177">
                  <c:v>35359</c:v>
                </c:pt>
                <c:pt idx="178">
                  <c:v>35352</c:v>
                </c:pt>
                <c:pt idx="179">
                  <c:v>35345</c:v>
                </c:pt>
                <c:pt idx="180">
                  <c:v>35338</c:v>
                </c:pt>
                <c:pt idx="181">
                  <c:v>35331</c:v>
                </c:pt>
                <c:pt idx="182">
                  <c:v>35324</c:v>
                </c:pt>
                <c:pt idx="183">
                  <c:v>35317</c:v>
                </c:pt>
                <c:pt idx="184">
                  <c:v>35311</c:v>
                </c:pt>
                <c:pt idx="185">
                  <c:v>35303</c:v>
                </c:pt>
                <c:pt idx="186">
                  <c:v>35296</c:v>
                </c:pt>
                <c:pt idx="187">
                  <c:v>35289</c:v>
                </c:pt>
                <c:pt idx="188">
                  <c:v>35282</c:v>
                </c:pt>
                <c:pt idx="189">
                  <c:v>35275</c:v>
                </c:pt>
                <c:pt idx="190">
                  <c:v>35268</c:v>
                </c:pt>
                <c:pt idx="191">
                  <c:v>35261</c:v>
                </c:pt>
                <c:pt idx="192">
                  <c:v>35254</c:v>
                </c:pt>
                <c:pt idx="193">
                  <c:v>35247</c:v>
                </c:pt>
                <c:pt idx="194">
                  <c:v>35240</c:v>
                </c:pt>
                <c:pt idx="195">
                  <c:v>35233</c:v>
                </c:pt>
                <c:pt idx="196">
                  <c:v>35226</c:v>
                </c:pt>
                <c:pt idx="197">
                  <c:v>35219</c:v>
                </c:pt>
                <c:pt idx="198">
                  <c:v>35213</c:v>
                </c:pt>
                <c:pt idx="199">
                  <c:v>35205</c:v>
                </c:pt>
                <c:pt idx="200">
                  <c:v>35198</c:v>
                </c:pt>
                <c:pt idx="201">
                  <c:v>35191</c:v>
                </c:pt>
                <c:pt idx="202">
                  <c:v>35184</c:v>
                </c:pt>
                <c:pt idx="203">
                  <c:v>35177</c:v>
                </c:pt>
                <c:pt idx="204">
                  <c:v>35170</c:v>
                </c:pt>
                <c:pt idx="205">
                  <c:v>35163</c:v>
                </c:pt>
                <c:pt idx="206">
                  <c:v>35156</c:v>
                </c:pt>
                <c:pt idx="207">
                  <c:v>35149</c:v>
                </c:pt>
                <c:pt idx="208">
                  <c:v>35142</c:v>
                </c:pt>
                <c:pt idx="209">
                  <c:v>35135</c:v>
                </c:pt>
                <c:pt idx="210">
                  <c:v>35128</c:v>
                </c:pt>
                <c:pt idx="211">
                  <c:v>35121</c:v>
                </c:pt>
                <c:pt idx="212">
                  <c:v>35115</c:v>
                </c:pt>
                <c:pt idx="213">
                  <c:v>35107</c:v>
                </c:pt>
                <c:pt idx="214">
                  <c:v>35100</c:v>
                </c:pt>
                <c:pt idx="215">
                  <c:v>35093</c:v>
                </c:pt>
                <c:pt idx="216">
                  <c:v>35086</c:v>
                </c:pt>
                <c:pt idx="217">
                  <c:v>35079</c:v>
                </c:pt>
                <c:pt idx="218">
                  <c:v>35073</c:v>
                </c:pt>
                <c:pt idx="219">
                  <c:v>35066</c:v>
                </c:pt>
                <c:pt idx="220">
                  <c:v>35059</c:v>
                </c:pt>
                <c:pt idx="221">
                  <c:v>35051</c:v>
                </c:pt>
                <c:pt idx="222">
                  <c:v>35044</c:v>
                </c:pt>
                <c:pt idx="223">
                  <c:v>35037</c:v>
                </c:pt>
                <c:pt idx="224">
                  <c:v>35030</c:v>
                </c:pt>
                <c:pt idx="225">
                  <c:v>35023</c:v>
                </c:pt>
                <c:pt idx="226">
                  <c:v>35016</c:v>
                </c:pt>
                <c:pt idx="227">
                  <c:v>35009</c:v>
                </c:pt>
                <c:pt idx="228">
                  <c:v>35002</c:v>
                </c:pt>
                <c:pt idx="229">
                  <c:v>34995</c:v>
                </c:pt>
                <c:pt idx="230">
                  <c:v>34988</c:v>
                </c:pt>
                <c:pt idx="231">
                  <c:v>34981</c:v>
                </c:pt>
                <c:pt idx="232">
                  <c:v>34974</c:v>
                </c:pt>
                <c:pt idx="233">
                  <c:v>34967</c:v>
                </c:pt>
                <c:pt idx="234">
                  <c:v>34960</c:v>
                </c:pt>
                <c:pt idx="235">
                  <c:v>34953</c:v>
                </c:pt>
                <c:pt idx="236">
                  <c:v>34947</c:v>
                </c:pt>
                <c:pt idx="237">
                  <c:v>34939</c:v>
                </c:pt>
                <c:pt idx="238">
                  <c:v>34932</c:v>
                </c:pt>
                <c:pt idx="239">
                  <c:v>34925</c:v>
                </c:pt>
                <c:pt idx="240">
                  <c:v>34918</c:v>
                </c:pt>
                <c:pt idx="241">
                  <c:v>34911</c:v>
                </c:pt>
                <c:pt idx="242">
                  <c:v>34904</c:v>
                </c:pt>
                <c:pt idx="243">
                  <c:v>34897</c:v>
                </c:pt>
                <c:pt idx="244">
                  <c:v>34890</c:v>
                </c:pt>
                <c:pt idx="245">
                  <c:v>34885</c:v>
                </c:pt>
                <c:pt idx="246">
                  <c:v>34876</c:v>
                </c:pt>
                <c:pt idx="247">
                  <c:v>34869</c:v>
                </c:pt>
                <c:pt idx="248">
                  <c:v>34862</c:v>
                </c:pt>
                <c:pt idx="249">
                  <c:v>34855</c:v>
                </c:pt>
                <c:pt idx="250">
                  <c:v>34849</c:v>
                </c:pt>
                <c:pt idx="251">
                  <c:v>34841</c:v>
                </c:pt>
                <c:pt idx="252">
                  <c:v>34834</c:v>
                </c:pt>
                <c:pt idx="253">
                  <c:v>34827</c:v>
                </c:pt>
                <c:pt idx="254">
                  <c:v>34820</c:v>
                </c:pt>
                <c:pt idx="255">
                  <c:v>34813</c:v>
                </c:pt>
                <c:pt idx="256">
                  <c:v>34806</c:v>
                </c:pt>
                <c:pt idx="257">
                  <c:v>34799</c:v>
                </c:pt>
                <c:pt idx="258">
                  <c:v>34792</c:v>
                </c:pt>
                <c:pt idx="259">
                  <c:v>34785</c:v>
                </c:pt>
              </c:numCache>
            </c:numRef>
          </c:cat>
          <c:val>
            <c:numRef>
              <c:f>'NG-Historicals - Current Mth'!$F$14:$F$313</c:f>
              <c:numCache>
                <c:formatCode>0.000</c:formatCode>
                <c:ptCount val="300"/>
                <c:pt idx="0">
                  <c:v>2.8450000000000002</c:v>
                </c:pt>
                <c:pt idx="1">
                  <c:v>2.774</c:v>
                </c:pt>
                <c:pt idx="2">
                  <c:v>2.8250000000000002</c:v>
                </c:pt>
                <c:pt idx="3">
                  <c:v>2.6030000000000002</c:v>
                </c:pt>
                <c:pt idx="4">
                  <c:v>2.633</c:v>
                </c:pt>
                <c:pt idx="5">
                  <c:v>2.57</c:v>
                </c:pt>
                <c:pt idx="6">
                  <c:v>2.742</c:v>
                </c:pt>
                <c:pt idx="7">
                  <c:v>2.532</c:v>
                </c:pt>
                <c:pt idx="8">
                  <c:v>2.4849999999999999</c:v>
                </c:pt>
                <c:pt idx="9">
                  <c:v>2.3220000000000001</c:v>
                </c:pt>
                <c:pt idx="10" formatCode="General">
                  <c:v>2.173</c:v>
                </c:pt>
                <c:pt idx="11" formatCode="General">
                  <c:v>2.3290000000000002</c:v>
                </c:pt>
                <c:pt idx="12" formatCode="General">
                  <c:v>2.399</c:v>
                </c:pt>
                <c:pt idx="13" formatCode="General">
                  <c:v>2.6549999999999998</c:v>
                </c:pt>
                <c:pt idx="14" formatCode="General">
                  <c:v>2.4460000000000002</c:v>
                </c:pt>
                <c:pt idx="15" formatCode="General">
                  <c:v>2.331</c:v>
                </c:pt>
                <c:pt idx="16" formatCode="General">
                  <c:v>2.12</c:v>
                </c:pt>
                <c:pt idx="17" formatCode="General">
                  <c:v>2.4340000000000002</c:v>
                </c:pt>
                <c:pt idx="18" formatCode="General">
                  <c:v>2.649</c:v>
                </c:pt>
                <c:pt idx="19" formatCode="General">
                  <c:v>2.8839999999999999</c:v>
                </c:pt>
                <c:pt idx="20" formatCode="General">
                  <c:v>2.9609999999999999</c:v>
                </c:pt>
                <c:pt idx="21" formatCode="General">
                  <c:v>3.0720000000000001</c:v>
                </c:pt>
                <c:pt idx="22" formatCode="General">
                  <c:v>2.9750000000000001</c:v>
                </c:pt>
                <c:pt idx="23" formatCode="General">
                  <c:v>2.6920000000000002</c:v>
                </c:pt>
                <c:pt idx="24" formatCode="General">
                  <c:v>2.7930000000000001</c:v>
                </c:pt>
                <c:pt idx="25" formatCode="General">
                  <c:v>2.63</c:v>
                </c:pt>
                <c:pt idx="26" formatCode="General">
                  <c:v>2.6080000000000001</c:v>
                </c:pt>
                <c:pt idx="27">
                  <c:v>2.8010000000000002</c:v>
                </c:pt>
                <c:pt idx="28">
                  <c:v>2.5609999999999999</c:v>
                </c:pt>
                <c:pt idx="29">
                  <c:v>2.9119999999999999</c:v>
                </c:pt>
                <c:pt idx="30">
                  <c:v>2.9380000000000002</c:v>
                </c:pt>
                <c:pt idx="31">
                  <c:v>2.7450000000000001</c:v>
                </c:pt>
                <c:pt idx="32">
                  <c:v>2.698</c:v>
                </c:pt>
                <c:pt idx="33">
                  <c:v>2.5430000000000001</c:v>
                </c:pt>
                <c:pt idx="34" formatCode="General">
                  <c:v>2.528</c:v>
                </c:pt>
                <c:pt idx="35" formatCode="General">
                  <c:v>2.1869999999999998</c:v>
                </c:pt>
                <c:pt idx="36" formatCode="General">
                  <c:v>2.1630000000000003</c:v>
                </c:pt>
                <c:pt idx="37" formatCode="General">
                  <c:v>2.2869999999999999</c:v>
                </c:pt>
                <c:pt idx="38" formatCode="General">
                  <c:v>2.258</c:v>
                </c:pt>
                <c:pt idx="39" formatCode="General">
                  <c:v>2.3079999999999998</c:v>
                </c:pt>
                <c:pt idx="40" formatCode="General">
                  <c:v>2.3780000000000001</c:v>
                </c:pt>
                <c:pt idx="41" formatCode="General">
                  <c:v>2.4369999999999998</c:v>
                </c:pt>
                <c:pt idx="42" formatCode="General">
                  <c:v>2.3580000000000001</c:v>
                </c:pt>
                <c:pt idx="43" formatCode="General">
                  <c:v>2.2250000000000001</c:v>
                </c:pt>
                <c:pt idx="44" formatCode="General">
                  <c:v>2.2880000000000003</c:v>
                </c:pt>
                <c:pt idx="45" formatCode="General">
                  <c:v>2.2730000000000001</c:v>
                </c:pt>
                <c:pt idx="46" formatCode="General">
                  <c:v>2.2530000000000001</c:v>
                </c:pt>
                <c:pt idx="47" formatCode="General">
                  <c:v>2.226</c:v>
                </c:pt>
                <c:pt idx="48" formatCode="General">
                  <c:v>2.1240000000000001</c:v>
                </c:pt>
                <c:pt idx="49" formatCode="General">
                  <c:v>2.0960000000000001</c:v>
                </c:pt>
                <c:pt idx="50" formatCode="General">
                  <c:v>2.0380000000000003</c:v>
                </c:pt>
                <c:pt idx="51" formatCode="General">
                  <c:v>1.8540000000000001</c:v>
                </c:pt>
                <c:pt idx="52" formatCode="General">
                  <c:v>1.6990000000000001</c:v>
                </c:pt>
                <c:pt idx="53" formatCode="General">
                  <c:v>1.7590000000000001</c:v>
                </c:pt>
                <c:pt idx="54" formatCode="General">
                  <c:v>1.853</c:v>
                </c:pt>
                <c:pt idx="55" formatCode="General">
                  <c:v>1.6280000000000001</c:v>
                </c:pt>
                <c:pt idx="56" formatCode="General">
                  <c:v>1.7450000000000001</c:v>
                </c:pt>
                <c:pt idx="57" formatCode="General">
                  <c:v>1.8069999999999999</c:v>
                </c:pt>
                <c:pt idx="58" formatCode="General">
                  <c:v>1.8</c:v>
                </c:pt>
                <c:pt idx="59" formatCode="General">
                  <c:v>1.7770000000000001</c:v>
                </c:pt>
                <c:pt idx="60" formatCode="General">
                  <c:v>1.778</c:v>
                </c:pt>
                <c:pt idx="61" formatCode="General">
                  <c:v>1.796</c:v>
                </c:pt>
                <c:pt idx="62" formatCode="General">
                  <c:v>1.83</c:v>
                </c:pt>
                <c:pt idx="63" formatCode="General">
                  <c:v>1.9450000000000001</c:v>
                </c:pt>
                <c:pt idx="64" formatCode="General">
                  <c:v>1.881</c:v>
                </c:pt>
                <c:pt idx="65" formatCode="General">
                  <c:v>2.0739999999999998</c:v>
                </c:pt>
                <c:pt idx="66" formatCode="General">
                  <c:v>1.8580000000000001</c:v>
                </c:pt>
                <c:pt idx="67" formatCode="General">
                  <c:v>1.978</c:v>
                </c:pt>
                <c:pt idx="68" formatCode="General">
                  <c:v>2.1960000000000002</c:v>
                </c:pt>
                <c:pt idx="69" formatCode="General">
                  <c:v>2.1630000000000003</c:v>
                </c:pt>
                <c:pt idx="70" formatCode="General">
                  <c:v>2.4590000000000001</c:v>
                </c:pt>
                <c:pt idx="71" formatCode="General">
                  <c:v>2.5529999999999999</c:v>
                </c:pt>
                <c:pt idx="72" formatCode="General">
                  <c:v>2.2749999999999999</c:v>
                </c:pt>
                <c:pt idx="73" formatCode="General">
                  <c:v>2.1640000000000001</c:v>
                </c:pt>
                <c:pt idx="74" formatCode="General">
                  <c:v>2.109</c:v>
                </c:pt>
                <c:pt idx="75" formatCode="General">
                  <c:v>2.1909999999999998</c:v>
                </c:pt>
                <c:pt idx="76" formatCode="General">
                  <c:v>2.4319999999999999</c:v>
                </c:pt>
                <c:pt idx="77" formatCode="General">
                  <c:v>2.181</c:v>
                </c:pt>
                <c:pt idx="78" formatCode="General">
                  <c:v>2.2599999999999998</c:v>
                </c:pt>
                <c:pt idx="79" formatCode="General">
                  <c:v>1.8780000000000001</c:v>
                </c:pt>
                <c:pt idx="80" formatCode="General">
                  <c:v>1.7830000000000001</c:v>
                </c:pt>
                <c:pt idx="81" formatCode="General">
                  <c:v>1.6640000000000001</c:v>
                </c:pt>
                <c:pt idx="82" formatCode="General">
                  <c:v>1.9470000000000001</c:v>
                </c:pt>
                <c:pt idx="83" formatCode="General">
                  <c:v>1.877</c:v>
                </c:pt>
                <c:pt idx="84" formatCode="General">
                  <c:v>1.833</c:v>
                </c:pt>
                <c:pt idx="85" formatCode="General">
                  <c:v>1.8440000000000001</c:v>
                </c:pt>
                <c:pt idx="86" formatCode="General">
                  <c:v>2.0310000000000001</c:v>
                </c:pt>
                <c:pt idx="87" formatCode="General">
                  <c:v>2.165</c:v>
                </c:pt>
                <c:pt idx="88" formatCode="General">
                  <c:v>2.3090000000000002</c:v>
                </c:pt>
                <c:pt idx="89" formatCode="General">
                  <c:v>2.4390000000000001</c:v>
                </c:pt>
                <c:pt idx="90" formatCode="General">
                  <c:v>2.3580000000000001</c:v>
                </c:pt>
                <c:pt idx="91" formatCode="General">
                  <c:v>2.2840000000000003</c:v>
                </c:pt>
                <c:pt idx="92" formatCode="General">
                  <c:v>2.0350000000000001</c:v>
                </c:pt>
                <c:pt idx="93" formatCode="General">
                  <c:v>2.0270000000000001</c:v>
                </c:pt>
                <c:pt idx="94" formatCode="General">
                  <c:v>2.17</c:v>
                </c:pt>
                <c:pt idx="95" formatCode="General">
                  <c:v>2.0939999999999999</c:v>
                </c:pt>
                <c:pt idx="96" formatCode="General">
                  <c:v>2.1779999999999999</c:v>
                </c:pt>
                <c:pt idx="97" formatCode="General">
                  <c:v>2.1670000000000003</c:v>
                </c:pt>
                <c:pt idx="98" formatCode="General">
                  <c:v>2.202</c:v>
                </c:pt>
                <c:pt idx="99" formatCode="General">
                  <c:v>2.3420000000000001</c:v>
                </c:pt>
                <c:pt idx="100" formatCode="General">
                  <c:v>2.4750000000000001</c:v>
                </c:pt>
                <c:pt idx="101" formatCode="General">
                  <c:v>2.657</c:v>
                </c:pt>
                <c:pt idx="102" formatCode="General">
                  <c:v>2.556</c:v>
                </c:pt>
                <c:pt idx="103" formatCode="General">
                  <c:v>2.2999999999999998</c:v>
                </c:pt>
                <c:pt idx="104" formatCode="General">
                  <c:v>2.343</c:v>
                </c:pt>
                <c:pt idx="105" formatCode="General">
                  <c:v>2.137</c:v>
                </c:pt>
                <c:pt idx="106" formatCode="General">
                  <c:v>2.129</c:v>
                </c:pt>
                <c:pt idx="107" formatCode="General">
                  <c:v>2.3210000000000002</c:v>
                </c:pt>
                <c:pt idx="108" formatCode="General">
                  <c:v>2.198</c:v>
                </c:pt>
                <c:pt idx="109" formatCode="General">
                  <c:v>2.2080000000000002</c:v>
                </c:pt>
                <c:pt idx="110" formatCode="General">
                  <c:v>2.359</c:v>
                </c:pt>
                <c:pt idx="111" formatCode="General">
                  <c:v>2.2570000000000001</c:v>
                </c:pt>
                <c:pt idx="112" formatCode="General">
                  <c:v>2.117</c:v>
                </c:pt>
                <c:pt idx="113" formatCode="General">
                  <c:v>2.1760000000000002</c:v>
                </c:pt>
                <c:pt idx="114" formatCode="General">
                  <c:v>2.0460000000000003</c:v>
                </c:pt>
                <c:pt idx="115" formatCode="General">
                  <c:v>2.153</c:v>
                </c:pt>
                <c:pt idx="116" formatCode="General">
                  <c:v>2.2520000000000002</c:v>
                </c:pt>
                <c:pt idx="117" formatCode="General">
                  <c:v>2.4710000000000001</c:v>
                </c:pt>
                <c:pt idx="118" formatCode="General">
                  <c:v>2.3570000000000002</c:v>
                </c:pt>
                <c:pt idx="119" formatCode="General">
                  <c:v>2.4529999999999998</c:v>
                </c:pt>
                <c:pt idx="120" formatCode="General">
                  <c:v>2.5779999999999998</c:v>
                </c:pt>
                <c:pt idx="121" formatCode="General">
                  <c:v>2.762</c:v>
                </c:pt>
                <c:pt idx="122" formatCode="General">
                  <c:v>3.0289999999999999</c:v>
                </c:pt>
                <c:pt idx="123" formatCode="General">
                  <c:v>3.2560000000000002</c:v>
                </c:pt>
                <c:pt idx="124" formatCode="General">
                  <c:v>3.552</c:v>
                </c:pt>
                <c:pt idx="125" formatCode="General">
                  <c:v>3.548</c:v>
                </c:pt>
                <c:pt idx="126" formatCode="General">
                  <c:v>3.2880000000000003</c:v>
                </c:pt>
                <c:pt idx="127" formatCode="General">
                  <c:v>3.0819999999999999</c:v>
                </c:pt>
                <c:pt idx="128" formatCode="General">
                  <c:v>3.125</c:v>
                </c:pt>
                <c:pt idx="129" formatCode="General">
                  <c:v>3.3460000000000001</c:v>
                </c:pt>
                <c:pt idx="130" formatCode="General">
                  <c:v>2.8370000000000002</c:v>
                </c:pt>
                <c:pt idx="131" formatCode="General">
                  <c:v>2.7949999999999999</c:v>
                </c:pt>
                <c:pt idx="132" formatCode="General">
                  <c:v>2.6970000000000001</c:v>
                </c:pt>
                <c:pt idx="133" formatCode="General">
                  <c:v>2.714</c:v>
                </c:pt>
                <c:pt idx="134" formatCode="General">
                  <c:v>2.4529999999999998</c:v>
                </c:pt>
                <c:pt idx="135" formatCode="General">
                  <c:v>2.4319999999999999</c:v>
                </c:pt>
                <c:pt idx="136" formatCode="General">
                  <c:v>2.5030000000000001</c:v>
                </c:pt>
                <c:pt idx="137" formatCode="General">
                  <c:v>2.2389999999999999</c:v>
                </c:pt>
                <c:pt idx="138" formatCode="General">
                  <c:v>2.1459999999999999</c:v>
                </c:pt>
                <c:pt idx="139" formatCode="General">
                  <c:v>2.1680000000000001</c:v>
                </c:pt>
                <c:pt idx="140" formatCode="General">
                  <c:v>2.0939999999999999</c:v>
                </c:pt>
                <c:pt idx="141" formatCode="General">
                  <c:v>2.1030000000000002</c:v>
                </c:pt>
                <c:pt idx="142" formatCode="General">
                  <c:v>2.1390000000000002</c:v>
                </c:pt>
                <c:pt idx="143" formatCode="General">
                  <c:v>2.2349999999999999</c:v>
                </c:pt>
                <c:pt idx="144" formatCode="General">
                  <c:v>2.149</c:v>
                </c:pt>
                <c:pt idx="145" formatCode="General">
                  <c:v>2.1880000000000002</c:v>
                </c:pt>
                <c:pt idx="146" formatCode="General">
                  <c:v>2.2389999999999999</c:v>
                </c:pt>
                <c:pt idx="147" formatCode="General">
                  <c:v>2.2850000000000001</c:v>
                </c:pt>
                <c:pt idx="148" formatCode="General">
                  <c:v>2.2490000000000001</c:v>
                </c:pt>
                <c:pt idx="149" formatCode="General">
                  <c:v>2.242</c:v>
                </c:pt>
                <c:pt idx="150" formatCode="General">
                  <c:v>2.2669999999999999</c:v>
                </c:pt>
                <c:pt idx="151" formatCode="General">
                  <c:v>2.1259999999999999</c:v>
                </c:pt>
                <c:pt idx="152" formatCode="General">
                  <c:v>2.081</c:v>
                </c:pt>
                <c:pt idx="153" formatCode="General">
                  <c:v>1.9330000000000001</c:v>
                </c:pt>
                <c:pt idx="154" formatCode="General">
                  <c:v>1.9419999999999999</c:v>
                </c:pt>
                <c:pt idx="155" formatCode="General">
                  <c:v>1.9279999999999999</c:v>
                </c:pt>
                <c:pt idx="156" formatCode="General">
                  <c:v>1.84</c:v>
                </c:pt>
                <c:pt idx="157" formatCode="General">
                  <c:v>1.96</c:v>
                </c:pt>
                <c:pt idx="158" formatCode="General">
                  <c:v>1.9470000000000001</c:v>
                </c:pt>
                <c:pt idx="159" formatCode="General">
                  <c:v>1.821</c:v>
                </c:pt>
                <c:pt idx="160" formatCode="General">
                  <c:v>1.9359999999999999</c:v>
                </c:pt>
                <c:pt idx="161" formatCode="General">
                  <c:v>1.966</c:v>
                </c:pt>
                <c:pt idx="162" formatCode="0.0">
                  <c:v>2.1819999999999999</c:v>
                </c:pt>
                <c:pt idx="163" formatCode="0.0">
                  <c:v>2.3849999999999998</c:v>
                </c:pt>
                <c:pt idx="164" formatCode="0.0">
                  <c:v>2.8239999999999998</c:v>
                </c:pt>
                <c:pt idx="165" formatCode="0.0">
                  <c:v>3.2570000000000001</c:v>
                </c:pt>
                <c:pt idx="166" formatCode="0.0">
                  <c:v>3.3160000000000003</c:v>
                </c:pt>
                <c:pt idx="167" formatCode="0.0">
                  <c:v>3.1059999999999999</c:v>
                </c:pt>
                <c:pt idx="168" formatCode="0.0">
                  <c:v>2.984</c:v>
                </c:pt>
                <c:pt idx="169" formatCode="0.0">
                  <c:v>4.5730000000000004</c:v>
                </c:pt>
                <c:pt idx="170" formatCode="0.0">
                  <c:v>3.851</c:v>
                </c:pt>
                <c:pt idx="171" formatCode="0.0">
                  <c:v>3.4870000000000001</c:v>
                </c:pt>
                <c:pt idx="172" formatCode="0.0">
                  <c:v>3.4969999999999999</c:v>
                </c:pt>
                <c:pt idx="173" formatCode="0.0">
                  <c:v>3.4370000000000003</c:v>
                </c:pt>
                <c:pt idx="174" formatCode="0.0">
                  <c:v>2.9079999999999999</c:v>
                </c:pt>
                <c:pt idx="175" formatCode="General">
                  <c:v>2.669</c:v>
                </c:pt>
                <c:pt idx="176" formatCode="General">
                  <c:v>2.6619999999999999</c:v>
                </c:pt>
                <c:pt idx="177" formatCode="General">
                  <c:v>2.6520000000000001</c:v>
                </c:pt>
                <c:pt idx="178" formatCode="0.0">
                  <c:v>2.4</c:v>
                </c:pt>
                <c:pt idx="179" formatCode="0.0">
                  <c:v>2.347</c:v>
                </c:pt>
                <c:pt idx="180" formatCode="0.0">
                  <c:v>2.3959999999999999</c:v>
                </c:pt>
                <c:pt idx="181" formatCode="0.0">
                  <c:v>2.181</c:v>
                </c:pt>
                <c:pt idx="182" formatCode="0.0">
                  <c:v>1.9650000000000001</c:v>
                </c:pt>
                <c:pt idx="183" formatCode="0.0">
                  <c:v>1.8640000000000001</c:v>
                </c:pt>
                <c:pt idx="184" formatCode="0.0">
                  <c:v>1.863</c:v>
                </c:pt>
                <c:pt idx="185" formatCode="0.0">
                  <c:v>1.859</c:v>
                </c:pt>
                <c:pt idx="186" formatCode="0.0">
                  <c:v>1.95</c:v>
                </c:pt>
                <c:pt idx="187" formatCode="0.0">
                  <c:v>2.14</c:v>
                </c:pt>
                <c:pt idx="188" formatCode="0.0">
                  <c:v>2.1030000000000002</c:v>
                </c:pt>
                <c:pt idx="189" formatCode="0.0">
                  <c:v>2.3149999999999999</c:v>
                </c:pt>
                <c:pt idx="190" formatCode="0.0">
                  <c:v>2.1920000000000002</c:v>
                </c:pt>
                <c:pt idx="191" formatCode="0.0">
                  <c:v>2.359</c:v>
                </c:pt>
                <c:pt idx="192" formatCode="0.0">
                  <c:v>2.7610000000000001</c:v>
                </c:pt>
                <c:pt idx="193" formatCode="General">
                  <c:v>2.8410000000000002</c:v>
                </c:pt>
                <c:pt idx="194" formatCode="0.0">
                  <c:v>2.911</c:v>
                </c:pt>
                <c:pt idx="195" formatCode="0.0">
                  <c:v>2.64</c:v>
                </c:pt>
                <c:pt idx="196" formatCode="0.0">
                  <c:v>2.5089999999999999</c:v>
                </c:pt>
                <c:pt idx="197" formatCode="0.00">
                  <c:v>2.395</c:v>
                </c:pt>
                <c:pt idx="198" formatCode="0.00">
                  <c:v>2.4060000000000001</c:v>
                </c:pt>
                <c:pt idx="199" formatCode="0.00">
                  <c:v>2.3610000000000002</c:v>
                </c:pt>
                <c:pt idx="200" formatCode="0.00">
                  <c:v>2.2840000000000003</c:v>
                </c:pt>
                <c:pt idx="201" formatCode="0.00">
                  <c:v>2.2040000000000002</c:v>
                </c:pt>
                <c:pt idx="202" formatCode="0.00">
                  <c:v>2.1310000000000002</c:v>
                </c:pt>
                <c:pt idx="203" formatCode="0.00">
                  <c:v>2.2069999999999999</c:v>
                </c:pt>
                <c:pt idx="204" formatCode="0.00">
                  <c:v>2.3610000000000002</c:v>
                </c:pt>
                <c:pt idx="205" formatCode="0.00">
                  <c:v>2.411</c:v>
                </c:pt>
                <c:pt idx="206" formatCode="0.00">
                  <c:v>2.335</c:v>
                </c:pt>
                <c:pt idx="207" formatCode="0.00">
                  <c:v>2.3359999999999999</c:v>
                </c:pt>
                <c:pt idx="208" formatCode="0.00">
                  <c:v>2.863</c:v>
                </c:pt>
                <c:pt idx="209" formatCode="0.00">
                  <c:v>2.3330000000000002</c:v>
                </c:pt>
                <c:pt idx="210" formatCode="0.00">
                  <c:v>2.0950000000000002</c:v>
                </c:pt>
                <c:pt idx="211" formatCode="0.00">
                  <c:v>2.1560000000000001</c:v>
                </c:pt>
                <c:pt idx="212" formatCode="0.00">
                  <c:v>2.746</c:v>
                </c:pt>
                <c:pt idx="213" formatCode="0.00">
                  <c:v>2.4409999999999998</c:v>
                </c:pt>
                <c:pt idx="214" formatCode="0.00">
                  <c:v>2.5510000000000002</c:v>
                </c:pt>
                <c:pt idx="215" formatCode="0.00">
                  <c:v>2.4670000000000001</c:v>
                </c:pt>
                <c:pt idx="216" formatCode="0.00">
                  <c:v>2.1259999999999999</c:v>
                </c:pt>
                <c:pt idx="217" formatCode="0.00">
                  <c:v>2.1680000000000001</c:v>
                </c:pt>
                <c:pt idx="218" formatCode="0.00">
                  <c:v>2.3170000000000002</c:v>
                </c:pt>
                <c:pt idx="219" formatCode="0.00">
                  <c:v>2.9159999999999999</c:v>
                </c:pt>
                <c:pt idx="220" formatCode="0.00">
                  <c:v>2.6190000000000002</c:v>
                </c:pt>
                <c:pt idx="221" formatCode="0.00">
                  <c:v>2.3679999999999999</c:v>
                </c:pt>
                <c:pt idx="222" formatCode="0.00">
                  <c:v>2.3639999999999999</c:v>
                </c:pt>
                <c:pt idx="223" formatCode="0.00">
                  <c:v>2.2160000000000002</c:v>
                </c:pt>
                <c:pt idx="224" formatCode="0.00">
                  <c:v>2.069</c:v>
                </c:pt>
                <c:pt idx="225" formatCode="0.00">
                  <c:v>2.113</c:v>
                </c:pt>
                <c:pt idx="226" formatCode="0.00">
                  <c:v>2.024</c:v>
                </c:pt>
                <c:pt idx="227" formatCode="0.00">
                  <c:v>1.901</c:v>
                </c:pt>
                <c:pt idx="228" formatCode="0.00">
                  <c:v>1.833</c:v>
                </c:pt>
                <c:pt idx="229" formatCode="0.00">
                  <c:v>1.839</c:v>
                </c:pt>
                <c:pt idx="230" formatCode="0.00">
                  <c:v>1.754</c:v>
                </c:pt>
                <c:pt idx="231" formatCode="0.00">
                  <c:v>1.75</c:v>
                </c:pt>
                <c:pt idx="232" formatCode="0.00">
                  <c:v>1.802</c:v>
                </c:pt>
                <c:pt idx="233" formatCode="0.00">
                  <c:v>1.75</c:v>
                </c:pt>
                <c:pt idx="234" formatCode="0.00">
                  <c:v>1.6440000000000001</c:v>
                </c:pt>
                <c:pt idx="235" formatCode="0.00">
                  <c:v>1.6580000000000001</c:v>
                </c:pt>
                <c:pt idx="236" formatCode="0.00">
                  <c:v>1.6420000000000001</c:v>
                </c:pt>
                <c:pt idx="237" formatCode="0.00">
                  <c:v>1.74</c:v>
                </c:pt>
                <c:pt idx="238" formatCode="0.00">
                  <c:v>1.694</c:v>
                </c:pt>
                <c:pt idx="239" formatCode="0.00">
                  <c:v>1.577</c:v>
                </c:pt>
                <c:pt idx="240" formatCode="0.00">
                  <c:v>1.5030000000000001</c:v>
                </c:pt>
                <c:pt idx="241" formatCode="0.00">
                  <c:v>1.456</c:v>
                </c:pt>
                <c:pt idx="242" formatCode="0.00">
                  <c:v>1.5230000000000001</c:v>
                </c:pt>
                <c:pt idx="243" formatCode="0.00">
                  <c:v>1.4379999999999999</c:v>
                </c:pt>
                <c:pt idx="244" formatCode="0.00">
                  <c:v>1.512</c:v>
                </c:pt>
                <c:pt idx="245" formatCode="0.00">
                  <c:v>1.5</c:v>
                </c:pt>
                <c:pt idx="246" formatCode="0.00">
                  <c:v>1.53</c:v>
                </c:pt>
                <c:pt idx="247" formatCode="0.00">
                  <c:v>1.532</c:v>
                </c:pt>
                <c:pt idx="248" formatCode="0.00">
                  <c:v>1.6280000000000001</c:v>
                </c:pt>
                <c:pt idx="249" formatCode="0.00">
                  <c:v>1.704</c:v>
                </c:pt>
                <c:pt idx="250" formatCode="0.00">
                  <c:v>1.6879999999999999</c:v>
                </c:pt>
                <c:pt idx="251" formatCode="0.00">
                  <c:v>1.7690000000000001</c:v>
                </c:pt>
                <c:pt idx="252" formatCode="0.00">
                  <c:v>1.7410000000000001</c:v>
                </c:pt>
                <c:pt idx="253" formatCode="0.00">
                  <c:v>1.6620000000000001</c:v>
                </c:pt>
                <c:pt idx="254" formatCode="0.00">
                  <c:v>1.651</c:v>
                </c:pt>
                <c:pt idx="255" formatCode="0.00">
                  <c:v>1.6620000000000001</c:v>
                </c:pt>
                <c:pt idx="256" formatCode="0.00">
                  <c:v>1.6719999999999999</c:v>
                </c:pt>
                <c:pt idx="257" formatCode="0.00">
                  <c:v>1.619</c:v>
                </c:pt>
                <c:pt idx="258" formatCode="0.00">
                  <c:v>1.623</c:v>
                </c:pt>
                <c:pt idx="259" formatCode="0.00">
                  <c:v>1.6850000000000001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F-444F-8881-769A40A5B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98656"/>
        <c:axId val="1"/>
      </c:lineChart>
      <c:dateAx>
        <c:axId val="1521986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1"/>
        <c:scaling>
          <c:orientation val="minMax"/>
          <c:min val="1.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198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142927609207003"/>
          <c:y val="2.0804452369520124E-2"/>
          <c:w val="0.12551039168684983"/>
          <c:h val="4.993068568684828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Other Months Closing Price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9-420E-97D6-6AA16188FC61}"/>
            </c:ext>
          </c:extLst>
        </c:ser>
        <c:ser>
          <c:idx val="1"/>
          <c:order val="1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9-420E-97D6-6AA16188FC61}"/>
            </c:ext>
          </c:extLst>
        </c:ser>
        <c:ser>
          <c:idx val="2"/>
          <c:order val="2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19-420E-97D6-6AA16188FC61}"/>
            </c:ext>
          </c:extLst>
        </c:ser>
        <c:ser>
          <c:idx val="3"/>
          <c:order val="3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19-420E-97D6-6AA16188FC61}"/>
            </c:ext>
          </c:extLst>
        </c:ser>
        <c:ser>
          <c:idx val="7"/>
          <c:order val="4"/>
          <c:tx>
            <c:strRef>
              <c:f>'NG-Historicals - Current Mth'!$B$12</c:f>
              <c:strCache>
                <c:ptCount val="1"/>
                <c:pt idx="0">
                  <c:v>Oct-01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'NG-Historicals - Current Mth'!$F$14:$F$63</c:f>
              <c:numCache>
                <c:formatCode>0.000</c:formatCode>
                <c:ptCount val="50"/>
                <c:pt idx="0">
                  <c:v>2.8450000000000002</c:v>
                </c:pt>
                <c:pt idx="1">
                  <c:v>2.774</c:v>
                </c:pt>
                <c:pt idx="2">
                  <c:v>2.8250000000000002</c:v>
                </c:pt>
                <c:pt idx="3">
                  <c:v>2.6030000000000002</c:v>
                </c:pt>
                <c:pt idx="4">
                  <c:v>2.633</c:v>
                </c:pt>
                <c:pt idx="5">
                  <c:v>2.57</c:v>
                </c:pt>
                <c:pt idx="6">
                  <c:v>2.742</c:v>
                </c:pt>
                <c:pt idx="7">
                  <c:v>2.532</c:v>
                </c:pt>
                <c:pt idx="8">
                  <c:v>2.4849999999999999</c:v>
                </c:pt>
                <c:pt idx="9">
                  <c:v>2.3220000000000001</c:v>
                </c:pt>
                <c:pt idx="10" formatCode="General">
                  <c:v>2.173</c:v>
                </c:pt>
                <c:pt idx="11" formatCode="General">
                  <c:v>2.3290000000000002</c:v>
                </c:pt>
                <c:pt idx="12" formatCode="General">
                  <c:v>2.399</c:v>
                </c:pt>
                <c:pt idx="13" formatCode="General">
                  <c:v>2.6549999999999998</c:v>
                </c:pt>
                <c:pt idx="14" formatCode="General">
                  <c:v>2.4460000000000002</c:v>
                </c:pt>
                <c:pt idx="15" formatCode="General">
                  <c:v>2.331</c:v>
                </c:pt>
                <c:pt idx="16" formatCode="General">
                  <c:v>2.12</c:v>
                </c:pt>
                <c:pt idx="17" formatCode="General">
                  <c:v>2.4340000000000002</c:v>
                </c:pt>
                <c:pt idx="18" formatCode="General">
                  <c:v>2.649</c:v>
                </c:pt>
                <c:pt idx="19" formatCode="General">
                  <c:v>2.8839999999999999</c:v>
                </c:pt>
                <c:pt idx="20" formatCode="General">
                  <c:v>2.9609999999999999</c:v>
                </c:pt>
                <c:pt idx="21" formatCode="General">
                  <c:v>3.0720000000000001</c:v>
                </c:pt>
                <c:pt idx="22" formatCode="General">
                  <c:v>2.9750000000000001</c:v>
                </c:pt>
                <c:pt idx="23" formatCode="General">
                  <c:v>2.6920000000000002</c:v>
                </c:pt>
                <c:pt idx="24" formatCode="General">
                  <c:v>2.7930000000000001</c:v>
                </c:pt>
                <c:pt idx="25" formatCode="General">
                  <c:v>2.63</c:v>
                </c:pt>
                <c:pt idx="26" formatCode="General">
                  <c:v>2.6080000000000001</c:v>
                </c:pt>
                <c:pt idx="27">
                  <c:v>2.8010000000000002</c:v>
                </c:pt>
                <c:pt idx="28">
                  <c:v>2.5609999999999999</c:v>
                </c:pt>
                <c:pt idx="29">
                  <c:v>2.9119999999999999</c:v>
                </c:pt>
                <c:pt idx="30">
                  <c:v>2.9380000000000002</c:v>
                </c:pt>
                <c:pt idx="31">
                  <c:v>2.7450000000000001</c:v>
                </c:pt>
                <c:pt idx="32">
                  <c:v>2.698</c:v>
                </c:pt>
                <c:pt idx="33">
                  <c:v>2.5430000000000001</c:v>
                </c:pt>
                <c:pt idx="34" formatCode="General">
                  <c:v>2.528</c:v>
                </c:pt>
                <c:pt idx="35" formatCode="General">
                  <c:v>2.1869999999999998</c:v>
                </c:pt>
                <c:pt idx="36" formatCode="General">
                  <c:v>2.1630000000000003</c:v>
                </c:pt>
                <c:pt idx="37" formatCode="General">
                  <c:v>2.2869999999999999</c:v>
                </c:pt>
                <c:pt idx="38" formatCode="General">
                  <c:v>2.258</c:v>
                </c:pt>
                <c:pt idx="39" formatCode="General">
                  <c:v>2.3079999999999998</c:v>
                </c:pt>
                <c:pt idx="40" formatCode="General">
                  <c:v>2.3780000000000001</c:v>
                </c:pt>
                <c:pt idx="41" formatCode="General">
                  <c:v>2.4369999999999998</c:v>
                </c:pt>
                <c:pt idx="42" formatCode="General">
                  <c:v>2.3580000000000001</c:v>
                </c:pt>
                <c:pt idx="43" formatCode="General">
                  <c:v>2.2250000000000001</c:v>
                </c:pt>
                <c:pt idx="44" formatCode="General">
                  <c:v>2.2880000000000003</c:v>
                </c:pt>
                <c:pt idx="45" formatCode="General">
                  <c:v>2.2730000000000001</c:v>
                </c:pt>
                <c:pt idx="46" formatCode="General">
                  <c:v>2.2530000000000001</c:v>
                </c:pt>
                <c:pt idx="47" formatCode="General">
                  <c:v>2.226</c:v>
                </c:pt>
                <c:pt idx="48" formatCode="General">
                  <c:v>2.1240000000000001</c:v>
                </c:pt>
                <c:pt idx="49" formatCode="General">
                  <c:v>2.0960000000000001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19-420E-97D6-6AA16188F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95048"/>
        <c:axId val="1"/>
      </c:lineChart>
      <c:catAx>
        <c:axId val="1521950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3.25"/>
          <c:min val="1.7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1950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" defaultRowHeight="5.4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10</xdr:row>
      <xdr:rowOff>7620</xdr:rowOff>
    </xdr:from>
    <xdr:to>
      <xdr:col>21</xdr:col>
      <xdr:colOff>129540</xdr:colOff>
      <xdr:row>35</xdr:row>
      <xdr:rowOff>83820</xdr:rowOff>
    </xdr:to>
    <xdr:graphicFrame macro="">
      <xdr:nvGraphicFramePr>
        <xdr:cNvPr id="1024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30480</xdr:colOff>
          <xdr:row>2</xdr:row>
          <xdr:rowOff>182880</xdr:rowOff>
        </xdr:from>
        <xdr:to>
          <xdr:col>23</xdr:col>
          <xdr:colOff>518160</xdr:colOff>
          <xdr:row>4</xdr:row>
          <xdr:rowOff>7620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MIDS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144780</xdr:colOff>
      <xdr:row>34</xdr:row>
      <xdr:rowOff>220980</xdr:rowOff>
    </xdr:from>
    <xdr:to>
      <xdr:col>23</xdr:col>
      <xdr:colOff>160020</xdr:colOff>
      <xdr:row>45</xdr:row>
      <xdr:rowOff>38100</xdr:rowOff>
    </xdr:to>
    <xdr:graphicFrame macro="">
      <xdr:nvGraphicFramePr>
        <xdr:cNvPr id="1024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251460</xdr:colOff>
      <xdr:row>7</xdr:row>
      <xdr:rowOff>38100</xdr:rowOff>
    </xdr:from>
    <xdr:to>
      <xdr:col>17</xdr:col>
      <xdr:colOff>205740</xdr:colOff>
      <xdr:row>28</xdr:row>
      <xdr:rowOff>121920</xdr:rowOff>
    </xdr:to>
    <xdr:graphicFrame macro="">
      <xdr:nvGraphicFramePr>
        <xdr:cNvPr id="1126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9</xdr:row>
      <xdr:rowOff>0</xdr:rowOff>
    </xdr:from>
    <xdr:to>
      <xdr:col>19</xdr:col>
      <xdr:colOff>800100</xdr:colOff>
      <xdr:row>40</xdr:row>
      <xdr:rowOff>121920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28</xdr:row>
      <xdr:rowOff>129540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38100</xdr:rowOff>
    </xdr:from>
    <xdr:to>
      <xdr:col>8</xdr:col>
      <xdr:colOff>594360</xdr:colOff>
      <xdr:row>71</xdr:row>
      <xdr:rowOff>121920</xdr:rowOff>
    </xdr:to>
    <xdr:sp macro="" textlink="">
      <xdr:nvSpPr>
        <xdr:cNvPr id="6145" name="Text 1"/>
        <xdr:cNvSpPr txBox="1">
          <a:spLocks noChangeArrowheads="1"/>
        </xdr:cNvSpPr>
      </xdr:nvSpPr>
      <xdr:spPr bwMode="auto">
        <a:xfrm>
          <a:off x="45720" y="38100"/>
          <a:ext cx="542544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format of the request to CQGFW for getting bars is: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DDETopic: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BARS_OF_&lt;expression&gt;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&lt;expression&gt; = &lt;symbol&gt;[,&lt;historicalType&gt;]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&lt;symbol&gt;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is either: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a simple contract name ( DJI ); or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a study - eg. Tick(DJI) - see the study.xls for details;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&lt;historicalType&gt;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is one of the following: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BY_CONTRACT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STANDARD_CONTINUATION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STANDARD_CONTINUATION_BY_MONTH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ACTIVE_CONTINUATION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e.g.  BARS_OF_SPU,BY_CONTRACT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DDEItem: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'T,BARS=&lt;num bars&gt;,PER=&lt;period&gt;, [&lt;holidays&gt;,][&lt;sessions&gt;,]&lt;label&gt;[,&lt;label&gt;][…]'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Parameters enclosed in square braces [] are optional.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&lt;period&gt;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one of: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minutes described by an integer between 1 and 120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DAILY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WEEKLY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MONTHLY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QUARTERLY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SEMI_ANNUAL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YEARLY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&lt;num bars&gt;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a positive integer with a maximum of 300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The data shall always start with the most recent bar.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&lt;holidays&gt;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optionally  HOLIDAYS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The default is No Holidays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&lt;sessions&gt;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 optionally ALLSESSIONS or PRIMARY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The default is All Session.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&lt;label&gt;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is one or more of: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BARS      (gives OPEN, HIGH, LOW, LAST)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BARSVOI ( gives BARS + VOLUME + OPEN_INTEREST)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OPEN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HIGH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LOW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CLOSE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VOLUME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OPEN_INTEREST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MID_POINT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HLC3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ourier New"/>
            <a:cs typeface="Courier New"/>
          </a:endParaRPr>
        </a:p>
      </xdr:txBody>
    </xdr:sp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QG">
    <ddeItems>
      <ddeItem name="Linetime" advise="1">
        <values>
          <value>
            <val>37151.724305555559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">
    <ddeItems>
      <ddeItem name="ask" advise="1">
        <values>
          <value>
            <val>2360</val>
          </value>
        </values>
      </ddeItem>
      <ddeItem name="Bid" advise="1">
        <values>
          <value>
            <val>2365</val>
          </value>
        </values>
      </ddeItem>
      <ddeItem name="LABEL_CONTR_SYMBOL" advise="1">
        <values>
          <value t="str">
            <val>NGV1</val>
          </value>
        </values>
      </ddeItem>
      <ddeItem name="LastTrade" advise="1">
        <values>
          <value>
            <val>2355</val>
          </value>
        </values>
      </ddeItem>
      <ddeItem name="netchange" advise="1">
        <values>
          <value>
            <val>-182.99999999999983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">
    <ddeItems>
      <ddeItem name="LABEL_CONTR_SYMBOL" advise="1">
        <values>
          <value t="str">
            <val>CLV1</val>
          </value>
        </values>
      </ddeItem>
      <ddeItem name="LastTrade" advise="1">
        <values>
          <value>
            <val>2883</val>
          </value>
        </values>
      </ddeItem>
      <ddeItem name="netchange" advise="1">
        <values>
          <value>
            <val>-71.999999999999886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hu?1">
    <ddeItems>
      <ddeItem name="LABEL_CONTR_SYMBOL" advise="1">
        <values>
          <value t="str">
            <val>HUV1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ho?1">
    <ddeItems>
      <ddeItem name="LABEL_CONTR_SYMBOL" advise="1">
        <values>
          <value t="str">
            <val>HOV1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o?1">
    <ddeItems>
      <ddeItem name="LABEL_CONTR_SYMBOL" advise="1">
        <values>
          <value t="str">
            <val>COV1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kv?1">
    <ddeItems>
      <ddeItem name="LABEL_CONTR_SYMBOL" advise="1">
        <values>
          <value t="str">
            <val>KVV1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i?1">
    <ddeItems>
      <ddeItem name="LABEL_CONTR_SYMBOL" advise="1">
        <values>
          <value t="str">
            <val>CIV1</val>
          </value>
        </values>
      </ddeItem>
      <ddeItem name="StdDocumentName" ole="1" advise="1"/>
    </ddeItems>
  </dd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t?1">
    <ddeItems>
      <ddeItem name="LABEL_CONTR_SYMBOL" advise="1">
        <values>
          <value t="str">
            <val>NTV1</val>
          </value>
        </values>
      </ddeItem>
      <ddeItem name="StdDocumentName" ole="1" advise="1"/>
    </ddeItems>
  </dd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a?25">
    <ddeItems>
      <ddeItem name="LastTrade" advise="1">
        <values>
          <value t="str">
            <val xml:space="preserve">        </val>
          </value>
        </values>
      </ddeItem>
      <ddeItem name="netchange" advise="1">
        <values>
          <value t="str">
            <val xml:space="preserve">       </val>
          </value>
        </values>
      </ddeItem>
      <ddeItem name="StdDocumentName" ole="1" advise="1"/>
    </ddeItems>
  </dd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a?26">
    <ddeItems>
      <ddeItem name="LastTrade" advise="1">
        <values>
          <value t="str">
            <val xml:space="preserve">        </val>
          </value>
        </values>
      </ddeItem>
      <ddeItem name="netchange" advise="1">
        <values>
          <value t="str">
            <val xml:space="preserve">       </val>
          </value>
        </values>
      </ddeItem>
      <ddeItem name="StdDocumentName" ole="1" advise="1"/>
    </ddeItems>
  </dd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dji?">
    <ddeItems>
      <ddeItem name="LastTrade,T" advise="1">
        <values>
          <value>
            <val>8920.7000000000007</val>
          </value>
        </values>
      </ddeItem>
      <ddeItem name="netchange,T" advise="1">
        <values>
          <value>
            <val>-684.79999999999927</val>
          </value>
        </values>
      </ddeItem>
      <ddeItem name="StdDocumentName" ole="1" advise="1"/>
    </ddeItems>
  </dd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ttc5?">
    <ddeItems>
      <ddeItem name="LastTrade,t" advise="1">
        <values>
          <value>
            <val>6908</val>
          </value>
        </values>
      </ddeItem>
      <ddeItem name="netchange,T" advise="1">
        <values>
          <value>
            <val>17.099999999999454</val>
          </value>
        </values>
      </ddeItem>
      <ddeItem name="StdDocumentName" ole="1" advise="1"/>
    </ddeItems>
  </dd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sp?">
    <ddeItems>
      <ddeItem name="LastTrade,T" advise="1">
        <values>
          <value>
            <val>1041</val>
          </value>
        </values>
      </ddeItem>
      <ddeItem name="netchange,T" advise="1">
        <values>
          <value>
            <val>-56.700000000000045</val>
          </value>
        </values>
      </ddeItem>
      <ddeItem name="StdDocumentName" ole="1" advise="1"/>
    </ddeItems>
  </dd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qc5?">
    <ddeItems>
      <ddeItem name="LastTrade,T" advise="1">
        <values>
          <value>
            <val>1579.5</val>
          </value>
        </values>
      </ddeItem>
      <ddeItem name="netchange,T" advise="1">
        <values>
          <value>
            <val>-115.80000000000018</val>
          </value>
        </values>
      </ddeItem>
      <ddeItem name="StdDocumentName" ole="1" advise="1"/>
    </ddeItems>
  </dd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2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3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6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">
    <ddeItems>
      <ddeItem name="ask" advise="1">
        <values>
          <value>
            <val>2735</val>
          </value>
        </values>
      </ddeItem>
      <ddeItem name="Bid" advise="1">
        <values>
          <value>
            <val>2745</val>
          </value>
        </values>
      </ddeItem>
      <ddeItem name="LastTrade" advise="1">
        <values>
          <value>
            <val>2740</val>
          </value>
        </values>
      </ddeItem>
      <ddeItem name="netchange" advise="1">
        <values>
          <value>
            <val>-149.00000000000003</val>
          </value>
        </values>
      </ddeItem>
      <ddeItem name="StdDocumentName" ole="1" advise="1"/>
    </ddeItems>
  </ddeLin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3">
    <ddeItems>
      <ddeItem name="ask" advise="1">
        <values>
          <value>
            <val>3120</val>
          </value>
        </values>
      </ddeItem>
      <ddeItem name="Bid" advise="1">
        <values>
          <value>
            <val>3110</val>
          </value>
        </values>
      </ddeItem>
      <ddeItem name="LastTrade" advise="1">
        <values>
          <value>
            <val>3110</val>
          </value>
        </values>
      </ddeItem>
      <ddeItem name="netchange" advise="1">
        <values>
          <value>
            <val>-127.00000000000023</val>
          </value>
        </values>
      </ddeItem>
      <ddeItem name="StdDocumentName" ole="1" advise="1"/>
    </ddeItems>
  </ddeLin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4">
    <ddeItems>
      <ddeItem name="ask" advise="1">
        <values>
          <value>
            <val>3290</val>
          </value>
        </values>
      </ddeItem>
      <ddeItem name="Bid" advise="1">
        <values>
          <value>
            <val>3280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-119.00000000000021</val>
          </value>
        </values>
      </ddeItem>
      <ddeItem name="StdDocumentName" ole="1" advise="1"/>
    </ddeItems>
  </ddeLin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5">
    <ddeItems>
      <ddeItem name="ask" advise="1">
        <values>
          <value>
            <val>3280</val>
          </value>
        </values>
      </ddeItem>
      <ddeItem name="Bid" advise="1">
        <values>
          <value>
            <val>3270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-113.99999999999987</val>
          </value>
        </values>
      </ddeItem>
      <ddeItem name="StdDocumentName" ole="1" advise="1"/>
    </ddeItems>
  </ddeLin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6">
    <ddeItems>
      <ddeItem name="ask" advise="1">
        <values>
          <value>
            <val>3200</val>
          </value>
        </values>
      </ddeItem>
      <ddeItem name="Bid" advise="1">
        <values>
          <value>
            <val>3195</val>
          </value>
        </values>
      </ddeItem>
      <ddeItem name="LastTrade" advise="1">
        <values>
          <value>
            <val>3210</val>
          </value>
        </values>
      </ddeItem>
      <ddeItem name="netchange" advise="1">
        <values>
          <value>
            <val>-110.00000000000031</val>
          </value>
        </values>
      </ddeItem>
      <ddeItem name="StdDocumentName" ole="1" advise="1"/>
    </ddeItems>
  </ddeLin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7">
    <ddeItems>
      <ddeItem name="ask" advise="1">
        <values>
          <value>
            <val>3120</val>
          </value>
        </values>
      </ddeItem>
      <ddeItem name="Bid" advise="1">
        <values>
          <value>
            <val>3110</val>
          </value>
        </values>
      </ddeItem>
      <ddeItem name="LastTrade" advise="1">
        <values>
          <value>
            <val>3100</val>
          </value>
        </values>
      </ddeItem>
      <ddeItem name="netchange" advise="1">
        <values>
          <value>
            <val>-107.0000000000002</val>
          </value>
        </values>
      </ddeItem>
      <ddeItem name="StdDocumentName" ole="1" advise="1"/>
    </ddeItems>
  </ddeLin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8">
    <ddeItems>
      <ddeItem name="ask" advise="1">
        <values>
          <value>
            <val>3160</val>
          </value>
        </values>
      </ddeItem>
      <ddeItem name="Bid" advise="1">
        <values>
          <value>
            <val>3125</val>
          </value>
        </values>
      </ddeItem>
      <ddeItem name="LastTrade" advise="1">
        <values>
          <value>
            <val>3125</val>
          </value>
        </values>
      </ddeItem>
      <ddeItem name="netchange" advise="1">
        <values>
          <value>
            <val>-102.00000000000031</val>
          </value>
        </values>
      </ddeItem>
      <ddeItem name="StdDocumentName" ole="1" advise="1"/>
    </ddeItems>
  </ddeLin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9">
    <ddeItems>
      <ddeItem name="ask" advise="1">
        <values>
          <value>
            <val>3250</val>
          </value>
        </values>
      </ddeItem>
      <ddeItem name="Bid" advise="1">
        <values>
          <value>
            <val>3180</val>
          </value>
        </values>
      </ddeItem>
      <ddeItem name="LastTrade" advise="1">
        <values>
          <value>
            <val>3170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0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3220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1">
    <ddeItems>
      <ddeItem name="ask" advise="1">
        <values>
          <value>
            <val>3255</val>
          </value>
        </values>
      </ddeItem>
      <ddeItem name="Bid" advise="1">
        <values>
          <value>
            <val>3235</val>
          </value>
        </values>
      </ddeItem>
      <ddeItem name="LastTrade" advise="1">
        <values>
          <value>
            <val>3245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2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3255</val>
          </value>
        </values>
      </ddeItem>
      <ddeItem name="netchange" advise="1">
        <values>
          <value>
            <val>-99.999999999999645</val>
          </value>
        </values>
      </ddeItem>
      <ddeItem name="StdDocumentName" ole="1" advise="1"/>
    </ddeItems>
  </ddeLin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3">
    <ddeItems>
      <ddeItem name="ask" advise="1">
        <values>
          <value>
            <val>3270</val>
          </value>
        </values>
      </ddeItem>
      <ddeItem name="Bid" advise="1">
        <values>
          <value>
            <val>3245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-99.999999999999645</val>
          </value>
        </values>
      </ddeItem>
      <ddeItem name="StdDocumentName" ole="1" advise="1"/>
    </ddeItems>
  </ddeLin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4">
    <ddeItems>
      <ddeItem name="ask" advise="1">
        <values>
          <value>
            <val>3450</val>
          </value>
        </values>
      </ddeItem>
      <ddeItem name="Bid" advise="1">
        <values>
          <value>
            <val>3430</val>
          </value>
        </values>
      </ddeItem>
      <ddeItem name="LastTrade" advise="1">
        <values>
          <value>
            <val>3440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5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3560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6">
    <ddeItems>
      <ddeItem name="ask" advise="1">
        <values>
          <value>
            <val>3670</val>
          </value>
        </values>
      </ddeItem>
      <ddeItem name="Bid" advise="1">
        <values>
          <value>
            <val>3670</val>
          </value>
        </values>
      </ddeItem>
      <ddeItem name="LastTrade" advise="1">
        <values>
          <value>
            <val>3670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7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3580</val>
          </value>
        </values>
      </ddeItem>
      <ddeItem name="netchange" advise="1">
        <values>
          <value>
            <val>-90.000000000000298</val>
          </value>
        </values>
      </ddeItem>
      <ddeItem name="StdDocumentName" ole="1" advise="1"/>
    </ddeItems>
  </ddeLin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8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3450</val>
          </value>
        </values>
      </ddeItem>
      <ddeItem name="netchange" advise="1">
        <values>
          <value>
            <val>-89.999999999999858</val>
          </value>
        </values>
      </ddeItem>
      <ddeItem name="StdDocumentName" ole="1" advise="1"/>
    </ddeItems>
  </ddeLin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19">
    <ddeItems>
      <ddeItem name="ask" advise="1">
        <values>
          <value>
            <val>3301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 t="str">
            <val xml:space="preserve">        </val>
          </value>
        </values>
      </ddeItem>
      <ddeItem name="netchange" advise="1">
        <values>
          <value>
            <val>-80.000000000000071</val>
          </value>
        </values>
      </ddeItem>
      <ddeItem name="StdDocumentName" ole="1" advise="1"/>
    </ddeItems>
  </ddeLin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0">
    <ddeItems>
      <ddeItem name="ask" advise="1">
        <values>
          <value>
            <val>3306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 t="str">
            <val xml:space="preserve">        </val>
          </value>
        </values>
      </ddeItem>
      <ddeItem name="netchange" advise="1">
        <values>
          <value>
            <val>-79.999999999999631</val>
          </value>
        </values>
      </ddeItem>
      <ddeItem name="StdDocumentName" ole="1" advise="1"/>
    </ddeItems>
  </ddeLin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1">
    <ddeItems>
      <ddeItem name="ask" advise="1">
        <values>
          <value>
            <val>3334</val>
          </value>
        </values>
      </ddeItem>
      <ddeItem name="Bid" advise="1">
        <values>
          <value>
            <val>3310</val>
          </value>
        </values>
      </ddeItem>
      <ddeItem name="LastTrade" advise="1">
        <values>
          <value>
            <val>3310</val>
          </value>
        </values>
      </ddeItem>
      <ddeItem name="netchange" advise="1">
        <values>
          <value>
            <val>-79.999999999999631</val>
          </value>
        </values>
      </ddeItem>
      <ddeItem name="StdDocumentName" ole="1" advise="1"/>
    </ddeItems>
  </ddeLin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22">
    <ddeItems>
      <ddeItem name="ask" advise="1">
        <values>
          <value>
            <val>3354</val>
          </value>
        </values>
      </ddeItem>
      <ddeItem name="Bid" advise="1">
        <values>
          <value>
            <val>3314</val>
          </value>
        </values>
      </ddeItem>
      <ddeItem name="LastTrade" advise="1">
        <values>
          <value>
            <val>3360</val>
          </value>
        </values>
      </ddeItem>
      <ddeItem name="netchange" advise="1">
        <values>
          <value>
            <val>-80.000000000000071</val>
          </value>
        </values>
      </ddeItem>
      <ddeItem name="StdDocumentName" ole="1" advise="1"/>
    </ddeItems>
  </ddeLin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">
    <ddeItems>
      <ddeItem name="LastTrade" advise="1">
        <values>
          <value>
            <val>2911</val>
          </value>
        </values>
      </ddeItem>
      <ddeItem name="netchange" advise="1">
        <values>
          <value>
            <val>-57.000000000000028</val>
          </value>
        </values>
      </ddeItem>
      <ddeItem name="StdDocumentName" ole="1" advise="1"/>
    </ddeItems>
  </ddeLin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3">
    <ddeItems>
      <ddeItem name="LastTrade" advise="1">
        <values>
          <value>
            <val>2915</val>
          </value>
        </values>
      </ddeItem>
      <ddeItem name="netchange" advise="1">
        <values>
          <value>
            <val>-54.00000000000027</val>
          </value>
        </values>
      </ddeItem>
      <ddeItem name="StdDocumentName" ole="1" advise="1"/>
    </ddeItems>
  </ddeLin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4">
    <ddeItems>
      <ddeItem name="LastTrade" advise="1">
        <values>
          <value>
            <val>2880</val>
          </value>
        </values>
      </ddeItem>
      <ddeItem name="netchange" advise="1">
        <values>
          <value>
            <val>-46.999999999999886</val>
          </value>
        </values>
      </ddeItem>
      <ddeItem name="StdDocumentName" ole="1" advise="1"/>
    </ddeItems>
  </ddeLin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5">
    <ddeItems>
      <ddeItem name="LastTrade" advise="1">
        <values>
          <value>
            <val>2835</val>
          </value>
        </values>
      </ddeItem>
      <ddeItem name="netchange" advise="1">
        <values>
          <value>
            <val>-42.999999999999972</val>
          </value>
        </values>
      </ddeItem>
      <ddeItem name="StdDocumentName" ole="1" advise="1"/>
    </ddeItems>
  </ddeLin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6">
    <ddeItems>
      <ddeItem name="LastTrade" advise="1">
        <values>
          <value>
            <val>2780</val>
          </value>
        </values>
      </ddeItem>
      <ddeItem name="netchange" advise="1">
        <values>
          <value>
            <val>-37.999999999999901</val>
          </value>
        </values>
      </ddeItem>
      <ddeItem name="StdDocumentName" ole="1" advise="1"/>
    </ddeItems>
  </ddeLin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3">
    <ddeItems>
      <ddeItem name="netchange" advise="1">
        <values>
          <value>
            <val>-18.999999999999773</val>
          </value>
        </values>
      </ddeItem>
      <ddeItem name="StdDocumentName" ole="1" advise="1"/>
    </ddeItems>
  </ddeLin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4">
    <ddeItems>
      <ddeItem name="netchange" advise="1">
        <values>
          <value>
            <val>-17.999999999999972</val>
          </value>
        </values>
      </ddeItem>
      <ddeItem name="StdDocumentName" ole="1" advise="1"/>
    </ddeItems>
  </ddeLin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5">
    <ddeItems>
      <ddeItem name="netchange" advise="1">
        <values>
          <value>
            <val>-16.999999999999815</val>
          </value>
        </values>
      </ddeItem>
      <ddeItem name="StdDocumentName" ole="1" advise="1"/>
    </ddeItems>
  </ddeLin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6">
    <ddeItems>
      <ddeItem name="netchange" advise="1">
        <values>
          <value>
            <val>-16.999999999999815</val>
          </value>
        </values>
      </ddeItem>
      <ddeItem name="StdDocumentName" ole="1" advise="1"/>
    </ddeItems>
  </ddeLin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7">
    <ddeItems>
      <ddeItem name="netchange" advise="1">
        <values>
          <value>
            <val>-17.999999999999972</val>
          </value>
        </values>
      </ddeItem>
      <ddeItem name="StdDocumentName" ole="1" advise="1"/>
    </ddeItems>
  </ddeLin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8">
    <ddeItems>
      <ddeItem name="netchange" advise="1">
        <values>
          <value>
            <val>-19.000000000000128</val>
          </value>
        </values>
      </ddeItem>
      <ddeItem name="StdDocumentName" ole="1" advise="1"/>
    </ddeItems>
  </ddeLin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19">
    <ddeItems>
      <ddeItem name="netchange" advise="1">
        <values>
          <value>
            <val>-19.999999999999929</val>
          </value>
        </values>
      </ddeItem>
      <ddeItem name="StdDocumentName" ole="1" advise="1"/>
    </ddeItems>
  </ddeLin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0">
    <ddeItems>
      <ddeItem name="netchange" advise="1">
        <values>
          <value>
            <val>-21.000000000000085</val>
          </value>
        </values>
      </ddeItem>
      <ddeItem name="StdDocumentName" ole="1" advise="1"/>
    </ddeItems>
  </ddeLin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1">
    <ddeItems>
      <ddeItem name="netchange" advise="1">
        <values>
          <value>
            <val>-22.000000000000242</val>
          </value>
        </values>
      </ddeItem>
      <ddeItem name="StdDocumentName" ole="1" advise="1"/>
    </ddeItems>
  </ddeLin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cl?22">
    <ddeItems>
      <ddeItem name="netchange" advise="1">
        <values>
          <value>
            <val>-23.000000000000043</val>
          </value>
        </values>
      </ddeItem>
      <ddeItem name="StdDocumentName" ole="1" advise="1"/>
    </ddeItems>
  </ddeLin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1y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">
    <ddeItems>
      <ddeItem name="ask,t" advise="1">
        <values>
          <value>
            <val>1.5703</val>
          </value>
        </values>
      </ddeItem>
      <ddeItem name="bid,t" advise="1">
        <values>
          <value>
            <val>1.5693000000000001</val>
          </value>
        </values>
      </ddeItem>
      <ddeItem name="StdDocumentName" ole="1" advise="1"/>
    </ddeItems>
  </ddeLin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usdcad1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DJI">
    <ddeItems>
      <ddeItem name="LastPrice,T" advise="1">
        <values>
          <value>
            <val>8920.7000000000007</val>
          </value>
        </values>
      </ddeItem>
    </ddeItems>
  </ddeLin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QGPC" ddeTopic="NG?0">
    <ddeItems>
      <ddeItem name="LastPrice,T" advise="1">
        <values>
          <value>
            <val>2.3690000000000002</val>
          </value>
        </values>
      </ddeItem>
      <ddeItem name="StdDocumentName" ole="1" advise="1"/>
    </ddeItems>
  </ddeLin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DJI,LAST,1" advise="1">
        <values>
          <value>
            <val>8920.7000000000007</val>
          </value>
        </values>
      </ddeItem>
      <ddeItem name=".DJI,NET CHANGE,1" advise="1">
        <values>
          <value>
            <val>-684.81</val>
          </value>
        </values>
      </ddeItem>
      <ddeItem name=".DJI,PERCENT CHANGE,1" advise="1">
        <values>
          <value>
            <val>-7.13</val>
          </value>
        </values>
      </ddeItem>
      <ddeItem name=".IXIC,LAST,1" advise="1">
        <values>
          <value>
            <val>1579.55</val>
          </value>
        </values>
      </ddeItem>
      <ddeItem name=".IXIC,NET CHANGE,1" advise="1">
        <values>
          <value>
            <val>-115.82</val>
          </value>
        </values>
      </ddeItem>
      <ddeItem name=".IXIC,PERCENT CHANGE,1" advise="1">
        <values>
          <value>
            <val>-6.83</val>
          </value>
        </values>
      </ddeItem>
      <ddeItem name="/ENE,LAST,1" advise="1">
        <values>
          <value>
            <val>30.67</val>
          </value>
        </values>
      </ddeItem>
      <ddeItem name="/ENE,NET CHANGE,1" advise="1">
        <values>
          <value>
            <val>-2.09</val>
          </value>
        </values>
      </ddeItem>
      <ddeItem name="/ENE,PERCENT CHANGE,1" advise="1">
        <values>
          <value>
            <val>-6.38</val>
          </value>
        </values>
      </ddeItem>
      <ddeItem name="CAD=X,ASK,1" advise="1">
        <values>
          <value>
            <val>1.5703</val>
          </value>
        </values>
      </ddeItem>
      <ddeItem name="CAD=X,BID,1" advise="1">
        <values>
          <value>
            <val>1.5698000000000001</val>
          </value>
        </values>
      </ddeItem>
      <ddeItem name="CAD=X,TICK:BID,1" advise="1">
        <values>
          <value t="str">
            <val>↑</val>
          </value>
        </values>
      </ddeItem>
      <ddeItem name="CLF2,LAST,1" advise="1">
        <values>
          <value>
            <val>28.6</val>
          </value>
        </values>
      </ddeItem>
      <ddeItem name="CLF2,NET CHANGE,1" advise="1">
        <values>
          <value>
            <val>-0.13</val>
          </value>
        </values>
      </ddeItem>
      <ddeItem name="CLF2,TICK:UP/DOWN,1" advise="1">
        <values>
          <value t="str">
            <val>↑</val>
          </value>
        </values>
      </ddeItem>
      <ddeItem name="CLG2,LAST,1" advise="1">
        <values>
          <value>
            <val>0</val>
          </value>
        </values>
      </ddeItem>
      <ddeItem name="CLG2,NET CHANGE,1" advise="1">
        <values>
          <value>
            <val>0</val>
          </value>
        </values>
      </ddeItem>
      <ddeItem name="CLG2,TICK:UP/DOWN,1" advise="1">
        <values>
          <value t="str">
            <val xml:space="preserve"> </val>
          </value>
        </values>
      </ddeItem>
      <ddeItem name="CLH2,LAST,1" advise="1">
        <values>
          <value>
            <val>0</val>
          </value>
        </values>
      </ddeItem>
      <ddeItem name="CLH2,NET CHANGE,1" advise="1">
        <values>
          <value>
            <val>0</val>
          </value>
        </values>
      </ddeItem>
      <ddeItem name="CLH2,TICK:UP/DOWN,1" advise="1">
        <values>
          <value t="str">
            <val xml:space="preserve"> </val>
          </value>
        </values>
      </ddeItem>
      <ddeItem name="CLV1,LAST,1" advise="1">
        <values>
          <value>
            <val>28.82</val>
          </value>
        </values>
      </ddeItem>
      <ddeItem name="CLV1,NET CHANGE,1" advise="1">
        <values>
          <value>
            <val>0.01</val>
          </value>
        </values>
      </ddeItem>
      <ddeItem name="CLV1,TICK:UP/DOWN,1" advise="1">
        <values>
          <value t="str">
            <val>↑</val>
          </value>
        </values>
      </ddeItem>
      <ddeItem name="CLX1,LAST,1" advise="1">
        <values>
          <value>
            <val>29.1</val>
          </value>
        </values>
      </ddeItem>
      <ddeItem name="CLX1,NET CHANGE,1" advise="1">
        <values>
          <value>
            <val>-7.0000000000000007E-2</val>
          </value>
        </values>
      </ddeItem>
      <ddeItem name="CLX1,TICK:UP/DOWN,1" advise="1">
        <values>
          <value t="str">
            <val>↑</val>
          </value>
        </values>
      </ddeItem>
      <ddeItem name="CLZ1,LAST,1" advise="1">
        <values>
          <value>
            <val>29.13</val>
          </value>
        </values>
      </ddeItem>
      <ddeItem name="CLZ1,NET CHANGE,1" advise="1">
        <values>
          <value>
            <val>0</val>
          </value>
        </values>
      </ddeItem>
      <ddeItem name="CLZ1,TICK:UP/DOWN,1" advise="1">
        <values>
          <value t="str">
            <val>↑</val>
          </value>
        </values>
      </ddeItem>
      <ddeItem name="HOV1,LAST,1" advise="1">
        <values>
          <value>
            <val>8000</val>
          </value>
        </values>
      </ddeItem>
      <ddeItem name="HOV1,NET CHANGE,1" advise="1">
        <values>
          <value>
            <val>-70</val>
          </value>
        </values>
      </ddeItem>
      <ddeItem name="HOV1,TICK:UP/DOWN,1" advise="1">
        <values>
          <value t="str">
            <val>↑</val>
          </value>
        </values>
      </ddeItem>
      <ddeItem name="NG1000-EOL,ASK,1" advise="1">
        <values>
          <value>
            <val>2.29</val>
          </value>
        </values>
      </ddeItem>
      <ddeItem name="NG1000-EOL,BID,1" advise="1">
        <values>
          <value>
            <val>2.2799999999999998</val>
          </value>
        </values>
      </ddeItem>
      <ddeItem name="NG1100-EOL,ASK,1" advise="1">
        <values>
          <value>
            <val>2.67</val>
          </value>
        </values>
      </ddeItem>
      <ddeItem name="NG1100-EOL,BID,1" advise="1">
        <values>
          <value>
            <val>2.6575000000000002</val>
          </value>
        </values>
      </ddeItem>
      <ddeItem name="NG1200-EOL,BID,1" advise="1">
        <values>
          <value>
            <val>0</val>
          </value>
        </values>
      </ddeItem>
      <ddeItem name="NG1500-EOL,BID,1" advise="1">
        <values>
          <value>
            <val>0</val>
          </value>
        </values>
      </ddeItem>
      <ddeItem name="NG1600-EOL,BID,1" advise="1">
        <values>
          <value>
            <val>0</val>
          </value>
        </values>
      </ddeItem>
      <ddeItem name="NG1700-EOL,ASK,1" advise="1">
        <values>
          <value>
            <val>0</val>
          </value>
        </values>
      </ddeItem>
      <ddeItem name="NG1700-EOL,BID,1" advise="1">
        <values>
          <value>
            <val>0</val>
          </value>
        </values>
      </ddeItem>
      <ddeItem name="NG1800-EOL,BID,1" advise="1">
        <values>
          <value>
            <val>0</val>
          </value>
        </values>
      </ddeItem>
      <ddeItem name="NG1900-EOL,BID,1" advise="1">
        <values>
          <value>
            <val>0</val>
          </value>
        </values>
      </ddeItem>
      <ddeItem name="NG2000-EOL,BID,1" advise="1">
        <values>
          <value>
            <val>0</val>
          </value>
        </values>
      </ddeItem>
      <ddeItem name="NG2001-EOL,BID,1" advise="1">
        <values>
          <value>
            <val>0</val>
          </value>
        </values>
      </ddeItem>
      <ddeItem name="NG3100-EOL,BID,1" advise="1">
        <values>
          <value>
            <val>0</val>
          </value>
        </values>
      </ddeItem>
      <ddeItem name="NG3240-EOL,BID,1" advise="1">
        <values>
          <value>
            <val>0</val>
          </value>
        </values>
      </ddeItem>
      <ddeItem name="NG3320-EOL,BID,1" advise="1">
        <values>
          <value>
            <val>0</val>
          </value>
        </values>
      </ddeItem>
      <ddeItem name="NG3520-EOL,BID,1" advise="1">
        <values>
          <value>
            <val>0</val>
          </value>
        </values>
      </ddeItem>
      <ddeItem name="NG4400-EOL,BID,1" advise="1">
        <values>
          <value>
            <val>0</val>
          </value>
        </values>
      </ddeItem>
      <ddeItem name="NG4500-EOL,BID,1" advise="1">
        <values>
          <value>
            <val>0</val>
          </value>
        </values>
      </ddeItem>
      <ddeItem name="NG4700-EOL,BID,1" advise="1">
        <values>
          <value>
            <val>0</val>
          </value>
        </values>
      </ddeItem>
      <ddeItem name="NG9000-EOL,ASK,1" advise="1">
        <values>
          <value>
            <val>0</val>
          </value>
        </values>
      </ddeItem>
      <ddeItem name="NG9000-EOL,BID,1" advise="1">
        <values>
          <value>
            <val>0</val>
          </value>
        </values>
      </ddeItem>
      <ddeItem name="NG9100-EOL,ASK,1" advise="1">
        <values>
          <value>
            <val>0</val>
          </value>
        </values>
      </ddeItem>
      <ddeItem name="NG9100-EOL,BID,1" advise="1">
        <values>
          <value>
            <val>0</val>
          </value>
        </values>
      </ddeItem>
      <ddeItem name="NGF2,LAST,1" advise="1">
        <values>
          <value>
            <val>3.23</val>
          </value>
        </values>
      </ddeItem>
      <ddeItem name="NGF2,NET CHANGE,1" advise="1">
        <values>
          <value>
            <val>-7.2999999999999995E-2</val>
          </value>
        </values>
      </ddeItem>
      <ddeItem name="NGF2,TICK:UP/DOWN,1" advise="1">
        <values>
          <value t="str">
            <val>↓</val>
          </value>
        </values>
      </ddeItem>
      <ddeItem name="NGF3,LAST,1" advise="1">
        <values>
          <value>
            <val>3.63</val>
          </value>
        </values>
      </ddeItem>
      <ddeItem name="NGF3,NET CHANGE,1" advise="1">
        <values>
          <value>
            <val>-5.0999999999999997E-2</val>
          </value>
        </values>
      </ddeItem>
      <ddeItem name="NGF3,TICK:UP/DOWN,1" advise="1">
        <values>
          <value t="str">
            <val>↓</val>
          </value>
        </values>
      </ddeItem>
      <ddeItem name="NGG2,LAST,1" advise="1">
        <values>
          <value>
            <val>3.24</val>
          </value>
        </values>
      </ddeItem>
      <ddeItem name="NGG2,NET CHANGE,1" advise="1">
        <values>
          <value>
            <val>-0.04</val>
          </value>
        </values>
      </ddeItem>
      <ddeItem name="NGG2,TICK:UP/DOWN,1" advise="1">
        <values>
          <value t="str">
            <val>↓</val>
          </value>
        </values>
      </ddeItem>
      <ddeItem name="NGG3,LAST,1" advise="1">
        <values>
          <value>
            <val>0</val>
          </value>
        </values>
      </ddeItem>
      <ddeItem name="NGG3,NET CHANGE,1" advise="1">
        <values>
          <value>
            <val>0</val>
          </value>
        </values>
      </ddeItem>
      <ddeItem name="NGG3,TICK:UP/DOWN,1" advise="1">
        <values>
          <value t="str">
            <val xml:space="preserve"> </val>
          </value>
        </values>
      </ddeItem>
      <ddeItem name="NGH2,LAST,1" advise="1">
        <values>
          <value>
            <val>3.15</val>
          </value>
        </values>
      </ddeItem>
      <ddeItem name="NGH2,NET CHANGE,1" advise="1">
        <values>
          <value>
            <val>-6.5000000000000002E-2</val>
          </value>
        </values>
      </ddeItem>
      <ddeItem name="NGH2,TICK:UP/DOWN,1" advise="1">
        <values>
          <value t="str">
            <val>↓</val>
          </value>
        </values>
      </ddeItem>
      <ddeItem name="NGJ2,LAST,1" advise="1">
        <values>
          <value>
            <val>0</val>
          </value>
        </values>
      </ddeItem>
      <ddeItem name="NGJ2,NET CHANGE,1" advise="1">
        <values>
          <value>
            <val>0</val>
          </value>
        </values>
      </ddeItem>
      <ddeItem name="NGJ2,TICK:UP/DOWN,1" advise="1">
        <values>
          <value t="str">
            <val xml:space="preserve"> </val>
          </value>
        </values>
      </ddeItem>
      <ddeItem name="NGK2,LAST,1" advise="1">
        <values>
          <value>
            <val>0</val>
          </value>
        </values>
      </ddeItem>
      <ddeItem name="NGK2,NET CHANGE,1" advise="1">
        <values>
          <value>
            <val>0</val>
          </value>
        </values>
      </ddeItem>
      <ddeItem name="NGK2,TICK:UP/DOWN,1" advise="1">
        <values>
          <value t="str">
            <val xml:space="preserve"> </val>
          </value>
        </values>
      </ddeItem>
      <ddeItem name="NGM2,LAST,1" advise="1">
        <values>
          <value>
            <val>3.1349999999999998</val>
          </value>
        </values>
      </ddeItem>
      <ddeItem name="NGM2,NET CHANGE,1" advise="1">
        <values>
          <value>
            <val>-0.05</val>
          </value>
        </values>
      </ddeItem>
      <ddeItem name="NGM2,TICK:UP/DOWN,1" advise="1">
        <values>
          <value t="str">
            <val>↓</val>
          </value>
        </values>
      </ddeItem>
      <ddeItem name="NGN2,LAST,1" advise="1">
        <values>
          <value>
            <val>0</val>
          </value>
        </values>
      </ddeItem>
      <ddeItem name="NGN2,NET CHANGE,1" advise="1">
        <values>
          <value>
            <val>0</val>
          </value>
        </values>
      </ddeItem>
      <ddeItem name="NGQ2,LAST,1" advise="1">
        <values>
          <value>
            <val>3.21</val>
          </value>
        </values>
      </ddeItem>
      <ddeItem name="NGQ2,NET CHANGE,1" advise="1">
        <values>
          <value>
            <val>-5.1999999999999998E-2</val>
          </value>
        </values>
      </ddeItem>
      <ddeItem name="NGQ2,TICK:UP/DOWN,1" advise="1">
        <values>
          <value t="str">
            <val>↓</val>
          </value>
        </values>
      </ddeItem>
      <ddeItem name="NGU2,LAST,1" advise="1">
        <values>
          <value>
            <val>0</val>
          </value>
        </values>
      </ddeItem>
      <ddeItem name="NGU2,NET CHANGE,1" advise="1">
        <values>
          <value>
            <val>0</val>
          </value>
        </values>
      </ddeItem>
      <ddeItem name="NGU2,TICK:UP/DOWN,1" advise="1">
        <values>
          <value t="str">
            <val xml:space="preserve"> </val>
          </value>
        </values>
      </ddeItem>
      <ddeItem name="NGV1,LAST,1" advise="1">
        <values>
          <value>
            <val>2.2930000000000001</val>
          </value>
        </values>
      </ddeItem>
      <ddeItem name="NGV1,NET CHANGE,1" advise="1">
        <values>
          <value>
            <val>-7.5999999999999998E-2</val>
          </value>
        </values>
      </ddeItem>
      <ddeItem name="NGV1,PERCENT CHANGE,1" advise="1">
        <values>
          <value>
            <val>-3.21</val>
          </value>
        </values>
      </ddeItem>
      <ddeItem name="NGV1,TICK:UP/DOWN,1" advise="1">
        <values>
          <value t="str">
            <val>↑</val>
          </value>
        </values>
      </ddeItem>
      <ddeItem name="NGV2,LAST,1" advise="1">
        <values>
          <value>
            <val>3.22</val>
          </value>
        </values>
      </ddeItem>
      <ddeItem name="NGV2,NET CHANGE,1" advise="1">
        <values>
          <value>
            <val>-5.1999999999999998E-2</val>
          </value>
        </values>
      </ddeItem>
      <ddeItem name="NGV2,TICK:UP/DOWN,1" advise="1">
        <values>
          <value t="str">
            <val>↓</val>
          </value>
        </values>
      </ddeItem>
      <ddeItem name="NGX1,LAST,1" advise="1">
        <values>
          <value>
            <val>2.6720000000000002</val>
          </value>
        </values>
      </ddeItem>
      <ddeItem name="NGX1,NET CHANGE,1" advise="1">
        <values>
          <value>
            <val>-8.1000000000000003E-2</val>
          </value>
        </values>
      </ddeItem>
      <ddeItem name="NGX1,TICK:UP/DOWN,1" advise="1">
        <values>
          <value t="str">
            <val>↑</val>
          </value>
        </values>
      </ddeItem>
      <ddeItem name="NGX2,LAST,1" advise="1">
        <values>
          <value>
            <val>3.38</val>
          </value>
        </values>
      </ddeItem>
      <ddeItem name="NGX2,NET CHANGE,1" advise="1">
        <values>
          <value>
            <val>-5.1999999999999998E-2</val>
          </value>
        </values>
      </ddeItem>
      <ddeItem name="NGX2,TICK:UP/DOWN,1" advise="1">
        <values>
          <value t="str">
            <val>↓</val>
          </value>
        </values>
      </ddeItem>
      <ddeItem name="NGZ1,LAST,1" advise="1">
        <values>
          <value>
            <val>2.9860000000000002</val>
          </value>
        </values>
      </ddeItem>
      <ddeItem name="NGZ1,NET CHANGE,1" advise="1">
        <values>
          <value>
            <val>-0.13900000000000001</val>
          </value>
        </values>
      </ddeItem>
      <ddeItem name="NGZ1,TICK:UP/DOWN,1" advise="1">
        <values>
          <value t="str">
            <val>↓</val>
          </value>
        </values>
      </ddeItem>
      <ddeItem name="NGZ2,LAST,1" advise="1">
        <values>
          <value>
            <val>0</val>
          </value>
        </values>
      </ddeItem>
      <ddeItem name="NGZ2,NET CHANGE,1" advise="1">
        <values>
          <value>
            <val>0</val>
          </value>
        </values>
      </ddeItem>
      <ddeItem name="NGZ2,TICK:UP/DOWN,1" advise="1">
        <values>
          <value t="str">
            <val xml:space="preserve"> </val>
          </value>
        </values>
      </ddeItem>
      <ddeItem name="PW2200-EOL,ASK,1" advise="1">
        <values>
          <value>
            <val>0</val>
          </value>
        </values>
      </ddeItem>
      <ddeItem name="PW2200-EOL,BID,1" advise="1">
        <values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W77"/>
  <sheetViews>
    <sheetView showGridLines="0" topLeftCell="A9" zoomScale="75" workbookViewId="0">
      <selection activeCell="C49" sqref="C49"/>
    </sheetView>
  </sheetViews>
  <sheetFormatPr defaultColWidth="9.109375" defaultRowHeight="18" customHeight="1"/>
  <cols>
    <col min="1" max="1" width="13.44140625" style="111" customWidth="1"/>
    <col min="2" max="2" width="12.6640625" style="189" customWidth="1"/>
    <col min="3" max="3" width="12.6640625" style="111" customWidth="1"/>
    <col min="4" max="4" width="1.33203125" style="111" customWidth="1"/>
    <col min="5" max="6" width="9.5546875" style="112" customWidth="1"/>
    <col min="7" max="7" width="7.5546875" style="111" customWidth="1"/>
    <col min="8" max="8" width="11.44140625" style="111" customWidth="1"/>
    <col min="9" max="9" width="14.33203125" style="111" customWidth="1"/>
    <col min="10" max="10" width="16.88671875" style="111" customWidth="1"/>
    <col min="11" max="11" width="15.44140625" style="111" customWidth="1"/>
    <col min="12" max="12" width="14" style="111" hidden="1" customWidth="1"/>
    <col min="13" max="13" width="14.33203125" style="111" hidden="1" customWidth="1"/>
    <col min="14" max="14" width="1.5546875" style="111" hidden="1" customWidth="1"/>
    <col min="15" max="15" width="15.5546875" style="111" hidden="1" customWidth="1"/>
    <col min="16" max="16" width="1.6640625" style="111" customWidth="1"/>
    <col min="17" max="17" width="7.33203125" style="111" customWidth="1"/>
    <col min="18" max="18" width="1.44140625" style="111" customWidth="1"/>
    <col min="19" max="19" width="12" style="111" customWidth="1"/>
    <col min="20" max="20" width="1.5546875" style="111" customWidth="1"/>
    <col min="21" max="21" width="11" style="111" customWidth="1"/>
    <col min="22" max="22" width="2.44140625" style="111" customWidth="1"/>
    <col min="23" max="23" width="8.5546875" style="141" customWidth="1"/>
    <col min="24" max="24" width="7.88671875" style="141" customWidth="1"/>
    <col min="25" max="25" width="0.5546875" style="141" customWidth="1"/>
    <col min="26" max="26" width="9.88671875" style="160" customWidth="1"/>
    <col min="27" max="27" width="1.5546875" style="141" customWidth="1"/>
    <col min="28" max="29" width="9.109375" style="141"/>
    <col min="30" max="30" width="9.88671875" style="141" customWidth="1"/>
    <col min="31" max="35" width="13.5546875" style="141" customWidth="1"/>
    <col min="36" max="36" width="16.44140625" style="141" customWidth="1"/>
    <col min="37" max="38" width="11" style="141" customWidth="1"/>
    <col min="39" max="39" width="9.33203125" style="141" bestFit="1" customWidth="1"/>
    <col min="40" max="49" width="9.109375" style="141"/>
    <col min="50" max="16384" width="9.109375" style="111"/>
  </cols>
  <sheetData>
    <row r="1" spans="1:24" ht="3.75" customHeight="1" thickBot="1">
      <c r="A1" s="141"/>
      <c r="B1" s="188"/>
      <c r="C1" s="141"/>
      <c r="D1" s="141"/>
      <c r="E1" s="142"/>
      <c r="F1" s="142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</row>
    <row r="2" spans="1:24" ht="18" customHeight="1" thickTop="1" thickBot="1">
      <c r="A2" s="196"/>
      <c r="B2" s="645" t="s">
        <v>139</v>
      </c>
      <c r="C2" s="645"/>
      <c r="D2" s="645"/>
      <c r="E2" s="645"/>
      <c r="F2" s="646"/>
      <c r="G2" s="197"/>
      <c r="H2" s="196"/>
      <c r="I2" s="198" t="s">
        <v>90</v>
      </c>
      <c r="J2" s="199"/>
      <c r="K2" s="141"/>
      <c r="L2" s="141"/>
      <c r="M2" s="143" t="s">
        <v>155</v>
      </c>
      <c r="N2" s="143"/>
      <c r="O2" s="143" t="s">
        <v>156</v>
      </c>
      <c r="P2" s="172"/>
      <c r="Q2" s="173" t="s">
        <v>158</v>
      </c>
      <c r="R2" s="174"/>
      <c r="S2" s="174"/>
      <c r="T2" s="174"/>
      <c r="U2" s="175"/>
      <c r="V2" s="141"/>
      <c r="W2" s="577">
        <f>MIDS!A1</f>
        <v>37139</v>
      </c>
      <c r="X2" s="567"/>
    </row>
    <row r="3" spans="1:24" ht="18" customHeight="1" thickTop="1" thickBot="1">
      <c r="A3" s="200"/>
      <c r="B3" s="201" t="s">
        <v>249</v>
      </c>
      <c r="C3" s="202" t="s">
        <v>250</v>
      </c>
      <c r="D3" s="202"/>
      <c r="E3" s="202" t="s">
        <v>155</v>
      </c>
      <c r="F3" s="203" t="s">
        <v>156</v>
      </c>
      <c r="G3" s="197"/>
      <c r="H3" s="204"/>
      <c r="I3" s="202" t="s">
        <v>250</v>
      </c>
      <c r="J3" s="543" t="s">
        <v>249</v>
      </c>
      <c r="K3" s="141"/>
      <c r="L3" s="149" t="s">
        <v>140</v>
      </c>
      <c r="M3" s="156">
        <f>[56]!'bid,t'</f>
        <v>1.5693000000000001</v>
      </c>
      <c r="N3" s="157"/>
      <c r="O3" s="158">
        <f>[56]!'ask,t'</f>
        <v>1.5703</v>
      </c>
      <c r="P3" s="176"/>
      <c r="Q3" s="177" t="s">
        <v>159</v>
      </c>
      <c r="R3" s="178"/>
      <c r="S3" s="178"/>
      <c r="T3" s="178"/>
      <c r="U3" s="179"/>
      <c r="V3" s="141"/>
    </row>
    <row r="4" spans="1:24" ht="18" customHeight="1">
      <c r="A4" s="205">
        <f>Codes!C3</f>
        <v>37165</v>
      </c>
      <c r="B4" s="206">
        <f>[2]!netchange</f>
        <v>-182.99999999999983</v>
      </c>
      <c r="C4" s="604">
        <f>[2]!LastTrade</f>
        <v>2355</v>
      </c>
      <c r="D4" s="208"/>
      <c r="E4" s="605">
        <f>[2]!Bid</f>
        <v>2365</v>
      </c>
      <c r="F4" s="606">
        <f>[2]!ask</f>
        <v>2360</v>
      </c>
      <c r="G4" s="197"/>
      <c r="H4" s="205">
        <f>Codes!D3</f>
        <v>37165</v>
      </c>
      <c r="I4" s="210">
        <f>[3]!LastTrade</f>
        <v>2883</v>
      </c>
      <c r="J4" s="211">
        <f>[3]!netchange</f>
        <v>-71.999999999999886</v>
      </c>
      <c r="K4" s="600" t="s">
        <v>264</v>
      </c>
      <c r="L4" s="159" t="s">
        <v>143</v>
      </c>
      <c r="M4" s="114"/>
      <c r="N4" s="115"/>
      <c r="O4" s="150"/>
      <c r="P4" s="164" t="s">
        <v>144</v>
      </c>
      <c r="Q4" s="161"/>
      <c r="R4" s="161"/>
      <c r="S4" s="162">
        <f>[12]!'LastTrade,T'</f>
        <v>8920.7000000000007</v>
      </c>
      <c r="T4" s="145" t="str">
        <f>IF(U4&gt;0,"+","")</f>
        <v/>
      </c>
      <c r="U4" s="165">
        <f>[12]!'netchange,T'</f>
        <v>-684.79999999999927</v>
      </c>
      <c r="V4" s="141"/>
    </row>
    <row r="5" spans="1:24" ht="18" customHeight="1">
      <c r="A5" s="205">
        <f>DATE(YEAR(A4),MONTH(A4)+1,1)</f>
        <v>37196</v>
      </c>
      <c r="B5" s="206">
        <f>[19]!netchange</f>
        <v>-149.00000000000003</v>
      </c>
      <c r="C5" s="207">
        <f>[19]!LastTrade</f>
        <v>2740</v>
      </c>
      <c r="D5" s="208"/>
      <c r="E5" s="208">
        <f>[19]!Bid</f>
        <v>2745</v>
      </c>
      <c r="F5" s="209">
        <f>[19]!ask</f>
        <v>2735</v>
      </c>
      <c r="G5" s="197"/>
      <c r="H5" s="205">
        <f>DATE(YEAR(H4),MONTH(H4)+1,1)</f>
        <v>37196</v>
      </c>
      <c r="I5" s="210">
        <f>[40]!LastTrade</f>
        <v>2911</v>
      </c>
      <c r="J5" s="212">
        <f>[40]!netchange</f>
        <v>-57.000000000000028</v>
      </c>
      <c r="K5" s="601">
        <f ca="1">AVERAGE(C33:C37)-AVERAGE(C30)</f>
        <v>1.09636675728499</v>
      </c>
      <c r="L5" s="151" t="s">
        <v>145</v>
      </c>
      <c r="M5" s="116" t="e">
        <f>[57]!Lastprice/10</f>
        <v>#VALUE!</v>
      </c>
      <c r="N5" s="116"/>
      <c r="O5" s="152" t="e">
        <f>[57]!ask/10</f>
        <v>#VALUE!</v>
      </c>
      <c r="P5" s="164" t="s">
        <v>146</v>
      </c>
      <c r="Q5" s="161"/>
      <c r="R5" s="161"/>
      <c r="S5" s="162">
        <f>[14]!'LastTrade,T'</f>
        <v>1041</v>
      </c>
      <c r="T5" s="145" t="str">
        <f>IF(U5&gt;0,"+","")</f>
        <v/>
      </c>
      <c r="U5" s="165">
        <f>[14]!'netchange,T'</f>
        <v>-56.700000000000045</v>
      </c>
      <c r="V5" s="141"/>
    </row>
    <row r="6" spans="1:24" ht="18" customHeight="1">
      <c r="A6" s="205">
        <f>DATE(YEAR(A5),MONTH(A5)+1,1)</f>
        <v>37226</v>
      </c>
      <c r="B6" s="206">
        <f>[20]!netchange</f>
        <v>-127.00000000000023</v>
      </c>
      <c r="C6" s="207">
        <f>[20]!LastTrade</f>
        <v>3110</v>
      </c>
      <c r="D6" s="208"/>
      <c r="E6" s="208">
        <f>[20]!Bid</f>
        <v>3110</v>
      </c>
      <c r="F6" s="209">
        <f>[20]!ask</f>
        <v>3120</v>
      </c>
      <c r="G6" s="197"/>
      <c r="H6" s="205">
        <f>DATE(YEAR(H5),MONTH(H5)+1,1)</f>
        <v>37226</v>
      </c>
      <c r="I6" s="210">
        <f>[41]!LastTrade</f>
        <v>2915</v>
      </c>
      <c r="J6" s="212">
        <f>[41]!netchange</f>
        <v>-54.00000000000027</v>
      </c>
      <c r="K6" s="600" t="s">
        <v>265</v>
      </c>
      <c r="L6" s="151" t="s">
        <v>147</v>
      </c>
      <c r="M6" s="116" t="e">
        <f>[16]!Lastprice/10</f>
        <v>#VALUE!</v>
      </c>
      <c r="N6" s="116"/>
      <c r="O6" s="152" t="e">
        <f>[16]!ask/10</f>
        <v>#VALUE!</v>
      </c>
      <c r="P6" s="164" t="s">
        <v>141</v>
      </c>
      <c r="Q6" s="161"/>
      <c r="R6" s="161"/>
      <c r="S6" s="163">
        <f>[13]!'LastTrade,t'</f>
        <v>6908</v>
      </c>
      <c r="T6" s="145" t="str">
        <f>IF(U6&gt;0,"+","")</f>
        <v>+</v>
      </c>
      <c r="U6" s="166">
        <f>[13]!'netchange,T'</f>
        <v>17.099999999999454</v>
      </c>
      <c r="V6" s="141"/>
    </row>
    <row r="7" spans="1:24" ht="18" customHeight="1" thickBot="1">
      <c r="A7" s="205">
        <f t="shared" ref="A7:A25" si="0">DATE(YEAR(A6),MONTH(A6)+1,1)</f>
        <v>37257</v>
      </c>
      <c r="B7" s="206">
        <f>[21]!netchange</f>
        <v>-119.00000000000021</v>
      </c>
      <c r="C7" s="207">
        <f>[21]!LastTrade</f>
        <v>3270</v>
      </c>
      <c r="D7" s="208"/>
      <c r="E7" s="208">
        <f>[21]!Bid</f>
        <v>3280</v>
      </c>
      <c r="F7" s="209">
        <f>[21]!ask</f>
        <v>3290</v>
      </c>
      <c r="G7" s="197"/>
      <c r="H7" s="205">
        <f>DATE(YEAR(H6),MONTH(H6)+1,1)</f>
        <v>37257</v>
      </c>
      <c r="I7" s="210">
        <f>[42]!LastTrade</f>
        <v>2880</v>
      </c>
      <c r="J7" s="212">
        <f>[42]!netchange</f>
        <v>-46.999999999999886</v>
      </c>
      <c r="K7" s="601">
        <f ca="1">AVERAGE(C36:C40)-B29</f>
        <v>1.2367061941259085</v>
      </c>
      <c r="L7" s="151" t="s">
        <v>148</v>
      </c>
      <c r="M7" s="116" t="e">
        <f>[17]!LastPrice/10</f>
        <v>#VALUE!</v>
      </c>
      <c r="N7" s="116"/>
      <c r="O7" s="152" t="e">
        <f>[17]!ask/10</f>
        <v>#VALUE!</v>
      </c>
      <c r="P7" s="167" t="s">
        <v>142</v>
      </c>
      <c r="Q7" s="168"/>
      <c r="R7" s="168"/>
      <c r="S7" s="169">
        <f>[15]!'LastTrade,T'</f>
        <v>1579.5</v>
      </c>
      <c r="T7" s="170" t="str">
        <f>IF(U7&gt;0,"+","")</f>
        <v/>
      </c>
      <c r="U7" s="171">
        <f>[15]!'netchange,T'</f>
        <v>-115.80000000000018</v>
      </c>
      <c r="V7" s="141"/>
    </row>
    <row r="8" spans="1:24" ht="18" customHeight="1" thickTop="1">
      <c r="A8" s="205">
        <f t="shared" si="0"/>
        <v>37288</v>
      </c>
      <c r="B8" s="206">
        <f>[22]!netchange</f>
        <v>-113.99999999999987</v>
      </c>
      <c r="C8" s="207">
        <f>[22]!LastTrade</f>
        <v>3270</v>
      </c>
      <c r="D8" s="208"/>
      <c r="E8" s="208">
        <f>[22]!Bid</f>
        <v>3270</v>
      </c>
      <c r="F8" s="209">
        <f>[22]!ask</f>
        <v>3280</v>
      </c>
      <c r="G8" s="197"/>
      <c r="H8" s="205">
        <f>DATE(YEAR(H7),MONTH(H7)+1,1)</f>
        <v>37288</v>
      </c>
      <c r="I8" s="210">
        <f>[43]!LastTrade</f>
        <v>2835</v>
      </c>
      <c r="J8" s="212">
        <f>[43]!netchange</f>
        <v>-42.999999999999972</v>
      </c>
      <c r="K8" s="141"/>
      <c r="L8" s="151" t="s">
        <v>149</v>
      </c>
      <c r="M8" s="116" t="e">
        <f>[18]!LastPrice/10</f>
        <v>#VALUE!</v>
      </c>
      <c r="N8" s="116"/>
      <c r="O8" s="152" t="e">
        <f>[18]!ask/10</f>
        <v>#VALUE!</v>
      </c>
      <c r="P8" s="146"/>
      <c r="Q8" s="141"/>
      <c r="R8" s="141"/>
      <c r="S8" s="141"/>
      <c r="T8" s="141"/>
      <c r="U8" s="141"/>
      <c r="V8" s="141"/>
    </row>
    <row r="9" spans="1:24" ht="18" customHeight="1" thickBot="1">
      <c r="A9" s="205">
        <f t="shared" si="0"/>
        <v>37316</v>
      </c>
      <c r="B9" s="206">
        <f>[23]!netchange</f>
        <v>-110.00000000000031</v>
      </c>
      <c r="C9" s="207">
        <f>[23]!LastTrade</f>
        <v>3210</v>
      </c>
      <c r="D9" s="208"/>
      <c r="E9" s="208">
        <f>[23]!Bid</f>
        <v>3195</v>
      </c>
      <c r="F9" s="209">
        <f>[23]!ask</f>
        <v>3200</v>
      </c>
      <c r="G9" s="197"/>
      <c r="H9" s="213">
        <f>DATE(YEAR(H8),MONTH(H8)+1,1)</f>
        <v>37316</v>
      </c>
      <c r="I9" s="218">
        <f>[44]!LastTrade</f>
        <v>2780</v>
      </c>
      <c r="J9" s="219">
        <f>[44]!netchange</f>
        <v>-37.999999999999901</v>
      </c>
      <c r="K9" s="141"/>
      <c r="L9" s="151" t="s">
        <v>150</v>
      </c>
      <c r="M9" s="116" t="e">
        <f>[55]!LastPrice/10</f>
        <v>#VALUE!</v>
      </c>
      <c r="N9" s="116"/>
      <c r="O9" s="152" t="e">
        <f>[55]!ask/10</f>
        <v>#VALUE!</v>
      </c>
      <c r="P9" s="190"/>
      <c r="Q9" s="190"/>
      <c r="R9" s="191"/>
      <c r="S9" s="568" t="s">
        <v>155</v>
      </c>
      <c r="T9" s="569"/>
      <c r="U9" s="568" t="s">
        <v>156</v>
      </c>
      <c r="V9" s="141"/>
    </row>
    <row r="10" spans="1:24" ht="18" customHeight="1" thickTop="1" thickBot="1">
      <c r="A10" s="205">
        <f t="shared" si="0"/>
        <v>37347</v>
      </c>
      <c r="B10" s="206">
        <f>[24]!netchange</f>
        <v>-107.0000000000002</v>
      </c>
      <c r="C10" s="207">
        <f>[24]!LastTrade</f>
        <v>3100</v>
      </c>
      <c r="D10" s="208"/>
      <c r="E10" s="208">
        <f>[24]!Bid</f>
        <v>3110</v>
      </c>
      <c r="F10" s="209">
        <f>[24]!ask</f>
        <v>3120</v>
      </c>
      <c r="G10" s="197"/>
      <c r="H10" s="593"/>
      <c r="I10" s="594"/>
      <c r="J10" s="595"/>
      <c r="K10" s="141"/>
      <c r="L10" s="151" t="s">
        <v>151</v>
      </c>
      <c r="M10" s="116"/>
      <c r="N10" s="116"/>
      <c r="O10" s="152"/>
      <c r="P10" s="192"/>
      <c r="Q10" s="572" t="s">
        <v>218</v>
      </c>
      <c r="R10" s="193"/>
      <c r="S10" s="570">
        <f>[56]!'bid,t'</f>
        <v>1.5693000000000001</v>
      </c>
      <c r="T10" s="569"/>
      <c r="U10" s="571">
        <f>[56]!'ask,t'</f>
        <v>1.5703</v>
      </c>
      <c r="V10" s="141"/>
    </row>
    <row r="11" spans="1:24" ht="18" customHeight="1">
      <c r="A11" s="205">
        <f t="shared" si="0"/>
        <v>37377</v>
      </c>
      <c r="B11" s="206">
        <f>[25]!netchange</f>
        <v>-102.00000000000031</v>
      </c>
      <c r="C11" s="207">
        <f>[25]!LastTrade</f>
        <v>3125</v>
      </c>
      <c r="D11" s="208"/>
      <c r="E11" s="208">
        <f>[25]!Bid</f>
        <v>3125</v>
      </c>
      <c r="F11" s="209">
        <f>[25]!ask</f>
        <v>3160</v>
      </c>
      <c r="G11" s="197"/>
      <c r="H11" s="593"/>
      <c r="I11" s="594"/>
      <c r="J11" s="595"/>
      <c r="K11" s="141"/>
      <c r="L11" s="151" t="s">
        <v>152</v>
      </c>
      <c r="M11" s="116"/>
      <c r="N11" s="116"/>
      <c r="O11" s="152"/>
      <c r="P11" s="180"/>
      <c r="Q11" s="127"/>
      <c r="R11" s="128"/>
      <c r="S11" s="129"/>
      <c r="T11" s="141"/>
      <c r="U11" s="141"/>
      <c r="V11" s="141"/>
    </row>
    <row r="12" spans="1:24" ht="18" customHeight="1">
      <c r="A12" s="205">
        <f t="shared" si="0"/>
        <v>37408</v>
      </c>
      <c r="B12" s="206">
        <f>[26]!netchange</f>
        <v>-100.00000000000009</v>
      </c>
      <c r="C12" s="207">
        <f>[26]!LastTrade</f>
        <v>3170</v>
      </c>
      <c r="D12" s="208"/>
      <c r="E12" s="208">
        <f>[26]!Bid</f>
        <v>3180</v>
      </c>
      <c r="F12" s="209">
        <f>[26]!ask</f>
        <v>3250</v>
      </c>
      <c r="G12" s="197"/>
      <c r="H12" s="593"/>
      <c r="I12" s="594"/>
      <c r="J12" s="595"/>
      <c r="K12" s="141"/>
      <c r="L12" s="151" t="s">
        <v>153</v>
      </c>
      <c r="M12" s="116"/>
      <c r="N12" s="116"/>
      <c r="O12" s="152"/>
      <c r="P12" s="181"/>
      <c r="Q12" s="141"/>
      <c r="R12" s="131"/>
      <c r="S12" s="131"/>
      <c r="T12" s="141"/>
      <c r="U12" s="132"/>
      <c r="V12" s="141"/>
    </row>
    <row r="13" spans="1:24" ht="18" customHeight="1" thickBot="1">
      <c r="A13" s="205">
        <f t="shared" si="0"/>
        <v>37438</v>
      </c>
      <c r="B13" s="206">
        <f>[27]!netchange</f>
        <v>-100.00000000000009</v>
      </c>
      <c r="C13" s="207">
        <f>[27]!LastTrade</f>
        <v>3220</v>
      </c>
      <c r="D13" s="208"/>
      <c r="E13" s="208" t="str">
        <f>[27]!Bid</f>
        <v xml:space="preserve">        </v>
      </c>
      <c r="F13" s="209" t="str">
        <f>[27]!ask</f>
        <v xml:space="preserve">        </v>
      </c>
      <c r="G13" s="141"/>
      <c r="H13" s="564"/>
      <c r="I13" s="565"/>
      <c r="J13" s="566"/>
      <c r="K13" s="141"/>
      <c r="L13" s="153" t="s">
        <v>154</v>
      </c>
      <c r="M13" s="154"/>
      <c r="N13" s="154"/>
      <c r="O13" s="155"/>
      <c r="P13" s="181"/>
      <c r="Q13" s="141"/>
      <c r="R13" s="131"/>
      <c r="S13" s="131"/>
      <c r="T13" s="141"/>
      <c r="U13" s="132"/>
      <c r="V13" s="141"/>
    </row>
    <row r="14" spans="1:24" ht="18" customHeight="1" thickTop="1">
      <c r="A14" s="205">
        <f t="shared" si="0"/>
        <v>37469</v>
      </c>
      <c r="B14" s="206">
        <f>[28]!netchange</f>
        <v>-100.00000000000009</v>
      </c>
      <c r="C14" s="207">
        <f>[28]!LastTrade</f>
        <v>3245</v>
      </c>
      <c r="D14" s="208"/>
      <c r="E14" s="208">
        <f>[28]!Bid</f>
        <v>3235</v>
      </c>
      <c r="F14" s="209">
        <f>[28]!ask</f>
        <v>3255</v>
      </c>
      <c r="G14" s="141"/>
      <c r="H14" s="564"/>
      <c r="I14" s="565"/>
      <c r="J14" s="566"/>
      <c r="K14" s="141"/>
      <c r="L14" s="141"/>
      <c r="M14" s="141"/>
      <c r="N14" s="141"/>
      <c r="O14" s="141"/>
      <c r="P14" s="181"/>
      <c r="Q14" s="141"/>
      <c r="R14" s="131"/>
      <c r="S14" s="131"/>
      <c r="T14" s="141"/>
      <c r="U14" s="132"/>
      <c r="V14" s="141"/>
    </row>
    <row r="15" spans="1:24" ht="18" customHeight="1" thickBot="1">
      <c r="A15" s="213">
        <f t="shared" si="0"/>
        <v>37500</v>
      </c>
      <c r="B15" s="214">
        <f>[29]!netchange</f>
        <v>-99.999999999999645</v>
      </c>
      <c r="C15" s="215">
        <f>[29]!LastTrade</f>
        <v>3255</v>
      </c>
      <c r="D15" s="216"/>
      <c r="E15" s="216" t="str">
        <f>[29]!Bid</f>
        <v xml:space="preserve">        </v>
      </c>
      <c r="F15" s="217" t="str">
        <f>[29]!ask</f>
        <v xml:space="preserve">        </v>
      </c>
      <c r="G15" s="141"/>
      <c r="H15" s="564"/>
      <c r="I15" s="565"/>
      <c r="J15" s="566"/>
      <c r="K15" s="141"/>
      <c r="L15" s="144"/>
      <c r="M15" s="144"/>
      <c r="N15" s="144"/>
      <c r="O15" s="144"/>
      <c r="P15" s="181"/>
      <c r="Q15" s="141"/>
      <c r="R15" s="131"/>
      <c r="S15" s="131"/>
      <c r="T15" s="144"/>
      <c r="U15" s="132"/>
      <c r="V15" s="141"/>
    </row>
    <row r="16" spans="1:24" ht="18" hidden="1" customHeight="1" thickTop="1">
      <c r="A16" s="147">
        <f t="shared" si="0"/>
        <v>37530</v>
      </c>
      <c r="B16" s="113">
        <f>[30]!netchange</f>
        <v>-99.999999999999645</v>
      </c>
      <c r="C16" s="185">
        <f>[30]!LastTrade</f>
        <v>3270</v>
      </c>
      <c r="D16" s="186"/>
      <c r="E16" s="186">
        <f>[30]!Bid</f>
        <v>3245</v>
      </c>
      <c r="F16" s="187">
        <f>[30]!ask</f>
        <v>3270</v>
      </c>
      <c r="G16" s="141"/>
      <c r="H16" s="564"/>
      <c r="I16" s="565"/>
      <c r="J16" s="148">
        <f>[45]!netchange</f>
        <v>-18.999999999999773</v>
      </c>
      <c r="K16" s="141"/>
      <c r="L16" s="144"/>
      <c r="M16" s="144"/>
      <c r="N16" s="144"/>
      <c r="O16" s="144"/>
      <c r="P16" s="181"/>
      <c r="Q16" s="141"/>
      <c r="R16" s="131"/>
      <c r="S16" s="131"/>
      <c r="T16" s="144"/>
      <c r="U16" s="132"/>
      <c r="V16" s="141"/>
      <c r="W16" s="194"/>
    </row>
    <row r="17" spans="1:44" ht="18" hidden="1" customHeight="1">
      <c r="A17" s="147">
        <f t="shared" si="0"/>
        <v>37561</v>
      </c>
      <c r="B17" s="113">
        <f>[31]!netchange</f>
        <v>-100.00000000000009</v>
      </c>
      <c r="C17" s="185">
        <f>[31]!LastTrade</f>
        <v>3440</v>
      </c>
      <c r="D17" s="186"/>
      <c r="E17" s="186">
        <f>[31]!Bid</f>
        <v>3430</v>
      </c>
      <c r="F17" s="187">
        <f>[31]!ask</f>
        <v>3450</v>
      </c>
      <c r="G17" s="141"/>
      <c r="H17" s="564"/>
      <c r="I17" s="565"/>
      <c r="J17" s="148">
        <f>[46]!netchange</f>
        <v>-17.999999999999972</v>
      </c>
      <c r="K17" s="141"/>
      <c r="L17" s="144"/>
      <c r="M17" s="144"/>
      <c r="N17" s="144"/>
      <c r="O17" s="144"/>
      <c r="P17" s="181"/>
      <c r="Q17" s="131"/>
      <c r="R17" s="131"/>
      <c r="S17" s="132"/>
      <c r="T17" s="144"/>
      <c r="U17" s="144"/>
      <c r="V17" s="141"/>
    </row>
    <row r="18" spans="1:44" ht="18" hidden="1" customHeight="1">
      <c r="A18" s="147">
        <f t="shared" si="0"/>
        <v>37591</v>
      </c>
      <c r="B18" s="113">
        <f>[32]!netchange</f>
        <v>-100.00000000000009</v>
      </c>
      <c r="C18" s="185">
        <f>[32]!LastTrade</f>
        <v>3560</v>
      </c>
      <c r="D18" s="186"/>
      <c r="E18" s="186" t="str">
        <f>[32]!Bid</f>
        <v xml:space="preserve">        </v>
      </c>
      <c r="F18" s="187" t="str">
        <f>[32]!ask</f>
        <v xml:space="preserve">        </v>
      </c>
      <c r="G18" s="141"/>
      <c r="H18" s="564"/>
      <c r="I18" s="565"/>
      <c r="J18" s="148">
        <f>[47]!netchange</f>
        <v>-16.999999999999815</v>
      </c>
      <c r="K18" s="141"/>
      <c r="L18" s="144"/>
      <c r="M18" s="144"/>
      <c r="N18" s="144"/>
      <c r="O18" s="144"/>
      <c r="P18" s="181"/>
      <c r="Q18" s="131"/>
      <c r="R18" s="131"/>
      <c r="S18" s="132"/>
      <c r="T18" s="144"/>
      <c r="U18" s="144"/>
      <c r="V18" s="141"/>
    </row>
    <row r="19" spans="1:44" ht="18" hidden="1" customHeight="1">
      <c r="A19" s="147">
        <f t="shared" si="0"/>
        <v>37622</v>
      </c>
      <c r="B19" s="113">
        <f>[33]!netchange</f>
        <v>-100.00000000000009</v>
      </c>
      <c r="C19" s="185">
        <f>[33]!LastTrade</f>
        <v>3670</v>
      </c>
      <c r="D19" s="186"/>
      <c r="E19" s="186">
        <f>[33]!Bid</f>
        <v>3670</v>
      </c>
      <c r="F19" s="187">
        <f>[33]!ask</f>
        <v>3670</v>
      </c>
      <c r="G19" s="141"/>
      <c r="H19" s="564"/>
      <c r="I19" s="565"/>
      <c r="J19" s="148">
        <f>[48]!netchange</f>
        <v>-16.999999999999815</v>
      </c>
      <c r="K19" s="141"/>
      <c r="L19" s="144"/>
      <c r="M19" s="144"/>
      <c r="N19" s="144"/>
      <c r="O19" s="144"/>
      <c r="P19" s="181"/>
      <c r="Q19" s="131"/>
      <c r="R19" s="131"/>
      <c r="S19" s="132"/>
      <c r="T19" s="144"/>
      <c r="U19" s="144"/>
      <c r="V19" s="141"/>
    </row>
    <row r="20" spans="1:44" ht="18" hidden="1" customHeight="1" thickBot="1">
      <c r="A20" s="147">
        <f t="shared" si="0"/>
        <v>37653</v>
      </c>
      <c r="B20" s="113">
        <f>[34]!netchange</f>
        <v>-90.000000000000298</v>
      </c>
      <c r="C20" s="185">
        <f>[34]!LastTrade</f>
        <v>3580</v>
      </c>
      <c r="D20" s="186"/>
      <c r="E20" s="186" t="str">
        <f>[34]!Bid</f>
        <v xml:space="preserve">        </v>
      </c>
      <c r="F20" s="187" t="str">
        <f>[34]!ask</f>
        <v xml:space="preserve">        </v>
      </c>
      <c r="G20" s="141"/>
      <c r="H20" s="564"/>
      <c r="I20" s="565"/>
      <c r="J20" s="148">
        <f>[49]!netchange</f>
        <v>-17.999999999999972</v>
      </c>
      <c r="K20" s="141"/>
      <c r="L20" s="144"/>
      <c r="M20" s="144"/>
      <c r="N20" s="144"/>
      <c r="O20" s="144"/>
      <c r="P20" s="182"/>
      <c r="Q20" s="134"/>
      <c r="R20" s="134"/>
      <c r="S20" s="135"/>
      <c r="T20" s="144"/>
      <c r="U20" s="144"/>
      <c r="V20" s="141"/>
    </row>
    <row r="21" spans="1:44" ht="18" hidden="1" customHeight="1">
      <c r="A21" s="147">
        <f t="shared" si="0"/>
        <v>37681</v>
      </c>
      <c r="B21" s="113">
        <f>[35]!netchange</f>
        <v>-89.999999999999858</v>
      </c>
      <c r="C21" s="185">
        <f>[35]!LastTrade</f>
        <v>3450</v>
      </c>
      <c r="D21" s="186"/>
      <c r="E21" s="186" t="str">
        <f>[35]!Bid</f>
        <v xml:space="preserve">        </v>
      </c>
      <c r="F21" s="187" t="str">
        <f>[35]!ask</f>
        <v xml:space="preserve">        </v>
      </c>
      <c r="G21" s="141"/>
      <c r="H21" s="564"/>
      <c r="I21" s="565"/>
      <c r="J21" s="148">
        <f>[50]!netchange</f>
        <v>-19.000000000000128</v>
      </c>
      <c r="K21" s="141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1"/>
    </row>
    <row r="22" spans="1:44" ht="18" hidden="1" customHeight="1">
      <c r="A22" s="147">
        <f t="shared" si="0"/>
        <v>37712</v>
      </c>
      <c r="B22" s="113">
        <f>[36]!netchange</f>
        <v>-80.000000000000071</v>
      </c>
      <c r="C22" s="185" t="str">
        <f>[36]!LastTrade</f>
        <v xml:space="preserve">        </v>
      </c>
      <c r="D22" s="186"/>
      <c r="E22" s="186" t="str">
        <f>[36]!Bid</f>
        <v xml:space="preserve">        </v>
      </c>
      <c r="F22" s="187">
        <f>[36]!ask</f>
        <v>3301</v>
      </c>
      <c r="G22" s="141"/>
      <c r="H22" s="564"/>
      <c r="I22" s="565"/>
      <c r="J22" s="148">
        <f>[51]!netchange</f>
        <v>-19.999999999999929</v>
      </c>
      <c r="K22" s="141"/>
      <c r="L22" s="144"/>
      <c r="M22" s="144"/>
      <c r="N22" s="144"/>
      <c r="O22" s="144"/>
      <c r="P22" s="144"/>
      <c r="Q22" s="184"/>
      <c r="R22" s="145"/>
      <c r="S22" s="183"/>
      <c r="T22" s="144"/>
      <c r="U22" s="195"/>
      <c r="V22" s="141"/>
    </row>
    <row r="23" spans="1:44" ht="18" hidden="1" customHeight="1">
      <c r="A23" s="147">
        <f t="shared" si="0"/>
        <v>37742</v>
      </c>
      <c r="B23" s="113">
        <f>[37]!netchange</f>
        <v>-79.999999999999631</v>
      </c>
      <c r="C23" s="185" t="str">
        <f>[37]!LastTrade</f>
        <v xml:space="preserve">        </v>
      </c>
      <c r="D23" s="186"/>
      <c r="E23" s="186" t="str">
        <f>[37]!Bid</f>
        <v xml:space="preserve">        </v>
      </c>
      <c r="F23" s="187">
        <f>[37]!ask</f>
        <v>3306</v>
      </c>
      <c r="G23" s="141"/>
      <c r="H23" s="564"/>
      <c r="I23" s="565"/>
      <c r="J23" s="148">
        <f>[52]!netchange</f>
        <v>-21.000000000000085</v>
      </c>
      <c r="K23" s="141"/>
      <c r="L23" s="144"/>
      <c r="M23" s="144"/>
      <c r="N23" s="144"/>
      <c r="O23" s="144"/>
      <c r="P23" s="144"/>
      <c r="Q23" s="184"/>
      <c r="R23" s="144"/>
      <c r="S23" s="144"/>
      <c r="T23" s="144"/>
      <c r="U23" s="195"/>
      <c r="V23" s="141"/>
    </row>
    <row r="24" spans="1:44" ht="18" hidden="1" customHeight="1">
      <c r="A24" s="147">
        <f t="shared" si="0"/>
        <v>37773</v>
      </c>
      <c r="B24" s="113">
        <f>[38]!netchange</f>
        <v>-79.999999999999631</v>
      </c>
      <c r="C24" s="185">
        <f>[38]!LastTrade</f>
        <v>3310</v>
      </c>
      <c r="D24" s="186"/>
      <c r="E24" s="186">
        <f>[38]!Bid</f>
        <v>3310</v>
      </c>
      <c r="F24" s="187">
        <f>[38]!ask</f>
        <v>3334</v>
      </c>
      <c r="G24" s="141"/>
      <c r="H24" s="564"/>
      <c r="I24" s="565"/>
      <c r="J24" s="148">
        <f>[53]!netchange</f>
        <v>-22.000000000000242</v>
      </c>
      <c r="K24" s="141"/>
      <c r="L24" s="141"/>
      <c r="M24" s="141"/>
      <c r="N24" s="141"/>
      <c r="O24" s="141"/>
      <c r="P24" s="141"/>
      <c r="Q24" s="184"/>
      <c r="R24" s="144"/>
      <c r="S24" s="144"/>
      <c r="T24" s="144"/>
      <c r="U24" s="195"/>
      <c r="V24" s="141"/>
    </row>
    <row r="25" spans="1:44" ht="18" hidden="1" customHeight="1">
      <c r="A25" s="147">
        <f t="shared" si="0"/>
        <v>37803</v>
      </c>
      <c r="B25" s="113">
        <f>[39]!netchange</f>
        <v>-80.000000000000071</v>
      </c>
      <c r="C25" s="185">
        <f>[39]!LastTrade</f>
        <v>3360</v>
      </c>
      <c r="D25" s="186"/>
      <c r="E25" s="186">
        <f>[39]!Bid</f>
        <v>3314</v>
      </c>
      <c r="F25" s="187">
        <f>[39]!ask</f>
        <v>3354</v>
      </c>
      <c r="G25" s="141"/>
      <c r="H25" s="564"/>
      <c r="I25" s="565"/>
      <c r="J25" s="148">
        <f>[54]!netchange</f>
        <v>-23.000000000000043</v>
      </c>
      <c r="K25" s="141"/>
      <c r="L25" s="141"/>
      <c r="M25" s="141"/>
      <c r="N25" s="141"/>
      <c r="O25" s="141"/>
      <c r="P25" s="141"/>
      <c r="Q25" s="141"/>
      <c r="R25" s="144"/>
      <c r="S25" s="144"/>
      <c r="T25" s="144"/>
      <c r="U25" s="144"/>
      <c r="V25" s="141"/>
    </row>
    <row r="26" spans="1:44" ht="11.25" customHeight="1" thickTop="1" thickBot="1">
      <c r="A26" s="141"/>
      <c r="B26" s="188"/>
      <c r="C26" s="141"/>
      <c r="D26" s="141"/>
      <c r="E26" s="142"/>
      <c r="F26" s="142"/>
      <c r="G26" s="141"/>
      <c r="H26" s="564"/>
      <c r="I26" s="565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</row>
    <row r="27" spans="1:44" ht="10.5" customHeight="1">
      <c r="A27" s="141"/>
      <c r="B27" s="188"/>
      <c r="C27" s="141"/>
      <c r="D27" s="141"/>
      <c r="E27" s="142"/>
      <c r="F27" s="142"/>
      <c r="G27" s="141"/>
      <c r="H27" s="564"/>
      <c r="I27" s="565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AE27" s="559" t="s">
        <v>256</v>
      </c>
      <c r="AF27" s="561" t="s">
        <v>257</v>
      </c>
      <c r="AG27" s="556"/>
      <c r="AH27" s="552" t="s">
        <v>252</v>
      </c>
      <c r="AI27" s="552" t="s">
        <v>253</v>
      </c>
      <c r="AJ27" s="578"/>
      <c r="AK27" s="579"/>
      <c r="AL27" s="580"/>
      <c r="AM27" s="588"/>
      <c r="AN27" s="588"/>
      <c r="AO27" s="588"/>
    </row>
    <row r="28" spans="1:44" ht="18" customHeight="1">
      <c r="A28" s="558">
        <v>7.0000000000000007E-2</v>
      </c>
      <c r="B28" s="552" t="s">
        <v>254</v>
      </c>
      <c r="C28" s="552" t="s">
        <v>255</v>
      </c>
      <c r="D28" s="552"/>
      <c r="E28" s="552"/>
      <c r="F28" s="574" t="s">
        <v>259</v>
      </c>
      <c r="G28" s="141"/>
      <c r="H28" s="564"/>
      <c r="I28" s="565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AE28" s="559"/>
      <c r="AF28" s="555">
        <f ca="1">TODAY()</f>
        <v>37151</v>
      </c>
      <c r="AG28" s="556">
        <f>A28</f>
        <v>7.0000000000000007E-2</v>
      </c>
      <c r="AH28" s="552"/>
      <c r="AI28" s="552"/>
      <c r="AJ28" s="581" t="s">
        <v>260</v>
      </c>
      <c r="AK28" s="587" t="s">
        <v>252</v>
      </c>
      <c r="AL28" s="140" t="s">
        <v>262</v>
      </c>
      <c r="AM28" s="559" t="s">
        <v>263</v>
      </c>
      <c r="AN28" s="588"/>
      <c r="AO28" s="588"/>
      <c r="AQ28" s="561" t="s">
        <v>218</v>
      </c>
      <c r="AR28" s="552" t="s">
        <v>251</v>
      </c>
    </row>
    <row r="29" spans="1:44" ht="18" customHeight="1">
      <c r="A29" s="545" t="s">
        <v>258</v>
      </c>
      <c r="B29" s="573">
        <v>2.57</v>
      </c>
      <c r="C29" s="560">
        <f ca="1">B29*AG29</f>
        <v>2.5516692808534041</v>
      </c>
      <c r="D29" s="546"/>
      <c r="E29" s="547"/>
      <c r="F29" s="575"/>
      <c r="G29" s="563">
        <f ca="1">$C$29</f>
        <v>2.5516692808534041</v>
      </c>
      <c r="H29" s="564"/>
      <c r="I29" s="565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AE29" s="555">
        <f ca="1">DATE(YEAR(AF28),MONTH(AF28)+1,25)</f>
        <v>37189</v>
      </c>
      <c r="AF29" s="562">
        <v>-0.01</v>
      </c>
      <c r="AG29" s="557">
        <f t="shared" ref="AG29:AG38" ca="1" si="1">((1+$AG$28/2)^(-2*(AE29-$AF$28)/365.25))</f>
        <v>0.9928674244565775</v>
      </c>
      <c r="AH29" s="550">
        <f>VLOOKUP(AQ29,MIDS!$A$34:$AI$71,35)</f>
        <v>1.5565</v>
      </c>
      <c r="AI29" s="546"/>
      <c r="AJ29" s="583" t="s">
        <v>261</v>
      </c>
      <c r="AK29" s="584">
        <f>MIDS!T3/AH29*1.055056</f>
        <v>0</v>
      </c>
      <c r="AL29" s="582"/>
      <c r="AM29" s="588"/>
      <c r="AN29" s="588"/>
      <c r="AO29" s="588"/>
      <c r="AQ29" s="548">
        <f>DATE(YEAR(W2),MONTH(W2),1)</f>
        <v>37135</v>
      </c>
      <c r="AR29" s="549">
        <f>S10</f>
        <v>1.5693000000000001</v>
      </c>
    </row>
    <row r="30" spans="1:44" ht="18" customHeight="1">
      <c r="A30" s="548">
        <f t="shared" ref="A30:A41" si="2">A4</f>
        <v>37165</v>
      </c>
      <c r="B30" s="553">
        <f>(C4/1000+E30)/1.055056*AR30</f>
        <v>2.856656300310648</v>
      </c>
      <c r="C30" s="560">
        <f t="shared" ref="C30:C38" ca="1" si="3">B30*AG30</f>
        <v>2.819766699352841</v>
      </c>
      <c r="D30" s="546"/>
      <c r="E30" s="554">
        <v>-0.435</v>
      </c>
      <c r="F30" s="575"/>
      <c r="G30" s="563">
        <f t="shared" ref="G30:G41" ca="1" si="4">$C$29</f>
        <v>2.5516692808534041</v>
      </c>
      <c r="H30" s="564"/>
      <c r="I30" s="565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AE30" s="555">
        <f>DATE(YEAR(A30),MONTH(A30)+1,25)</f>
        <v>37220</v>
      </c>
      <c r="AF30" s="557">
        <f ca="1">(C30-$C$29)/($AG$29+AG30)</f>
        <v>0.13540589164098243</v>
      </c>
      <c r="AG30" s="557">
        <f t="shared" ca="1" si="1"/>
        <v>0.98708644055156525</v>
      </c>
      <c r="AH30" s="550">
        <f>VLOOKUP(AQ30,MIDS!$A$34:$AI$71,35)</f>
        <v>1.5569564424898701</v>
      </c>
      <c r="AI30" s="551">
        <f>AH30-AH29</f>
        <v>4.5644248987009028E-4</v>
      </c>
      <c r="AJ30" s="585">
        <f>A30</f>
        <v>37165</v>
      </c>
      <c r="AK30" s="584">
        <f>VLOOKUP(AJ30,MIDS!$A$35:$C$60,3)+AK29</f>
        <v>-0.44467933201669529</v>
      </c>
      <c r="AL30" s="582"/>
      <c r="AM30" s="589">
        <f>AJ30</f>
        <v>37165</v>
      </c>
      <c r="AN30" s="588">
        <f>VLOOKUP(AJ30,MIDS!$A$35:$B$128,2)</f>
        <v>2.42</v>
      </c>
      <c r="AO30" s="562">
        <v>2.359</v>
      </c>
      <c r="AP30" s="603">
        <f>C4/1000</f>
        <v>2.355</v>
      </c>
      <c r="AQ30" s="548">
        <f t="shared" ref="AQ30:AQ41" si="5">A30</f>
        <v>37165</v>
      </c>
      <c r="AR30" s="549">
        <f t="shared" ref="AR30:AR41" si="6">AR29+AI30</f>
        <v>1.5697564424898702</v>
      </c>
    </row>
    <row r="31" spans="1:44" ht="18" customHeight="1">
      <c r="A31" s="548">
        <f t="shared" si="2"/>
        <v>37196</v>
      </c>
      <c r="B31" s="553">
        <f t="shared" ref="B31:B41" si="7">(C5/1000+E31)/1.055056*AR31+F31</f>
        <v>3.3861900370067088</v>
      </c>
      <c r="C31" s="560">
        <f t="shared" ca="1" si="3"/>
        <v>3.3236267583048038</v>
      </c>
      <c r="D31" s="546"/>
      <c r="E31" s="544">
        <f>VLOOKUP(A31,MIDS!$A$35:$C$60,3)-0.0075</f>
        <v>-0.46750000000000003</v>
      </c>
      <c r="F31" s="576">
        <f>VLOOKUP(A31,MIDS!$A$34:$AV$64,48)</f>
        <v>4.0000000000000001E-3</v>
      </c>
      <c r="G31" s="563">
        <f t="shared" ca="1" si="4"/>
        <v>2.5516692808534041</v>
      </c>
      <c r="H31" s="564"/>
      <c r="I31" s="565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AE31" s="555">
        <f t="shared" ref="AE31:AE38" si="8">DATE(YEAR(A31),MONTH(A31)+1,25)</f>
        <v>37250</v>
      </c>
      <c r="AF31" s="557">
        <f t="shared" ref="AF31:AF38" ca="1" si="9">(C31-$C$29)/($AG$29+AG31)</f>
        <v>0.39098502532750312</v>
      </c>
      <c r="AG31" s="557">
        <f t="shared" ca="1" si="1"/>
        <v>0.98152399067442497</v>
      </c>
      <c r="AH31" s="550">
        <f>VLOOKUP(AQ31,MIDS!$A$34:$AI$71,35)</f>
        <v>1.5574529776387898</v>
      </c>
      <c r="AI31" s="551">
        <f t="shared" ref="AI31:AI38" si="10">AH31-AH30</f>
        <v>4.9653514891967454E-4</v>
      </c>
      <c r="AJ31" s="585">
        <f>DATE(YEAR(AJ30),MONTH(AJ30)+1,1)</f>
        <v>37196</v>
      </c>
      <c r="AK31" s="584">
        <f>VLOOKUP(AJ31,MIDS!$A$35:$C$60,3)</f>
        <v>-0.46</v>
      </c>
      <c r="AL31" s="586">
        <f>AK31-AK30</f>
        <v>-1.5320667983304725E-2</v>
      </c>
      <c r="AM31" s="589">
        <f t="shared" ref="AM31:AM50" si="11">AJ31</f>
        <v>37196</v>
      </c>
      <c r="AN31" s="588">
        <f>VLOOKUP(AJ31,MIDS!$A$35:$B$128,2)</f>
        <v>2.7240000000000002</v>
      </c>
      <c r="AO31" s="562">
        <v>2.67</v>
      </c>
      <c r="AP31" s="603">
        <f t="shared" ref="AP31:AP50" si="12">C5/1000</f>
        <v>2.74</v>
      </c>
      <c r="AQ31" s="548">
        <f t="shared" si="5"/>
        <v>37196</v>
      </c>
      <c r="AR31" s="549">
        <f t="shared" si="6"/>
        <v>1.5702529776387899</v>
      </c>
    </row>
    <row r="32" spans="1:44" ht="18" customHeight="1">
      <c r="A32" s="548">
        <f t="shared" si="2"/>
        <v>37226</v>
      </c>
      <c r="B32" s="553">
        <f t="shared" si="7"/>
        <v>3.9451843489398453</v>
      </c>
      <c r="C32" s="560">
        <f t="shared" ca="1" si="3"/>
        <v>3.8497466076504776</v>
      </c>
      <c r="D32" s="546"/>
      <c r="E32" s="544">
        <f>VLOOKUP(A32,MIDS!$A$35:$C$60,3)-0.0075</f>
        <v>-0.46250000000000002</v>
      </c>
      <c r="F32" s="576">
        <f>VLOOKUP(A32,MIDS!$A$34:$AV$64,48)</f>
        <v>4.0000000000000001E-3</v>
      </c>
      <c r="G32" s="563">
        <f t="shared" ca="1" si="4"/>
        <v>2.5516692808534041</v>
      </c>
      <c r="H32" s="564"/>
      <c r="I32" s="565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AE32" s="555">
        <f t="shared" si="8"/>
        <v>37281</v>
      </c>
      <c r="AF32" s="557">
        <f t="shared" ca="1" si="9"/>
        <v>0.65936548790992167</v>
      </c>
      <c r="AG32" s="557">
        <f t="shared" ca="1" si="1"/>
        <v>0.97580905406485918</v>
      </c>
      <c r="AH32" s="550">
        <f>VLOOKUP(AQ32,MIDS!$A$34:$AI$71,35)</f>
        <v>1.55780252859493</v>
      </c>
      <c r="AI32" s="551">
        <f t="shared" si="10"/>
        <v>3.4955095614019882E-4</v>
      </c>
      <c r="AJ32" s="585">
        <f t="shared" ref="AJ32:AJ41" si="13">DATE(YEAR(AJ31),MONTH(AJ31)+1,1)</f>
        <v>37226</v>
      </c>
      <c r="AK32" s="584">
        <f>VLOOKUP(AJ32,MIDS!$A$35:$C$60,3)</f>
        <v>-0.45500000000000002</v>
      </c>
      <c r="AL32" s="586">
        <f t="shared" ref="AL32:AL41" si="14">AK32-AK31</f>
        <v>5.0000000000000044E-3</v>
      </c>
      <c r="AM32" s="589">
        <f t="shared" si="11"/>
        <v>37226</v>
      </c>
      <c r="AN32" s="588">
        <f>VLOOKUP(AJ32,MIDS!$A$35:$B$128,2)</f>
        <v>3.0470000000000002</v>
      </c>
      <c r="AO32" s="562">
        <v>2.9950000000000001</v>
      </c>
      <c r="AP32" s="603">
        <f t="shared" si="12"/>
        <v>3.11</v>
      </c>
      <c r="AQ32" s="548">
        <f t="shared" si="5"/>
        <v>37226</v>
      </c>
      <c r="AR32" s="549">
        <f t="shared" si="6"/>
        <v>1.5706025285949301</v>
      </c>
    </row>
    <row r="33" spans="1:44" ht="18" customHeight="1">
      <c r="A33" s="548">
        <f t="shared" si="2"/>
        <v>37257</v>
      </c>
      <c r="B33" s="553">
        <f t="shared" si="7"/>
        <v>4.1989907545263954</v>
      </c>
      <c r="C33" s="560">
        <f t="shared" ca="1" si="3"/>
        <v>4.0735559528717582</v>
      </c>
      <c r="D33" s="546"/>
      <c r="E33" s="544">
        <f>VLOOKUP(A33,MIDS!$A$35:$C$60,3)-0.0075</f>
        <v>-0.45250000000000001</v>
      </c>
      <c r="F33" s="576">
        <f>VLOOKUP(A33,MIDS!$A$34:$AV$64,48)</f>
        <v>4.0000000000000001E-3</v>
      </c>
      <c r="G33" s="563">
        <f t="shared" ca="1" si="4"/>
        <v>2.5516692808534041</v>
      </c>
      <c r="H33" s="564"/>
      <c r="I33" s="565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AE33" s="555">
        <f t="shared" si="8"/>
        <v>37312</v>
      </c>
      <c r="AF33" s="557">
        <f t="shared" ca="1" si="9"/>
        <v>0.77528817635073832</v>
      </c>
      <c r="AG33" s="557">
        <f t="shared" ca="1" si="1"/>
        <v>0.97012739275040749</v>
      </c>
      <c r="AH33" s="550">
        <f>VLOOKUP(AQ33,MIDS!$A$34:$AI$71,35)</f>
        <v>1.5580784970745698</v>
      </c>
      <c r="AI33" s="551">
        <f t="shared" si="10"/>
        <v>2.7596847963984317E-4</v>
      </c>
      <c r="AJ33" s="585">
        <f t="shared" si="13"/>
        <v>37257</v>
      </c>
      <c r="AK33" s="584">
        <f>VLOOKUP(AJ33,MIDS!$A$35:$C$60,3)</f>
        <v>-0.44500000000000001</v>
      </c>
      <c r="AL33" s="586">
        <f t="shared" si="14"/>
        <v>1.0000000000000009E-2</v>
      </c>
      <c r="AM33" s="589">
        <f t="shared" si="11"/>
        <v>37257</v>
      </c>
      <c r="AN33" s="588">
        <f>VLOOKUP(AJ33,MIDS!$A$35:$B$128,2)</f>
        <v>3.1920000000000002</v>
      </c>
      <c r="AO33" s="562">
        <v>3.14</v>
      </c>
      <c r="AP33" s="603">
        <f t="shared" si="12"/>
        <v>3.27</v>
      </c>
      <c r="AQ33" s="548">
        <f t="shared" si="5"/>
        <v>37257</v>
      </c>
      <c r="AR33" s="549">
        <f t="shared" si="6"/>
        <v>1.5708784970745699</v>
      </c>
    </row>
    <row r="34" spans="1:44" ht="18" customHeight="1">
      <c r="A34" s="548">
        <f t="shared" si="2"/>
        <v>37288</v>
      </c>
      <c r="B34" s="553">
        <f t="shared" si="7"/>
        <v>4.1993869052995505</v>
      </c>
      <c r="C34" s="560">
        <f t="shared" ca="1" si="3"/>
        <v>4.0525091878454278</v>
      </c>
      <c r="D34" s="546"/>
      <c r="E34" s="544">
        <f>VLOOKUP(A34,MIDS!$A$35:$C$60,3)-0.0075</f>
        <v>-0.45250000000000001</v>
      </c>
      <c r="F34" s="576">
        <f>VLOOKUP(A34,MIDS!$A$34:$AV$64,48)</f>
        <v>4.0000000000000001E-3</v>
      </c>
      <c r="G34" s="563">
        <f t="shared" ca="1" si="4"/>
        <v>2.5516692808534041</v>
      </c>
      <c r="H34" s="564"/>
      <c r="I34" s="565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AE34" s="555">
        <f t="shared" si="8"/>
        <v>37340</v>
      </c>
      <c r="AF34" s="557">
        <f t="shared" ca="1" si="9"/>
        <v>0.76655931025359259</v>
      </c>
      <c r="AG34" s="557">
        <f t="shared" ca="1" si="1"/>
        <v>0.9650240092741238</v>
      </c>
      <c r="AH34" s="550">
        <f>VLOOKUP(AQ34,MIDS!$A$34:$AI$71,35)</f>
        <v>1.55822684179511</v>
      </c>
      <c r="AI34" s="551">
        <f t="shared" si="10"/>
        <v>1.4834472054015002E-4</v>
      </c>
      <c r="AJ34" s="585">
        <f t="shared" si="13"/>
        <v>37288</v>
      </c>
      <c r="AK34" s="584">
        <f>VLOOKUP(AJ34,MIDS!$A$35:$C$60,3)</f>
        <v>-0.44500000000000001</v>
      </c>
      <c r="AL34" s="586">
        <f t="shared" si="14"/>
        <v>0</v>
      </c>
      <c r="AM34" s="589">
        <f t="shared" si="11"/>
        <v>37288</v>
      </c>
      <c r="AN34" s="588">
        <f>VLOOKUP(AJ34,MIDS!$A$35:$B$128,2)</f>
        <v>3.1590000000000003</v>
      </c>
      <c r="AO34" s="562">
        <v>3.1080000000000001</v>
      </c>
      <c r="AP34" s="603">
        <f t="shared" si="12"/>
        <v>3.27</v>
      </c>
      <c r="AQ34" s="548">
        <f t="shared" si="5"/>
        <v>37288</v>
      </c>
      <c r="AR34" s="549">
        <f t="shared" si="6"/>
        <v>1.5710268417951101</v>
      </c>
    </row>
    <row r="35" spans="1:44" ht="18" customHeight="1">
      <c r="A35" s="548">
        <f t="shared" si="2"/>
        <v>37316</v>
      </c>
      <c r="B35" s="553">
        <f t="shared" si="7"/>
        <v>4.110145061651937</v>
      </c>
      <c r="C35" s="560">
        <f t="shared" ca="1" si="3"/>
        <v>3.9432943148490045</v>
      </c>
      <c r="D35" s="546"/>
      <c r="E35" s="544">
        <f>VLOOKUP(A35,MIDS!$A$35:$C$60,3)-0.0075</f>
        <v>-0.45250000000000001</v>
      </c>
      <c r="F35" s="576">
        <f>VLOOKUP(A35,MIDS!$A$34:$AV$64,48)</f>
        <v>4.0000000000000001E-3</v>
      </c>
      <c r="G35" s="563">
        <f t="shared" ca="1" si="4"/>
        <v>2.5516692808534041</v>
      </c>
      <c r="H35" s="564"/>
      <c r="I35" s="565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AE35" s="555">
        <f t="shared" si="8"/>
        <v>37371</v>
      </c>
      <c r="AF35" s="557">
        <f t="shared" ca="1" si="9"/>
        <v>0.71282312544914117</v>
      </c>
      <c r="AG35" s="557">
        <f t="shared" ca="1" si="1"/>
        <v>0.95940514402772137</v>
      </c>
      <c r="AH35" s="550">
        <f>VLOOKUP(AQ35,MIDS!$A$34:$AI$71,35)</f>
        <v>1.55826545210018</v>
      </c>
      <c r="AI35" s="551">
        <f t="shared" si="10"/>
        <v>3.861030507001928E-5</v>
      </c>
      <c r="AJ35" s="585">
        <f t="shared" si="13"/>
        <v>37316</v>
      </c>
      <c r="AK35" s="584">
        <f>VLOOKUP(AJ35,MIDS!$A$35:$C$60,3)</f>
        <v>-0.44500000000000001</v>
      </c>
      <c r="AL35" s="586">
        <f t="shared" si="14"/>
        <v>0</v>
      </c>
      <c r="AM35" s="589">
        <f t="shared" si="11"/>
        <v>37316</v>
      </c>
      <c r="AN35" s="588">
        <f>VLOOKUP(AJ35,MIDS!$A$35:$B$128,2)</f>
        <v>3.0870000000000002</v>
      </c>
      <c r="AO35" s="562">
        <v>3.0380000000000003</v>
      </c>
      <c r="AP35" s="603">
        <f t="shared" si="12"/>
        <v>3.21</v>
      </c>
      <c r="AQ35" s="548">
        <f t="shared" si="5"/>
        <v>37316</v>
      </c>
      <c r="AR35" s="549">
        <f t="shared" si="6"/>
        <v>1.5710654521001801</v>
      </c>
    </row>
    <row r="36" spans="1:44" ht="18" customHeight="1">
      <c r="A36" s="548">
        <f t="shared" si="2"/>
        <v>37347</v>
      </c>
      <c r="B36" s="553">
        <f t="shared" si="7"/>
        <v>3.929555990352926</v>
      </c>
      <c r="C36" s="560">
        <f t="shared" ca="1" si="3"/>
        <v>3.7487912449310627</v>
      </c>
      <c r="D36" s="546"/>
      <c r="E36" s="544">
        <f>VLOOKUP(A36,MIDS!$A$35:$C$60,3)-0.0075</f>
        <v>-0.46250000000000002</v>
      </c>
      <c r="F36" s="576">
        <f>VLOOKUP(A36,MIDS!$A$34:$AV$64,48)</f>
        <v>2E-3</v>
      </c>
      <c r="G36" s="563">
        <f t="shared" ca="1" si="4"/>
        <v>2.5516692808534041</v>
      </c>
      <c r="H36" s="564"/>
      <c r="I36" s="565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AE36" s="555">
        <f t="shared" si="8"/>
        <v>37401</v>
      </c>
      <c r="AF36" s="557">
        <f t="shared" ca="1" si="9"/>
        <v>0.61489691492083631</v>
      </c>
      <c r="AG36" s="557">
        <f t="shared" ca="1" si="1"/>
        <v>0.95399868436392266</v>
      </c>
      <c r="AH36" s="550">
        <f>VLOOKUP(AQ36,MIDS!$A$34:$AI$71,35)</f>
        <v>1.5583057869034298</v>
      </c>
      <c r="AI36" s="551">
        <f t="shared" si="10"/>
        <v>4.0334803249830742E-5</v>
      </c>
      <c r="AJ36" s="585">
        <f t="shared" si="13"/>
        <v>37347</v>
      </c>
      <c r="AK36" s="584">
        <f>VLOOKUP(AJ36,MIDS!$A$35:$C$60,3)</f>
        <v>-0.45500000000000002</v>
      </c>
      <c r="AL36" s="586">
        <f t="shared" si="14"/>
        <v>-1.0000000000000009E-2</v>
      </c>
      <c r="AM36" s="589">
        <f t="shared" si="11"/>
        <v>37347</v>
      </c>
      <c r="AN36" s="588">
        <f>VLOOKUP(AJ36,MIDS!$A$35:$B$128,2)</f>
        <v>2.992</v>
      </c>
      <c r="AO36" s="562">
        <v>2.9449999999999998</v>
      </c>
      <c r="AP36" s="603">
        <f t="shared" si="12"/>
        <v>3.1</v>
      </c>
      <c r="AQ36" s="548">
        <f t="shared" si="5"/>
        <v>37347</v>
      </c>
      <c r="AR36" s="549">
        <f t="shared" si="6"/>
        <v>1.5711057869034299</v>
      </c>
    </row>
    <row r="37" spans="1:44" ht="18" customHeight="1">
      <c r="A37" s="548">
        <f t="shared" si="2"/>
        <v>37377</v>
      </c>
      <c r="B37" s="553">
        <f t="shared" si="7"/>
        <v>3.9670413079542999</v>
      </c>
      <c r="C37" s="560">
        <f t="shared" ca="1" si="3"/>
        <v>3.7625165826919025</v>
      </c>
      <c r="D37" s="546"/>
      <c r="E37" s="544">
        <f>VLOOKUP(A37,MIDS!$A$35:$C$60,3)-0.0075</f>
        <v>-0.46250000000000002</v>
      </c>
      <c r="F37" s="576">
        <f>VLOOKUP(A37,MIDS!$A$34:$AV$64,48)</f>
        <v>2E-3</v>
      </c>
      <c r="G37" s="563">
        <f t="shared" ca="1" si="4"/>
        <v>2.5516692808534041</v>
      </c>
      <c r="H37" s="564"/>
      <c r="I37" s="565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AE37" s="555">
        <f t="shared" si="8"/>
        <v>37432</v>
      </c>
      <c r="AF37" s="557">
        <f t="shared" ca="1" si="9"/>
        <v>0.62372645507311442</v>
      </c>
      <c r="AG37" s="557">
        <f t="shared" ca="1" si="1"/>
        <v>0.94844401421979008</v>
      </c>
      <c r="AH37" s="550">
        <f>VLOOKUP(AQ37,MIDS!$A$34:$AI$71,35)</f>
        <v>1.5584077454291199</v>
      </c>
      <c r="AI37" s="551">
        <f t="shared" si="10"/>
        <v>1.0195852569006014E-4</v>
      </c>
      <c r="AJ37" s="585">
        <f t="shared" si="13"/>
        <v>37377</v>
      </c>
      <c r="AK37" s="584">
        <f>VLOOKUP(AJ37,MIDS!$A$35:$C$60,3)</f>
        <v>-0.45500000000000002</v>
      </c>
      <c r="AL37" s="586">
        <f t="shared" si="14"/>
        <v>0</v>
      </c>
      <c r="AM37" s="589">
        <f t="shared" si="11"/>
        <v>37377</v>
      </c>
      <c r="AN37" s="588">
        <f>VLOOKUP(AJ37,MIDS!$A$35:$B$128,2)</f>
        <v>3.012</v>
      </c>
      <c r="AO37" s="562">
        <v>2.9649999999999999</v>
      </c>
      <c r="AP37" s="603">
        <f t="shared" si="12"/>
        <v>3.125</v>
      </c>
      <c r="AQ37" s="548">
        <f t="shared" si="5"/>
        <v>37377</v>
      </c>
      <c r="AR37" s="549">
        <f t="shared" si="6"/>
        <v>1.57120774542912</v>
      </c>
    </row>
    <row r="38" spans="1:44" ht="18" customHeight="1">
      <c r="A38" s="548">
        <f t="shared" si="2"/>
        <v>37408</v>
      </c>
      <c r="B38" s="553">
        <f t="shared" si="7"/>
        <v>4.0342186783413911</v>
      </c>
      <c r="C38" s="560">
        <f t="shared" ca="1" si="3"/>
        <v>3.804668904139116</v>
      </c>
      <c r="D38" s="546"/>
      <c r="E38" s="544">
        <f>VLOOKUP(A38,MIDS!$A$35:$C$60,3)-0.0075</f>
        <v>-0.46250000000000002</v>
      </c>
      <c r="F38" s="576">
        <f>VLOOKUP(A38,MIDS!$A$34:$AV$64,48)</f>
        <v>2E-3</v>
      </c>
      <c r="G38" s="563">
        <f t="shared" ca="1" si="4"/>
        <v>2.5516692808534041</v>
      </c>
      <c r="H38" s="564"/>
      <c r="I38" s="565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AE38" s="555">
        <f t="shared" si="8"/>
        <v>37462</v>
      </c>
      <c r="AF38" s="557">
        <f t="shared" ca="1" si="9"/>
        <v>0.64722166585255148</v>
      </c>
      <c r="AG38" s="557">
        <f t="shared" ca="1" si="1"/>
        <v>0.94309932294085475</v>
      </c>
      <c r="AH38" s="550">
        <f>VLOOKUP(AQ38,MIDS!$A$34:$AI$71,35)</f>
        <v>1.55847110245472</v>
      </c>
      <c r="AI38" s="551">
        <f t="shared" si="10"/>
        <v>6.3357025600119243E-5</v>
      </c>
      <c r="AJ38" s="585">
        <f t="shared" si="13"/>
        <v>37408</v>
      </c>
      <c r="AK38" s="584">
        <f>VLOOKUP(AJ38,MIDS!$A$35:$C$60,3)</f>
        <v>-0.45500000000000002</v>
      </c>
      <c r="AL38" s="586">
        <f t="shared" si="14"/>
        <v>0</v>
      </c>
      <c r="AM38" s="589">
        <f t="shared" si="11"/>
        <v>37408</v>
      </c>
      <c r="AN38" s="588">
        <f>VLOOKUP(AJ38,MIDS!$A$35:$B$128,2)</f>
        <v>3.0489999999999999</v>
      </c>
      <c r="AO38" s="562">
        <v>3.0049999999999999</v>
      </c>
      <c r="AP38" s="603">
        <f t="shared" si="12"/>
        <v>3.17</v>
      </c>
      <c r="AQ38" s="548">
        <f t="shared" si="5"/>
        <v>37408</v>
      </c>
      <c r="AR38" s="549">
        <f t="shared" si="6"/>
        <v>1.5712711024547201</v>
      </c>
    </row>
    <row r="39" spans="1:44" ht="18" customHeight="1">
      <c r="A39" s="548">
        <f t="shared" si="2"/>
        <v>37438</v>
      </c>
      <c r="B39" s="553">
        <f t="shared" si="7"/>
        <v>4.1088836721001831</v>
      </c>
      <c r="C39" s="560">
        <f ca="1">B39*AG39</f>
        <v>3.8525226723945458</v>
      </c>
      <c r="D39" s="546"/>
      <c r="E39" s="544">
        <f>VLOOKUP(A39,MIDS!$A$35:$C$60,3)-0.0075</f>
        <v>-0.46250000000000002</v>
      </c>
      <c r="F39" s="576">
        <f>VLOOKUP(A39,MIDS!$A$34:$AV$64,48)</f>
        <v>2E-3</v>
      </c>
      <c r="G39" s="563">
        <f t="shared" ca="1" si="4"/>
        <v>2.5516692808534041</v>
      </c>
      <c r="H39" s="564"/>
      <c r="I39" s="565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AE39" s="555">
        <f>DATE(YEAR(A39),MONTH(A39)+1,25)</f>
        <v>37493</v>
      </c>
      <c r="AF39" s="557">
        <f ca="1">(C39-$C$29)/($AG$29+AG39)</f>
        <v>0.67385126892681002</v>
      </c>
      <c r="AG39" s="557">
        <f ca="1">((1+$AG$28/2)^(-2*(AE39-$AF$28)/365.25))</f>
        <v>0.93760811447489756</v>
      </c>
      <c r="AH39" s="550">
        <f>VLOOKUP(AQ39,MIDS!$A$34:$AI$71,35)</f>
        <v>1.5585480542343899</v>
      </c>
      <c r="AI39" s="551">
        <f>AH39-AH38</f>
        <v>7.6951779669931497E-5</v>
      </c>
      <c r="AJ39" s="585">
        <f t="shared" si="13"/>
        <v>37438</v>
      </c>
      <c r="AK39" s="584">
        <f>VLOOKUP(AJ39,MIDS!$A$35:$C$60,3)</f>
        <v>-0.45500000000000002</v>
      </c>
      <c r="AL39" s="586">
        <f t="shared" si="14"/>
        <v>0</v>
      </c>
      <c r="AM39" s="589">
        <f t="shared" si="11"/>
        <v>37438</v>
      </c>
      <c r="AN39" s="588">
        <f>VLOOKUP(AJ39,MIDS!$A$35:$B$128,2)</f>
        <v>3.0910000000000002</v>
      </c>
      <c r="AO39" s="562">
        <v>3.0489999999999999</v>
      </c>
      <c r="AP39" s="603">
        <f t="shared" si="12"/>
        <v>3.22</v>
      </c>
      <c r="AQ39" s="548">
        <f t="shared" si="5"/>
        <v>37438</v>
      </c>
      <c r="AR39" s="549">
        <f t="shared" si="6"/>
        <v>1.5713480542343901</v>
      </c>
    </row>
    <row r="40" spans="1:44" ht="18" customHeight="1">
      <c r="A40" s="548">
        <f t="shared" si="2"/>
        <v>37469</v>
      </c>
      <c r="B40" s="553">
        <f t="shared" si="7"/>
        <v>4.1463672327704284</v>
      </c>
      <c r="C40" s="560">
        <f ca="1">B40*AG40</f>
        <v>3.8650315664729131</v>
      </c>
      <c r="D40" s="546"/>
      <c r="E40" s="544">
        <f>VLOOKUP(A40,MIDS!$A$35:$C$60,3)-0.0075</f>
        <v>-0.46250000000000002</v>
      </c>
      <c r="F40" s="576">
        <f>VLOOKUP(A40,MIDS!$A$34:$AV$64,48)</f>
        <v>2E-3</v>
      </c>
      <c r="G40" s="563">
        <f t="shared" ca="1" si="4"/>
        <v>2.5516692808534041</v>
      </c>
      <c r="H40" s="564"/>
      <c r="I40" s="565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AE40" s="555">
        <f>DATE(YEAR(A40),MONTH(A40)+1,25)</f>
        <v>37524</v>
      </c>
      <c r="AF40" s="557">
        <f ca="1">(C40-$C$29)/($AG$29+AG40)</f>
        <v>0.68226034423924209</v>
      </c>
      <c r="AG40" s="557">
        <f ca="1">((1+$AG$28/2)^(-2*(AE40-$AF$28)/365.25))</f>
        <v>0.93214887864393559</v>
      </c>
      <c r="AH40" s="550">
        <f>VLOOKUP(AQ40,MIDS!$A$34:$AI$71,35)</f>
        <v>1.55864277273597</v>
      </c>
      <c r="AI40" s="551">
        <f>AH40-AH39</f>
        <v>9.4718501580048908E-5</v>
      </c>
      <c r="AJ40" s="585">
        <f t="shared" si="13"/>
        <v>37469</v>
      </c>
      <c r="AK40" s="584">
        <f>VLOOKUP(AJ40,MIDS!$A$35:$C$60,3)</f>
        <v>-0.45500000000000002</v>
      </c>
      <c r="AL40" s="586">
        <f t="shared" si="14"/>
        <v>0</v>
      </c>
      <c r="AM40" s="589">
        <f t="shared" si="11"/>
        <v>37469</v>
      </c>
      <c r="AN40" s="588">
        <f>VLOOKUP(AJ40,MIDS!$A$35:$B$128,2)</f>
        <v>3.1280000000000001</v>
      </c>
      <c r="AO40" s="562">
        <v>3.0940000000000003</v>
      </c>
      <c r="AP40" s="603">
        <f t="shared" si="12"/>
        <v>3.2450000000000001</v>
      </c>
      <c r="AQ40" s="548">
        <f t="shared" si="5"/>
        <v>37469</v>
      </c>
      <c r="AR40" s="549">
        <f t="shared" si="6"/>
        <v>1.5714427727359701</v>
      </c>
    </row>
    <row r="41" spans="1:44" ht="18" customHeight="1">
      <c r="A41" s="548">
        <f t="shared" si="2"/>
        <v>37500</v>
      </c>
      <c r="B41" s="553">
        <f t="shared" si="7"/>
        <v>4.1614538734271056</v>
      </c>
      <c r="C41" s="560">
        <f ca="1">B41*AG41</f>
        <v>3.8572350079293045</v>
      </c>
      <c r="D41" s="546"/>
      <c r="E41" s="544">
        <f>VLOOKUP(A41,MIDS!$A$35:$C$60,3)-0.0075</f>
        <v>-0.46250000000000002</v>
      </c>
      <c r="F41" s="576">
        <f>VLOOKUP(A41,MIDS!$A$34:$AV$64,48)</f>
        <v>2E-3</v>
      </c>
      <c r="G41" s="563">
        <f t="shared" ca="1" si="4"/>
        <v>2.5516692808534041</v>
      </c>
      <c r="H41" s="564"/>
      <c r="I41" s="565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AE41" s="555">
        <f>DATE(YEAR(A41),MONTH(A41)+1,25)</f>
        <v>37554</v>
      </c>
      <c r="AF41" s="557">
        <f ca="1">(C41-$C$29)/($AG$29+AG41)</f>
        <v>0.6800659398389477</v>
      </c>
      <c r="AG41" s="557">
        <f ca="1">((1+$AG$28/2)^(-2*(AE41-$AF$28)/365.25))</f>
        <v>0.92689601404922795</v>
      </c>
      <c r="AH41" s="550">
        <f>VLOOKUP(AQ41,MIDS!$A$34:$AI$71,35)</f>
        <v>1.5587154040760998</v>
      </c>
      <c r="AI41" s="551">
        <f>AH41-AH40</f>
        <v>7.2631340129802879E-5</v>
      </c>
      <c r="AJ41" s="585">
        <f t="shared" si="13"/>
        <v>37500</v>
      </c>
      <c r="AK41" s="584">
        <f>VLOOKUP(AJ41,MIDS!$A$35:$C$60,3)</f>
        <v>-0.45500000000000002</v>
      </c>
      <c r="AL41" s="586">
        <f t="shared" si="14"/>
        <v>0</v>
      </c>
      <c r="AM41" s="589">
        <f t="shared" si="11"/>
        <v>37500</v>
      </c>
      <c r="AN41" s="588">
        <f>VLOOKUP(AJ41,MIDS!$A$35:$B$128,2)</f>
        <v>3.1280000000000001</v>
      </c>
      <c r="AO41" s="562">
        <v>3.0940000000000003</v>
      </c>
      <c r="AP41" s="603">
        <f t="shared" si="12"/>
        <v>3.2549999999999999</v>
      </c>
      <c r="AQ41" s="548">
        <f t="shared" si="5"/>
        <v>37500</v>
      </c>
      <c r="AR41" s="549">
        <f t="shared" si="6"/>
        <v>1.5715154040760999</v>
      </c>
    </row>
    <row r="42" spans="1:44" ht="18" customHeight="1">
      <c r="A42" s="548"/>
      <c r="B42" s="553"/>
      <c r="C42" s="560"/>
      <c r="D42" s="546"/>
      <c r="E42" s="544"/>
      <c r="F42" s="547"/>
      <c r="G42" s="563"/>
      <c r="H42" s="564"/>
      <c r="I42" s="565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AE42" s="555"/>
      <c r="AF42" s="557"/>
      <c r="AG42" s="557"/>
      <c r="AH42" s="550"/>
      <c r="AI42" s="551"/>
      <c r="AJ42" s="585">
        <f t="shared" ref="AJ42:AJ55" si="15">DATE(YEAR(AJ41),MONTH(AJ41)+1,1)</f>
        <v>37530</v>
      </c>
      <c r="AK42" s="584">
        <f>VLOOKUP(AJ42,MIDS!$A$35:$C$60,3)</f>
        <v>-0.45500000000000002</v>
      </c>
      <c r="AL42" s="586">
        <f t="shared" ref="AL42:AL55" si="16">AK42-AK41</f>
        <v>0</v>
      </c>
      <c r="AM42" s="589">
        <f t="shared" si="11"/>
        <v>37530</v>
      </c>
      <c r="AN42" s="588">
        <f>VLOOKUP(AJ42,MIDS!$A$35:$B$128,2)</f>
        <v>3.1420000000000003</v>
      </c>
      <c r="AO42" s="562">
        <v>3.1080000000000001</v>
      </c>
      <c r="AP42" s="603">
        <f t="shared" si="12"/>
        <v>3.27</v>
      </c>
      <c r="AQ42" s="548"/>
      <c r="AR42" s="549"/>
    </row>
    <row r="43" spans="1:44" ht="18" customHeight="1">
      <c r="A43" s="141"/>
      <c r="B43" s="188"/>
      <c r="C43" s="141"/>
      <c r="D43" s="141"/>
      <c r="E43" s="142"/>
      <c r="F43" s="142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AJ43" s="585">
        <f t="shared" si="15"/>
        <v>37561</v>
      </c>
      <c r="AK43" s="584">
        <f>VLOOKUP(AJ43,MIDS!$A$35:$C$60,3)</f>
        <v>-0.42499999999999999</v>
      </c>
      <c r="AL43" s="586">
        <f t="shared" si="16"/>
        <v>3.0000000000000027E-2</v>
      </c>
      <c r="AM43" s="589">
        <f t="shared" si="11"/>
        <v>37561</v>
      </c>
      <c r="AN43" s="588">
        <f>VLOOKUP(AJ43,MIDS!$A$35:$B$128,2)</f>
        <v>3.298</v>
      </c>
      <c r="AO43" s="562">
        <v>3.2680000000000002</v>
      </c>
      <c r="AP43" s="603">
        <f t="shared" si="12"/>
        <v>3.44</v>
      </c>
    </row>
    <row r="44" spans="1:44" ht="18" customHeight="1">
      <c r="A44" s="141"/>
      <c r="B44" s="188"/>
      <c r="C44" s="141"/>
      <c r="D44" s="141"/>
      <c r="E44" s="142"/>
      <c r="F44" s="142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AJ44" s="585">
        <f t="shared" si="15"/>
        <v>37591</v>
      </c>
      <c r="AK44" s="584">
        <f>VLOOKUP(AJ44,MIDS!$A$35:$C$60,3)</f>
        <v>-0.42499999999999999</v>
      </c>
      <c r="AL44" s="586">
        <f t="shared" si="16"/>
        <v>0</v>
      </c>
      <c r="AM44" s="589">
        <f t="shared" si="11"/>
        <v>37591</v>
      </c>
      <c r="AN44" s="588">
        <f>VLOOKUP(AJ44,MIDS!$A$35:$B$128,2)</f>
        <v>3.468</v>
      </c>
      <c r="AO44" s="562">
        <v>3.44</v>
      </c>
      <c r="AP44" s="603">
        <f t="shared" si="12"/>
        <v>3.56</v>
      </c>
    </row>
    <row r="45" spans="1:44" ht="18" customHeight="1">
      <c r="A45" s="141"/>
      <c r="B45" s="188"/>
      <c r="C45" s="141"/>
      <c r="D45" s="141"/>
      <c r="E45" s="142"/>
      <c r="F45" s="142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AJ45" s="585">
        <f t="shared" si="15"/>
        <v>37622</v>
      </c>
      <c r="AK45" s="584">
        <f>VLOOKUP(AJ45,MIDS!$A$35:$C$60,3)</f>
        <v>-0.42499999999999999</v>
      </c>
      <c r="AL45" s="586">
        <f t="shared" si="16"/>
        <v>0</v>
      </c>
      <c r="AM45" s="589">
        <f t="shared" si="11"/>
        <v>37622</v>
      </c>
      <c r="AN45" s="588">
        <f>VLOOKUP(AJ45,MIDS!$A$35:$B$128,2)</f>
        <v>3.5470000000000002</v>
      </c>
      <c r="AO45" s="562">
        <v>3.52</v>
      </c>
      <c r="AP45" s="603">
        <f t="shared" si="12"/>
        <v>3.67</v>
      </c>
    </row>
    <row r="46" spans="1:44" ht="18" customHeight="1">
      <c r="A46" s="141"/>
      <c r="B46" s="188"/>
      <c r="C46" s="141"/>
      <c r="D46" s="141"/>
      <c r="E46" s="142"/>
      <c r="F46" s="142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AJ46" s="585">
        <f t="shared" si="15"/>
        <v>37653</v>
      </c>
      <c r="AK46" s="584">
        <f>VLOOKUP(AJ46,MIDS!$A$35:$C$60,3)</f>
        <v>-0.42499999999999999</v>
      </c>
      <c r="AL46" s="586">
        <f t="shared" si="16"/>
        <v>0</v>
      </c>
      <c r="AM46" s="589">
        <f t="shared" si="11"/>
        <v>37653</v>
      </c>
      <c r="AN46" s="588">
        <f>VLOOKUP(AJ46,MIDS!$A$35:$B$128,2)</f>
        <v>3.4320000000000004</v>
      </c>
      <c r="AO46" s="562">
        <v>3.4049999999999998</v>
      </c>
      <c r="AP46" s="603">
        <f t="shared" si="12"/>
        <v>3.58</v>
      </c>
    </row>
    <row r="47" spans="1:44" ht="18" customHeight="1">
      <c r="A47" s="141"/>
      <c r="B47" s="188"/>
      <c r="C47" s="141"/>
      <c r="D47" s="141"/>
      <c r="E47" s="142"/>
      <c r="F47" s="142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AJ47" s="585">
        <f t="shared" si="15"/>
        <v>37681</v>
      </c>
      <c r="AK47" s="584">
        <f>VLOOKUP(AJ47,MIDS!$A$35:$C$60,3)</f>
        <v>-0.42499999999999999</v>
      </c>
      <c r="AL47" s="586">
        <f t="shared" si="16"/>
        <v>0</v>
      </c>
      <c r="AM47" s="589">
        <f t="shared" si="11"/>
        <v>37681</v>
      </c>
      <c r="AN47" s="588">
        <f>VLOOKUP(AJ47,MIDS!$A$35:$B$128,2)</f>
        <v>3.3130000000000002</v>
      </c>
      <c r="AO47" s="562">
        <v>3.286</v>
      </c>
      <c r="AP47" s="603">
        <f t="shared" si="12"/>
        <v>3.45</v>
      </c>
    </row>
    <row r="48" spans="1:44" ht="18" customHeight="1">
      <c r="A48" s="141"/>
      <c r="B48" s="188"/>
      <c r="C48" s="141"/>
      <c r="D48" s="141"/>
      <c r="E48" s="142"/>
      <c r="F48" s="142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AJ48" s="585">
        <f t="shared" si="15"/>
        <v>37712</v>
      </c>
      <c r="AK48" s="584">
        <f>VLOOKUP(AJ48,MIDS!$A$35:$C$60,3)</f>
        <v>-0.45</v>
      </c>
      <c r="AL48" s="586">
        <f t="shared" si="16"/>
        <v>-2.5000000000000022E-2</v>
      </c>
      <c r="AM48" s="589">
        <f t="shared" si="11"/>
        <v>37712</v>
      </c>
      <c r="AN48" s="588">
        <f>VLOOKUP(AJ48,MIDS!$A$35:$B$128,2)</f>
        <v>3.133</v>
      </c>
      <c r="AO48" s="562">
        <v>3.1060000000000003</v>
      </c>
      <c r="AP48" s="603" t="e">
        <f t="shared" si="12"/>
        <v>#VALUE!</v>
      </c>
    </row>
    <row r="49" spans="2:42" s="141" customFormat="1" ht="18" customHeight="1">
      <c r="B49" s="188"/>
      <c r="E49" s="142"/>
      <c r="F49" s="142"/>
      <c r="Z49" s="160"/>
      <c r="AJ49" s="585">
        <f t="shared" si="15"/>
        <v>37742</v>
      </c>
      <c r="AK49" s="584">
        <f>VLOOKUP(AJ49,MIDS!$A$35:$C$60,3)</f>
        <v>-0.45</v>
      </c>
      <c r="AL49" s="586">
        <f t="shared" si="16"/>
        <v>0</v>
      </c>
      <c r="AM49" s="585">
        <f>DATE(YEAR(AM48),MONTH(AM48)+1,1)</f>
        <v>37742</v>
      </c>
      <c r="AN49" s="588">
        <f>VLOOKUP(AJ49,MIDS!$A$35:$B$128,2)</f>
        <v>3.1380000000000003</v>
      </c>
      <c r="AO49" s="562">
        <v>3.1110000000000002</v>
      </c>
      <c r="AP49" s="603" t="e">
        <f t="shared" si="12"/>
        <v>#VALUE!</v>
      </c>
    </row>
    <row r="50" spans="2:42" s="141" customFormat="1" ht="18" customHeight="1">
      <c r="B50" s="188"/>
      <c r="E50" s="142"/>
      <c r="F50" s="142"/>
      <c r="Z50" s="160"/>
      <c r="AJ50" s="585">
        <f t="shared" si="15"/>
        <v>37773</v>
      </c>
      <c r="AK50" s="584">
        <f>VLOOKUP(AJ50,MIDS!$A$35:$C$60,3)</f>
        <v>-0.45</v>
      </c>
      <c r="AL50" s="586">
        <f t="shared" si="16"/>
        <v>0</v>
      </c>
      <c r="AM50" s="589">
        <f t="shared" si="11"/>
        <v>37773</v>
      </c>
      <c r="AN50" s="588">
        <f>VLOOKUP(AM50,MIDS!$A$35:$B$128,2)</f>
        <v>3.1660000000000004</v>
      </c>
      <c r="AO50" s="562">
        <v>3.1390000000000002</v>
      </c>
      <c r="AP50" s="603">
        <f t="shared" si="12"/>
        <v>3.31</v>
      </c>
    </row>
    <row r="51" spans="2:42" s="141" customFormat="1" ht="18" customHeight="1">
      <c r="B51" s="188"/>
      <c r="E51" s="142"/>
      <c r="F51" s="142"/>
      <c r="Z51" s="160"/>
      <c r="AJ51" s="585">
        <f t="shared" si="15"/>
        <v>37803</v>
      </c>
      <c r="AK51" s="584">
        <f>VLOOKUP(AJ51,MIDS!$A$35:$C$60,3)</f>
        <v>-0.45</v>
      </c>
      <c r="AL51" s="586">
        <f t="shared" si="16"/>
        <v>0</v>
      </c>
      <c r="AM51" s="585">
        <f t="shared" ref="AM51:AM69" si="17">DATE(YEAR(AM50),MONTH(AM50)+1,1)</f>
        <v>37803</v>
      </c>
      <c r="AN51" s="588">
        <f>VLOOKUP(AM51,MIDS!$A$35:$B$128,2)</f>
        <v>3.194</v>
      </c>
      <c r="AO51" s="562">
        <v>3.1720000000000002</v>
      </c>
      <c r="AP51" s="602"/>
    </row>
    <row r="52" spans="2:42" s="141" customFormat="1" ht="18" customHeight="1">
      <c r="B52" s="188"/>
      <c r="E52" s="142"/>
      <c r="F52" s="142"/>
      <c r="Z52" s="160"/>
      <c r="AJ52" s="590">
        <f t="shared" si="15"/>
        <v>37834</v>
      </c>
      <c r="AK52" s="591">
        <f>VLOOKUP(AJ52,MIDS!$A$35:$C$60,3)</f>
        <v>-0.45</v>
      </c>
      <c r="AL52" s="592">
        <f t="shared" si="16"/>
        <v>0</v>
      </c>
      <c r="AM52" s="585">
        <f t="shared" si="17"/>
        <v>37834</v>
      </c>
      <c r="AN52" s="588">
        <f>VLOOKUP(AM52,MIDS!$A$35:$B$128,2)</f>
        <v>3.214</v>
      </c>
      <c r="AO52" s="562">
        <v>3.1949999999999998</v>
      </c>
      <c r="AP52" s="602"/>
    </row>
    <row r="53" spans="2:42" s="141" customFormat="1" ht="18" customHeight="1">
      <c r="B53" s="188"/>
      <c r="E53" s="142"/>
      <c r="F53" s="142"/>
      <c r="Z53" s="160"/>
      <c r="AJ53" s="590">
        <f t="shared" si="15"/>
        <v>37865</v>
      </c>
      <c r="AK53" s="591">
        <f>VLOOKUP(AJ53,MIDS!$A$35:$C$60,3)</f>
        <v>-0.45</v>
      </c>
      <c r="AL53" s="592">
        <f t="shared" si="16"/>
        <v>0</v>
      </c>
      <c r="AM53" s="585">
        <f t="shared" si="17"/>
        <v>37865</v>
      </c>
      <c r="AN53" s="588">
        <f>VLOOKUP(AM53,MIDS!$A$35:$B$128,2)</f>
        <v>3.2149999999999999</v>
      </c>
      <c r="AO53" s="562">
        <v>3.1960000000000002</v>
      </c>
      <c r="AP53" s="602"/>
    </row>
    <row r="54" spans="2:42" s="141" customFormat="1" ht="18" customHeight="1">
      <c r="B54" s="188"/>
      <c r="E54" s="142"/>
      <c r="F54" s="142"/>
      <c r="Z54" s="160"/>
      <c r="AJ54" s="590">
        <f t="shared" si="15"/>
        <v>37895</v>
      </c>
      <c r="AK54" s="591">
        <f>VLOOKUP(AJ54,MIDS!$A$35:$C$60,3)</f>
        <v>-0.45</v>
      </c>
      <c r="AL54" s="592">
        <f t="shared" si="16"/>
        <v>0</v>
      </c>
      <c r="AM54" s="585">
        <f t="shared" si="17"/>
        <v>37895</v>
      </c>
      <c r="AN54" s="588">
        <f>VLOOKUP(AM54,MIDS!$A$35:$B$128,2)</f>
        <v>3.22</v>
      </c>
      <c r="AO54" s="562">
        <v>3.2010000000000001</v>
      </c>
      <c r="AP54" s="602"/>
    </row>
    <row r="55" spans="2:42" s="141" customFormat="1" ht="18" customHeight="1">
      <c r="B55" s="188"/>
      <c r="E55" s="142"/>
      <c r="F55" s="142"/>
      <c r="Z55" s="160"/>
      <c r="AJ55" s="590">
        <f t="shared" si="15"/>
        <v>37926</v>
      </c>
      <c r="AK55" s="591">
        <f>VLOOKUP(AJ55,MIDS!$A$35:$C$60,3)</f>
        <v>-0.45</v>
      </c>
      <c r="AL55" s="592">
        <f t="shared" si="16"/>
        <v>0</v>
      </c>
      <c r="AM55" s="585">
        <f t="shared" si="17"/>
        <v>37926</v>
      </c>
      <c r="AN55" s="588">
        <f>VLOOKUP(AM55,MIDS!$A$35:$B$128,2)</f>
        <v>3.37</v>
      </c>
      <c r="AO55" s="562">
        <v>3.351</v>
      </c>
      <c r="AP55" s="602"/>
    </row>
    <row r="56" spans="2:42" s="141" customFormat="1" ht="18" customHeight="1">
      <c r="B56" s="188"/>
      <c r="E56" s="142"/>
      <c r="F56" s="142"/>
      <c r="Z56" s="160"/>
      <c r="AM56" s="585">
        <f t="shared" si="17"/>
        <v>37956</v>
      </c>
      <c r="AN56" s="588">
        <f>VLOOKUP(AM56,MIDS!$A$35:$B$128,2)</f>
        <v>3.5260000000000002</v>
      </c>
      <c r="AO56" s="562">
        <v>3.5110000000000001</v>
      </c>
      <c r="AP56" s="602"/>
    </row>
    <row r="57" spans="2:42" s="141" customFormat="1" ht="18" customHeight="1">
      <c r="B57" s="188"/>
      <c r="E57" s="142"/>
      <c r="F57" s="142"/>
      <c r="Z57" s="160"/>
      <c r="AM57" s="585">
        <f t="shared" si="17"/>
        <v>37987</v>
      </c>
      <c r="AN57" s="588">
        <f>VLOOKUP(AM57,MIDS!$A$35:$B$128,2)</f>
        <v>3.5820000000000003</v>
      </c>
      <c r="AO57" s="562">
        <v>3.5660000000000003</v>
      </c>
      <c r="AP57" s="602"/>
    </row>
    <row r="58" spans="2:42" s="141" customFormat="1" ht="18" customHeight="1">
      <c r="B58" s="188"/>
      <c r="E58" s="142"/>
      <c r="F58" s="142"/>
      <c r="Z58" s="160"/>
      <c r="AM58" s="585">
        <f t="shared" si="17"/>
        <v>38018</v>
      </c>
      <c r="AN58" s="588">
        <f>VLOOKUP(AM58,MIDS!$A$35:$B$128,2)</f>
        <v>3.468</v>
      </c>
      <c r="AO58" s="562">
        <v>3.452</v>
      </c>
      <c r="AP58" s="602"/>
    </row>
    <row r="59" spans="2:42" s="141" customFormat="1" ht="18" customHeight="1">
      <c r="B59" s="188"/>
      <c r="E59" s="142"/>
      <c r="F59" s="142"/>
      <c r="Z59" s="160"/>
      <c r="AM59" s="585">
        <f t="shared" si="17"/>
        <v>38047</v>
      </c>
      <c r="AN59" s="588">
        <f>VLOOKUP(AM59,MIDS!$A$35:$B$128,2)</f>
        <v>3.3360000000000003</v>
      </c>
      <c r="AO59" s="562">
        <v>3.32</v>
      </c>
      <c r="AP59" s="602"/>
    </row>
    <row r="60" spans="2:42" s="141" customFormat="1" ht="18" customHeight="1">
      <c r="B60" s="188"/>
      <c r="E60" s="142"/>
      <c r="F60" s="142"/>
      <c r="Z60" s="160"/>
      <c r="AM60" s="585">
        <f t="shared" si="17"/>
        <v>38078</v>
      </c>
      <c r="AN60" s="588">
        <f>VLOOKUP(AM60,MIDS!$A$35:$B$128,2)</f>
        <v>3.1380000000000003</v>
      </c>
      <c r="AO60" s="562">
        <v>3.1220000000000003</v>
      </c>
      <c r="AP60" s="602"/>
    </row>
    <row r="61" spans="2:42" s="141" customFormat="1" ht="18" customHeight="1">
      <c r="B61" s="188"/>
      <c r="E61" s="142"/>
      <c r="F61" s="142"/>
      <c r="Z61" s="160"/>
      <c r="AM61" s="585">
        <f t="shared" si="17"/>
        <v>38108</v>
      </c>
      <c r="AN61" s="588">
        <f>VLOOKUP(AM61,MIDS!$A$35:$B$128,2)</f>
        <v>3.1340000000000003</v>
      </c>
      <c r="AO61" s="562">
        <v>3.1180000000000003</v>
      </c>
      <c r="AP61" s="602"/>
    </row>
    <row r="62" spans="2:42" s="141" customFormat="1" ht="18" customHeight="1">
      <c r="B62" s="188"/>
      <c r="E62" s="142"/>
      <c r="F62" s="142"/>
      <c r="Z62" s="160"/>
      <c r="AM62" s="585">
        <f t="shared" si="17"/>
        <v>38139</v>
      </c>
      <c r="AN62" s="588">
        <f>VLOOKUP(AM62,MIDS!$A$35:$B$128,2)</f>
        <v>3.1660000000000004</v>
      </c>
      <c r="AO62" s="562">
        <v>3.15</v>
      </c>
      <c r="AP62" s="602"/>
    </row>
    <row r="63" spans="2:42" s="141" customFormat="1" ht="18" customHeight="1">
      <c r="B63" s="188"/>
      <c r="E63" s="142"/>
      <c r="F63" s="142"/>
      <c r="Z63" s="160"/>
      <c r="AM63" s="585">
        <f t="shared" si="17"/>
        <v>38169</v>
      </c>
      <c r="AN63" s="588">
        <f>VLOOKUP(AM63,MIDS!$A$35:$B$128,2)</f>
        <v>3.2160000000000002</v>
      </c>
      <c r="AO63" s="562">
        <v>3.2</v>
      </c>
      <c r="AP63" s="602"/>
    </row>
    <row r="64" spans="2:42" s="141" customFormat="1" ht="18" customHeight="1">
      <c r="B64" s="188"/>
      <c r="E64" s="142"/>
      <c r="F64" s="142"/>
      <c r="Z64" s="160"/>
      <c r="AM64" s="585">
        <f t="shared" si="17"/>
        <v>38200</v>
      </c>
      <c r="AN64" s="588">
        <f>VLOOKUP(AM64,MIDS!$A$35:$B$128,2)</f>
        <v>3.25</v>
      </c>
      <c r="AO64" s="562">
        <v>3.234</v>
      </c>
      <c r="AP64" s="602"/>
    </row>
    <row r="65" spans="2:42" s="141" customFormat="1" ht="18" customHeight="1">
      <c r="B65" s="188"/>
      <c r="E65" s="142"/>
      <c r="F65" s="142"/>
      <c r="Z65" s="160"/>
      <c r="AM65" s="585">
        <f t="shared" si="17"/>
        <v>38231</v>
      </c>
      <c r="AN65" s="588">
        <f>VLOOKUP(AM65,MIDS!$A$35:$B$128,2)</f>
        <v>3.2630000000000003</v>
      </c>
      <c r="AO65" s="562">
        <v>3.2470000000000003</v>
      </c>
      <c r="AP65" s="602"/>
    </row>
    <row r="66" spans="2:42" s="141" customFormat="1" ht="18" customHeight="1">
      <c r="B66" s="188"/>
      <c r="E66" s="142"/>
      <c r="F66" s="142"/>
      <c r="Z66" s="160"/>
      <c r="AM66" s="585">
        <f t="shared" si="17"/>
        <v>38261</v>
      </c>
      <c r="AN66" s="588">
        <f>VLOOKUP(AM66,MIDS!$A$35:$B$128,2)</f>
        <v>3.2749999999999999</v>
      </c>
      <c r="AO66" s="562">
        <v>3.2560000000000002</v>
      </c>
      <c r="AP66" s="602"/>
    </row>
    <row r="67" spans="2:42" s="141" customFormat="1" ht="18" customHeight="1">
      <c r="B67" s="188"/>
      <c r="E67" s="142"/>
      <c r="F67" s="142"/>
      <c r="Z67" s="160"/>
      <c r="AM67" s="585">
        <f t="shared" si="17"/>
        <v>38292</v>
      </c>
      <c r="AN67" s="588">
        <f>VLOOKUP(AM67,MIDS!$A$35:$B$128,2)</f>
        <v>3.42</v>
      </c>
      <c r="AO67" s="562">
        <v>3.4010000000000002</v>
      </c>
      <c r="AP67" s="602"/>
    </row>
    <row r="68" spans="2:42" s="141" customFormat="1" ht="18" customHeight="1">
      <c r="B68" s="188"/>
      <c r="E68" s="142"/>
      <c r="F68" s="142"/>
      <c r="Z68" s="160"/>
      <c r="AM68" s="585">
        <f t="shared" si="17"/>
        <v>38322</v>
      </c>
      <c r="AN68" s="588">
        <f>VLOOKUP(AM68,MIDS!$A$35:$B$128,2)</f>
        <v>3.5710000000000002</v>
      </c>
      <c r="AO68" s="562">
        <v>3.556</v>
      </c>
      <c r="AP68" s="602"/>
    </row>
    <row r="69" spans="2:42" ht="18" customHeight="1">
      <c r="AM69" s="585">
        <f t="shared" si="17"/>
        <v>38353</v>
      </c>
      <c r="AN69" s="588">
        <f>VLOOKUP(AM69,MIDS!$A$35:$B$128,2)</f>
        <v>3.637</v>
      </c>
      <c r="AO69" s="562">
        <v>3.621</v>
      </c>
      <c r="AP69" s="602"/>
    </row>
    <row r="70" spans="2:42" ht="18" customHeight="1">
      <c r="AM70" s="585">
        <f t="shared" ref="AM70:AM77" si="18">DATE(YEAR(AM69),MONTH(AM69)+1,1)</f>
        <v>38384</v>
      </c>
      <c r="AN70" s="588">
        <f>VLOOKUP(AM70,MIDS!$A$35:$B$128,2)</f>
        <v>3.5230000000000001</v>
      </c>
      <c r="AO70" s="562">
        <v>3.5070000000000001</v>
      </c>
      <c r="AP70" s="602"/>
    </row>
    <row r="71" spans="2:42" ht="18" customHeight="1">
      <c r="AM71" s="585">
        <f t="shared" si="18"/>
        <v>38412</v>
      </c>
      <c r="AN71" s="588">
        <f>VLOOKUP(AM71,MIDS!$A$35:$B$128,2)</f>
        <v>3.391</v>
      </c>
      <c r="AO71" s="562">
        <v>3.375</v>
      </c>
      <c r="AP71" s="602"/>
    </row>
    <row r="72" spans="2:42" ht="18" customHeight="1">
      <c r="AM72" s="585">
        <f t="shared" si="18"/>
        <v>38443</v>
      </c>
      <c r="AN72" s="588">
        <f>VLOOKUP(AM72,MIDS!$A$35:$B$128,2)</f>
        <v>3.1930000000000001</v>
      </c>
      <c r="AO72" s="562">
        <v>3.177</v>
      </c>
      <c r="AP72" s="602"/>
    </row>
    <row r="73" spans="2:42" ht="18" customHeight="1">
      <c r="AM73" s="585">
        <f t="shared" si="18"/>
        <v>38473</v>
      </c>
      <c r="AN73" s="588">
        <f>VLOOKUP(AM73,MIDS!$A$35:$B$128,2)</f>
        <v>3.1890000000000001</v>
      </c>
      <c r="AO73" s="562">
        <v>3.173</v>
      </c>
      <c r="AP73" s="602"/>
    </row>
    <row r="74" spans="2:42" ht="18" customHeight="1">
      <c r="AM74" s="585">
        <f t="shared" si="18"/>
        <v>38504</v>
      </c>
      <c r="AN74" s="588">
        <f>VLOOKUP(AM74,MIDS!$A$35:$B$128,2)</f>
        <v>3.2210000000000001</v>
      </c>
      <c r="AO74" s="562">
        <v>3.2050000000000001</v>
      </c>
      <c r="AP74" s="602"/>
    </row>
    <row r="75" spans="2:42" ht="18" customHeight="1">
      <c r="AM75" s="585">
        <f t="shared" si="18"/>
        <v>38534</v>
      </c>
      <c r="AN75" s="588">
        <f>VLOOKUP(AM75,MIDS!$A$35:$B$128,2)</f>
        <v>3.2710000000000004</v>
      </c>
      <c r="AO75" s="562">
        <v>3.2549999999999999</v>
      </c>
      <c r="AP75" s="602"/>
    </row>
    <row r="76" spans="2:42" ht="18" customHeight="1">
      <c r="AM76" s="585">
        <f t="shared" si="18"/>
        <v>38565</v>
      </c>
      <c r="AN76" s="588">
        <f>VLOOKUP(AM76,MIDS!$A$35:$B$128,2)</f>
        <v>3.3050000000000002</v>
      </c>
      <c r="AO76" s="562">
        <v>3.2890000000000001</v>
      </c>
      <c r="AP76" s="602"/>
    </row>
    <row r="77" spans="2:42" ht="18" customHeight="1">
      <c r="AM77" s="585">
        <f t="shared" si="18"/>
        <v>38596</v>
      </c>
      <c r="AN77" s="588">
        <f>VLOOKUP(AM77,MIDS!$A$35:$B$128,2)</f>
        <v>3.3180000000000001</v>
      </c>
      <c r="AO77" s="562">
        <v>3.302</v>
      </c>
      <c r="AP77" s="602"/>
    </row>
  </sheetData>
  <mergeCells count="1">
    <mergeCell ref="B2:F2"/>
  </mergeCells>
  <phoneticPr fontId="54" type="noConversion"/>
  <conditionalFormatting sqref="T4:T7">
    <cfRule type="cellIs" dxfId="9" priority="1" stopIfTrue="1" operator="greaterThanOrEqual">
      <formula>0</formula>
    </cfRule>
    <cfRule type="cellIs" dxfId="8" priority="2" stopIfTrue="1" operator="lessThan">
      <formula>0</formula>
    </cfRule>
  </conditionalFormatting>
  <conditionalFormatting sqref="J4:J25 S22 U4:U7 B4:B25">
    <cfRule type="cellIs" dxfId="7" priority="3" stopIfTrue="1" operator="greaterThanOrEqual">
      <formula>0</formula>
    </cfRule>
    <cfRule type="cellIs" dxfId="6" priority="4" stopIfTrue="1" operator="lessThan">
      <formula>0</formula>
    </cfRule>
  </conditionalFormatting>
  <conditionalFormatting sqref="M5:M13 O5:O13 P8 U12:U16 S12:S20 Q17:Q20">
    <cfRule type="cellIs" dxfId="5" priority="5" stopIfTrue="1" operator="lessThan">
      <formula>0</formula>
    </cfRule>
    <cfRule type="cellIs" dxfId="4" priority="6" stopIfTrue="1" operator="greaterThanOrEqual">
      <formula>0</formula>
    </cfRule>
  </conditionalFormatting>
  <pageMargins left="0.75" right="0.75" top="1" bottom="1" header="0.5" footer="0.5"/>
  <pageSetup scale="23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5" r:id="rId4" name="Button 5">
              <controlPr defaultSize="0" print="0" autoFill="0" autoPict="0" macro="[0]!GetMids">
                <anchor moveWithCells="1" sizeWithCells="1">
                  <from>
                    <xdr:col>22</xdr:col>
                    <xdr:colOff>30480</xdr:colOff>
                    <xdr:row>2</xdr:row>
                    <xdr:rowOff>182880</xdr:rowOff>
                  </from>
                  <to>
                    <xdr:col>23</xdr:col>
                    <xdr:colOff>518160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U47"/>
  <sheetViews>
    <sheetView showGridLines="0" tabSelected="1" workbookViewId="0">
      <selection activeCell="C39" sqref="C39"/>
    </sheetView>
  </sheetViews>
  <sheetFormatPr defaultColWidth="9.109375" defaultRowHeight="13.8"/>
  <cols>
    <col min="1" max="1" width="10.6640625" style="121" customWidth="1"/>
    <col min="2" max="2" width="2.88671875" style="121" customWidth="1"/>
    <col min="3" max="3" width="7.88671875" style="121" customWidth="1"/>
    <col min="4" max="4" width="11.33203125" style="121" customWidth="1"/>
    <col min="5" max="5" width="11.33203125" style="139" customWidth="1"/>
    <col min="6" max="6" width="2" style="139" customWidth="1"/>
    <col min="7" max="7" width="10.88671875" style="121" customWidth="1"/>
    <col min="8" max="8" width="2.33203125" style="121" customWidth="1"/>
    <col min="9" max="9" width="9.33203125" style="121" customWidth="1"/>
    <col min="10" max="10" width="8.88671875" style="121" customWidth="1"/>
    <col min="11" max="11" width="5.6640625" style="139" customWidth="1"/>
    <col min="12" max="12" width="13.5546875" style="121" customWidth="1"/>
    <col min="13" max="13" width="9.44140625" style="121" customWidth="1"/>
    <col min="14" max="14" width="3" style="121" customWidth="1"/>
    <col min="15" max="15" width="10" style="121" customWidth="1"/>
    <col min="16" max="16" width="1.88671875" style="121" customWidth="1"/>
    <col min="17" max="16384" width="9.109375" style="121"/>
  </cols>
  <sheetData>
    <row r="1" spans="1:19" s="117" customFormat="1" ht="3" customHeight="1" thickBot="1">
      <c r="A1" s="597"/>
      <c r="B1" s="597"/>
      <c r="C1" s="596"/>
      <c r="D1" s="598"/>
      <c r="E1" s="596"/>
      <c r="F1" s="596"/>
      <c r="G1" s="599"/>
      <c r="H1" s="599"/>
      <c r="I1" s="599"/>
      <c r="J1" s="599"/>
      <c r="K1" s="596"/>
      <c r="L1" s="599"/>
      <c r="M1" s="599"/>
      <c r="N1" s="599"/>
      <c r="O1" s="599"/>
      <c r="P1" s="599"/>
      <c r="Q1" s="599"/>
      <c r="R1" s="599"/>
      <c r="S1" s="599"/>
    </row>
    <row r="2" spans="1:19" ht="14.4" thickBot="1">
      <c r="A2" s="625" t="s">
        <v>287</v>
      </c>
      <c r="B2" s="626"/>
      <c r="C2" s="627"/>
      <c r="D2" s="628"/>
      <c r="E2" s="628"/>
      <c r="G2" s="625" t="s">
        <v>286</v>
      </c>
      <c r="H2" s="626"/>
      <c r="I2" s="627"/>
      <c r="J2" s="628"/>
      <c r="L2" s="123" t="s">
        <v>140</v>
      </c>
      <c r="M2" s="621">
        <f>[60]!'CAD=X,BID,1'</f>
        <v>1.5698000000000001</v>
      </c>
      <c r="N2" s="621" t="str">
        <f>[60]!'CAD=X,TICK:BID,1'</f>
        <v>↑</v>
      </c>
      <c r="O2" s="622">
        <f>[60]!'CAD=X,ASK,1'</f>
        <v>1.5703</v>
      </c>
      <c r="P2" s="139"/>
      <c r="Q2" s="139"/>
      <c r="R2" s="139"/>
      <c r="S2" s="139"/>
    </row>
    <row r="3" spans="1:19" ht="14.4" thickBot="1">
      <c r="A3" s="620">
        <v>37165</v>
      </c>
      <c r="B3" s="635" t="str">
        <f>[60]!'NGV1,TICK:UP/DOWN,1'</f>
        <v>↑</v>
      </c>
      <c r="C3" s="636">
        <f>[60]!'NGV1,NET CHANGE,1'*1000</f>
        <v>-76</v>
      </c>
      <c r="D3" s="615">
        <f>[60]!'NGV1,LAST,1'</f>
        <v>2.2930000000000001</v>
      </c>
      <c r="E3" s="638">
        <f>[60]!'NGV1,PERCENT CHANGE,1'/100</f>
        <v>-3.2099999999999997E-2</v>
      </c>
      <c r="F3" s="616"/>
      <c r="G3" s="620">
        <f>A3</f>
        <v>37165</v>
      </c>
      <c r="H3" s="624" t="str">
        <f>[60]!'CLV1,TICK:UP/DOWN,1'</f>
        <v>↑</v>
      </c>
      <c r="I3" s="125">
        <f>[60]!'CLV1,NET CHANGE,1'*100</f>
        <v>1</v>
      </c>
      <c r="J3" s="614">
        <f>[60]!'CLV1,LAST,1'</f>
        <v>28.82</v>
      </c>
      <c r="L3" s="123" t="s">
        <v>283</v>
      </c>
      <c r="M3" s="132">
        <f>[60]!'.IXIC,LAST,1'</f>
        <v>1579.55</v>
      </c>
      <c r="N3" s="132"/>
      <c r="O3" s="132">
        <f>[60]!'.IXIC,NET CHANGE,1'</f>
        <v>-115.82</v>
      </c>
      <c r="P3" s="132"/>
      <c r="Q3" s="623">
        <f>[60]!'.IXIC,PERCENT CHANGE,1'/100</f>
        <v>-6.83E-2</v>
      </c>
      <c r="R3" s="139"/>
      <c r="S3" s="139"/>
    </row>
    <row r="4" spans="1:19" ht="14.4" thickBot="1">
      <c r="A4" s="620">
        <f t="shared" ref="A4:A11" si="0">DATE(YEAR(A3),MONTH(A3)+1,1)</f>
        <v>37196</v>
      </c>
      <c r="B4" s="635" t="str">
        <f>[60]!'NGX1,TICK:UP/DOWN,1'</f>
        <v>↑</v>
      </c>
      <c r="C4" s="636">
        <f>[60]!'NGX1,NET CHANGE,1'*1000</f>
        <v>-81</v>
      </c>
      <c r="D4" s="615">
        <f>[60]!'NGX1,LAST,1'</f>
        <v>2.6720000000000002</v>
      </c>
      <c r="E4" s="637"/>
      <c r="G4" s="620">
        <f>DATE(YEAR(G3),MONTH(G3)+1,1)</f>
        <v>37196</v>
      </c>
      <c r="H4" s="624" t="str">
        <f>[60]!'CLX1,TICK:UP/DOWN,1'</f>
        <v>↑</v>
      </c>
      <c r="I4" s="125">
        <f>[60]!'CLX1,NET CHANGE,1'*100</f>
        <v>-7.0000000000000009</v>
      </c>
      <c r="J4" s="614">
        <f>[60]!'CLX1,LAST,1'</f>
        <v>29.1</v>
      </c>
      <c r="L4" s="123" t="s">
        <v>282</v>
      </c>
      <c r="M4" s="132">
        <f>[60]!'.DJI,LAST,1'</f>
        <v>8920.7000000000007</v>
      </c>
      <c r="N4" s="132"/>
      <c r="O4" s="132">
        <f>[60]!'.DJI,NET CHANGE,1'</f>
        <v>-684.81</v>
      </c>
      <c r="P4" s="132"/>
      <c r="Q4" s="623">
        <f>[60]!'.DJI,PERCENT CHANGE,1'/100</f>
        <v>-7.1300000000000002E-2</v>
      </c>
      <c r="R4" s="139"/>
      <c r="S4" s="139"/>
    </row>
    <row r="5" spans="1:19" ht="14.4" thickBot="1">
      <c r="A5" s="620">
        <f t="shared" si="0"/>
        <v>37226</v>
      </c>
      <c r="B5" s="635" t="str">
        <f>[60]!'NGZ1,TICK:UP/DOWN,1'</f>
        <v>↓</v>
      </c>
      <c r="C5" s="636">
        <f>[60]!'NGZ1,NET CHANGE,1'*1000</f>
        <v>-139</v>
      </c>
      <c r="D5" s="615">
        <f>[60]!'NGZ1,LAST,1'</f>
        <v>2.9860000000000002</v>
      </c>
      <c r="E5" s="637"/>
      <c r="G5" s="620">
        <f>DATE(YEAR(G4),MONTH(G4)+1,1)</f>
        <v>37226</v>
      </c>
      <c r="H5" s="624" t="str">
        <f>[60]!'CLZ1,TICK:UP/DOWN,1'</f>
        <v>↑</v>
      </c>
      <c r="I5" s="125">
        <f>[60]!'CLZ1,NET CHANGE,1'*100</f>
        <v>0</v>
      </c>
      <c r="J5" s="614">
        <f>[60]!'CLZ1,LAST,1'</f>
        <v>29.13</v>
      </c>
      <c r="L5" s="123" t="s">
        <v>284</v>
      </c>
      <c r="M5" s="132">
        <f>[60]!'/ENE,LAST,1'</f>
        <v>30.67</v>
      </c>
      <c r="N5" s="132"/>
      <c r="O5" s="132">
        <f>[60]!'/ENE,NET CHANGE,1'</f>
        <v>-2.09</v>
      </c>
      <c r="P5" s="132"/>
      <c r="Q5" s="623">
        <f>[60]!'/ENE,PERCENT CHANGE,1'/100</f>
        <v>-6.3799999999999996E-2</v>
      </c>
      <c r="R5" s="139"/>
      <c r="S5" s="139"/>
    </row>
    <row r="6" spans="1:19" ht="14.4" thickBot="1">
      <c r="A6" s="620">
        <f t="shared" si="0"/>
        <v>37257</v>
      </c>
      <c r="B6" s="635" t="str">
        <f>[60]!'NGF2,TICK:UP/DOWN,1'</f>
        <v>↓</v>
      </c>
      <c r="C6" s="636">
        <f>[60]!'NGF2,NET CHANGE,1'*1000</f>
        <v>-73</v>
      </c>
      <c r="D6" s="615">
        <f>[60]!'NGF2,LAST,1'</f>
        <v>3.23</v>
      </c>
      <c r="E6" s="637"/>
      <c r="G6" s="620">
        <f>DATE(YEAR(G5),MONTH(G5)+1,1)</f>
        <v>37257</v>
      </c>
      <c r="H6" s="624" t="str">
        <f>[60]!'CLF2,TICK:UP/DOWN,1'</f>
        <v>↑</v>
      </c>
      <c r="I6" s="125">
        <f>[60]!'CLF2,NET CHANGE,1'*100</f>
        <v>-13</v>
      </c>
      <c r="J6" s="614">
        <f>[60]!'CLF2,LAST,1'</f>
        <v>28.6</v>
      </c>
      <c r="L6" s="123" t="s">
        <v>282</v>
      </c>
      <c r="M6" s="132"/>
      <c r="N6" s="132"/>
      <c r="O6" s="132"/>
      <c r="P6" s="132"/>
      <c r="Q6" s="623"/>
      <c r="R6" s="139"/>
      <c r="S6" s="139"/>
    </row>
    <row r="7" spans="1:19">
      <c r="A7" s="620">
        <f t="shared" si="0"/>
        <v>37288</v>
      </c>
      <c r="B7" s="635" t="str">
        <f>[60]!'NGG2,TICK:UP/DOWN,1'</f>
        <v>↓</v>
      </c>
      <c r="C7" s="636">
        <f>[60]!'NGG2,NET CHANGE,1'*1000</f>
        <v>-40</v>
      </c>
      <c r="D7" s="615">
        <f>[60]!'NGG2,LAST,1'</f>
        <v>3.24</v>
      </c>
      <c r="E7" s="637"/>
      <c r="G7" s="620">
        <f>DATE(YEAR(G6),MONTH(G6)+1,1)</f>
        <v>37288</v>
      </c>
      <c r="H7" s="624" t="str">
        <f>[60]!'CLG2,TICK:UP/DOWN,1'</f>
        <v xml:space="preserve"> </v>
      </c>
      <c r="I7" s="125">
        <f>[60]!'CLG2,NET CHANGE,1'*100</f>
        <v>0</v>
      </c>
      <c r="J7" s="614">
        <f>[60]!'CLG2,LAST,1'</f>
        <v>0</v>
      </c>
      <c r="L7" s="130"/>
      <c r="M7" s="131"/>
      <c r="N7" s="131"/>
      <c r="O7" s="132"/>
      <c r="P7" s="139"/>
      <c r="Q7" s="139"/>
      <c r="R7" s="139"/>
      <c r="S7" s="139"/>
    </row>
    <row r="8" spans="1:19">
      <c r="A8" s="620">
        <f t="shared" si="0"/>
        <v>37316</v>
      </c>
      <c r="B8" s="635" t="str">
        <f>[60]!'NGH2,TICK:UP/DOWN,1'</f>
        <v>↓</v>
      </c>
      <c r="C8" s="636">
        <f>[60]!'NGH2,NET CHANGE,1'*1000</f>
        <v>-65</v>
      </c>
      <c r="D8" s="615">
        <f>[60]!'NGH2,LAST,1'</f>
        <v>3.15</v>
      </c>
      <c r="E8" s="637"/>
      <c r="G8" s="620">
        <f>DATE(YEAR(G7),MONTH(G7)+1,1)</f>
        <v>37316</v>
      </c>
      <c r="H8" s="624" t="str">
        <f>[60]!'CLH2,TICK:UP/DOWN,1'</f>
        <v xml:space="preserve"> </v>
      </c>
      <c r="I8" s="125">
        <f>[60]!'CLH2,NET CHANGE,1'*100</f>
        <v>0</v>
      </c>
      <c r="J8" s="614">
        <f>[60]!'CLH2,LAST,1'</f>
        <v>0</v>
      </c>
      <c r="L8" s="130"/>
      <c r="M8" s="131"/>
      <c r="N8" s="131"/>
      <c r="O8" s="132"/>
      <c r="P8" s="139"/>
      <c r="Q8" s="139"/>
      <c r="R8" s="139"/>
      <c r="S8" s="139"/>
    </row>
    <row r="9" spans="1:19" ht="14.4" thickBot="1">
      <c r="A9" s="620">
        <f t="shared" si="0"/>
        <v>37347</v>
      </c>
      <c r="B9" s="635" t="str">
        <f>[60]!'NGJ2,TICK:UP/DOWN,1'</f>
        <v xml:space="preserve"> </v>
      </c>
      <c r="C9" s="636">
        <f>[60]!'NGJ2,NET CHANGE,1'*1000</f>
        <v>0</v>
      </c>
      <c r="D9" s="615">
        <f>[60]!'NGJ2,LAST,1'</f>
        <v>0</v>
      </c>
      <c r="E9" s="637"/>
      <c r="G9" s="620"/>
      <c r="H9" s="624"/>
      <c r="I9" s="125"/>
      <c r="J9" s="614"/>
      <c r="L9" s="130"/>
      <c r="M9" s="131"/>
      <c r="N9" s="131"/>
      <c r="O9" s="132"/>
      <c r="P9" s="139"/>
      <c r="Q9" s="139"/>
      <c r="R9" s="139"/>
      <c r="S9" s="139"/>
    </row>
    <row r="10" spans="1:19">
      <c r="A10" s="620">
        <f t="shared" si="0"/>
        <v>37377</v>
      </c>
      <c r="B10" s="635" t="str">
        <f>[60]!'NGK2,TICK:UP/DOWN,1'</f>
        <v xml:space="preserve"> </v>
      </c>
      <c r="C10" s="636">
        <f>[60]!'NGK2,NET CHANGE,1'*1000</f>
        <v>0</v>
      </c>
      <c r="D10" s="615">
        <f>[60]!'NGK2,LAST,1'</f>
        <v>0</v>
      </c>
      <c r="E10" s="637"/>
      <c r="G10" s="118" t="s">
        <v>285</v>
      </c>
      <c r="H10" s="122"/>
      <c r="I10" s="119"/>
      <c r="J10" s="120"/>
      <c r="L10" s="130"/>
      <c r="M10" s="131"/>
      <c r="N10" s="131"/>
      <c r="O10" s="132"/>
      <c r="P10" s="139"/>
      <c r="Q10" s="139"/>
      <c r="R10" s="139"/>
      <c r="S10" s="139"/>
    </row>
    <row r="11" spans="1:19">
      <c r="A11" s="620">
        <f t="shared" si="0"/>
        <v>37408</v>
      </c>
      <c r="B11" s="635" t="str">
        <f>[60]!'NGM2,TICK:UP/DOWN,1'</f>
        <v>↓</v>
      </c>
      <c r="C11" s="636">
        <f>[60]!'NGM2,NET CHANGE,1'*1000</f>
        <v>-50</v>
      </c>
      <c r="D11" s="615">
        <f>[60]!'NGM2,LAST,1'</f>
        <v>3.1349999999999998</v>
      </c>
      <c r="E11" s="637"/>
      <c r="G11" s="620">
        <f>G3</f>
        <v>37165</v>
      </c>
      <c r="H11" s="624" t="str">
        <f>[60]!'HOV1,TICK:UP/DOWN,1'</f>
        <v>↑</v>
      </c>
      <c r="I11" s="125">
        <f>[60]!'HOV1,NET CHANGE,1'</f>
        <v>-70</v>
      </c>
      <c r="J11" s="126">
        <f>[60]!'HOV1,LAST,1'</f>
        <v>8000</v>
      </c>
      <c r="L11" s="130"/>
      <c r="M11" s="607"/>
      <c r="N11" s="131"/>
      <c r="O11" s="132"/>
      <c r="P11" s="139"/>
      <c r="Q11" s="139"/>
      <c r="R11" s="139"/>
      <c r="S11" s="139"/>
    </row>
    <row r="12" spans="1:19" ht="14.4" thickBot="1">
      <c r="A12" s="620">
        <f>DATE(YEAR(A11),MONTH(A11)+1,1)</f>
        <v>37438</v>
      </c>
      <c r="B12" s="635" t="str">
        <f>[60]!'NGM2,TICK:UP/DOWN,1'</f>
        <v>↓</v>
      </c>
      <c r="C12" s="636">
        <f>[60]!'NGN2,NET CHANGE,1'*1000</f>
        <v>0</v>
      </c>
      <c r="D12" s="615">
        <f>[60]!'NGN2,LAST,1'</f>
        <v>0</v>
      </c>
      <c r="E12" s="637"/>
      <c r="G12" s="124"/>
      <c r="H12" s="617"/>
      <c r="I12" s="125"/>
      <c r="J12" s="126"/>
      <c r="L12" s="133"/>
      <c r="M12" s="134"/>
      <c r="N12" s="134"/>
      <c r="O12" s="135"/>
      <c r="P12" s="139"/>
      <c r="Q12" s="139"/>
      <c r="R12" s="139"/>
      <c r="S12" s="139"/>
    </row>
    <row r="13" spans="1:19" hidden="1">
      <c r="A13" s="620">
        <f t="shared" ref="A13:A19" si="1">DATE(YEAR(A12),MONTH(A12)+1,1)</f>
        <v>37469</v>
      </c>
      <c r="B13" s="635" t="str">
        <f>[60]!'NGQ2,TICK:UP/DOWN,1'</f>
        <v>↓</v>
      </c>
      <c r="C13" s="634">
        <f>[60]!'NGQ2,NET CHANGE,1'</f>
        <v>-5.1999999999999998E-2</v>
      </c>
      <c r="D13" s="607">
        <f>[60]!'NGQ2,LAST,1'</f>
        <v>3.21</v>
      </c>
      <c r="E13" s="637"/>
      <c r="G13" s="632"/>
      <c r="H13" s="617"/>
      <c r="I13" s="633"/>
      <c r="J13" s="634"/>
      <c r="L13" s="131"/>
      <c r="M13" s="131"/>
      <c r="N13" s="131"/>
      <c r="O13" s="131"/>
      <c r="P13" s="139"/>
      <c r="Q13" s="139"/>
      <c r="R13" s="139"/>
      <c r="S13" s="139"/>
    </row>
    <row r="14" spans="1:19" hidden="1">
      <c r="A14" s="620">
        <f t="shared" si="1"/>
        <v>37500</v>
      </c>
      <c r="B14" s="635" t="str">
        <f>[60]!'NGU2,TICK:UP/DOWN,1'</f>
        <v xml:space="preserve"> </v>
      </c>
      <c r="C14" s="634">
        <f>[60]!'NGU2,NET CHANGE,1'</f>
        <v>0</v>
      </c>
      <c r="D14" s="607">
        <f>[60]!'NGU2,LAST,1'</f>
        <v>0</v>
      </c>
      <c r="E14" s="637"/>
      <c r="G14" s="632"/>
      <c r="H14" s="617"/>
      <c r="I14" s="633"/>
      <c r="J14" s="634"/>
      <c r="L14" s="131"/>
      <c r="M14" s="131"/>
      <c r="N14" s="131"/>
      <c r="O14" s="131"/>
      <c r="P14" s="139"/>
      <c r="Q14" s="139"/>
      <c r="R14" s="139"/>
      <c r="S14" s="139"/>
    </row>
    <row r="15" spans="1:19" hidden="1">
      <c r="A15" s="620">
        <f t="shared" si="1"/>
        <v>37530</v>
      </c>
      <c r="B15" s="635" t="str">
        <f>[60]!'NGV2,TICK:UP/DOWN,1'</f>
        <v>↓</v>
      </c>
      <c r="C15" s="634">
        <f>[60]!'NGV2,NET CHANGE,1'</f>
        <v>-5.1999999999999998E-2</v>
      </c>
      <c r="D15" s="607">
        <f>[60]!'NGV2,LAST,1'</f>
        <v>3.22</v>
      </c>
      <c r="E15" s="637"/>
      <c r="G15" s="632"/>
      <c r="H15" s="617"/>
      <c r="I15" s="633"/>
      <c r="J15" s="634"/>
      <c r="L15" s="131"/>
      <c r="M15" s="131"/>
      <c r="N15" s="131"/>
      <c r="O15" s="131"/>
      <c r="P15" s="139"/>
      <c r="Q15" s="139"/>
      <c r="R15" s="139"/>
      <c r="S15" s="139"/>
    </row>
    <row r="16" spans="1:19" hidden="1">
      <c r="A16" s="620">
        <f t="shared" si="1"/>
        <v>37561</v>
      </c>
      <c r="B16" s="635" t="str">
        <f>[60]!'NGX2,TICK:UP/DOWN,1'</f>
        <v>↓</v>
      </c>
      <c r="C16" s="634">
        <f>[60]!'NGX2,NET CHANGE,1'</f>
        <v>-5.1999999999999998E-2</v>
      </c>
      <c r="D16" s="607">
        <f>[60]!'NGX2,LAST,1'</f>
        <v>3.38</v>
      </c>
      <c r="E16" s="637"/>
      <c r="G16" s="632"/>
      <c r="H16" s="617"/>
      <c r="I16" s="633"/>
      <c r="J16" s="634"/>
      <c r="L16" s="131"/>
      <c r="M16" s="131"/>
      <c r="N16" s="131"/>
      <c r="O16" s="131"/>
      <c r="P16" s="139"/>
      <c r="Q16" s="139"/>
      <c r="R16" s="139"/>
      <c r="S16" s="139"/>
    </row>
    <row r="17" spans="1:19" hidden="1">
      <c r="A17" s="620">
        <f t="shared" si="1"/>
        <v>37591</v>
      </c>
      <c r="B17" s="635" t="str">
        <f>[60]!'NGZ2,TICK:UP/DOWN,1'</f>
        <v xml:space="preserve"> </v>
      </c>
      <c r="C17" s="634">
        <f>[60]!'NGZ2,NET CHANGE,1'</f>
        <v>0</v>
      </c>
      <c r="D17" s="607">
        <f>[60]!'NGZ2,LAST,1'</f>
        <v>0</v>
      </c>
      <c r="E17" s="637"/>
      <c r="G17" s="632"/>
      <c r="H17" s="617"/>
      <c r="I17" s="633"/>
      <c r="J17" s="634"/>
      <c r="L17" s="131"/>
      <c r="M17" s="131"/>
      <c r="N17" s="131"/>
      <c r="O17" s="131"/>
      <c r="P17" s="139"/>
      <c r="Q17" s="139"/>
      <c r="R17" s="139"/>
      <c r="S17" s="139"/>
    </row>
    <row r="18" spans="1:19" hidden="1">
      <c r="A18" s="620">
        <f t="shared" si="1"/>
        <v>37622</v>
      </c>
      <c r="B18" s="635" t="str">
        <f>[60]!'NGF3,TICK:UP/DOWN,1'</f>
        <v>↓</v>
      </c>
      <c r="C18" s="634">
        <f>[60]!'NGF3,NET CHANGE,1'</f>
        <v>-5.0999999999999997E-2</v>
      </c>
      <c r="D18" s="607">
        <f>[60]!'NGF3,LAST,1'</f>
        <v>3.63</v>
      </c>
      <c r="E18" s="637"/>
      <c r="G18" s="632"/>
      <c r="H18" s="617"/>
      <c r="I18" s="633"/>
      <c r="J18" s="634"/>
      <c r="L18" s="131"/>
      <c r="M18" s="131"/>
      <c r="N18" s="131"/>
      <c r="O18" s="131"/>
      <c r="P18" s="139"/>
      <c r="Q18" s="139"/>
      <c r="R18" s="139"/>
      <c r="S18" s="139"/>
    </row>
    <row r="19" spans="1:19" hidden="1">
      <c r="A19" s="620">
        <f t="shared" si="1"/>
        <v>37653</v>
      </c>
      <c r="B19" s="635" t="str">
        <f>[60]!'NGG3,TICK:UP/DOWN,1'</f>
        <v xml:space="preserve"> </v>
      </c>
      <c r="C19" s="634">
        <f>[60]!'NGG3,NET CHANGE,1'</f>
        <v>0</v>
      </c>
      <c r="D19" s="607">
        <f>[60]!'NGG3,LAST,1'</f>
        <v>0</v>
      </c>
      <c r="E19" s="637"/>
      <c r="G19" s="632"/>
      <c r="H19" s="617"/>
      <c r="I19" s="633"/>
      <c r="J19" s="634"/>
      <c r="L19" s="131"/>
      <c r="M19" s="131"/>
      <c r="N19" s="131"/>
      <c r="O19" s="131"/>
      <c r="P19" s="139"/>
      <c r="Q19" s="139"/>
      <c r="R19" s="139"/>
      <c r="S19" s="139"/>
    </row>
    <row r="20" spans="1:19" hidden="1">
      <c r="A20" s="644"/>
      <c r="B20" s="635"/>
      <c r="C20" s="634"/>
      <c r="D20" s="607"/>
      <c r="E20" s="637"/>
      <c r="G20" s="632"/>
      <c r="H20" s="617"/>
      <c r="I20" s="633"/>
      <c r="J20" s="634"/>
      <c r="L20" s="131"/>
      <c r="M20" s="131"/>
      <c r="N20" s="131"/>
      <c r="O20" s="131"/>
      <c r="P20" s="139"/>
      <c r="Q20" s="139"/>
      <c r="R20" s="139"/>
      <c r="S20" s="139"/>
    </row>
    <row r="21" spans="1:19" hidden="1">
      <c r="A21" s="644"/>
      <c r="B21" s="635"/>
      <c r="C21" s="634"/>
      <c r="D21" s="607"/>
      <c r="E21" s="637"/>
      <c r="G21" s="632"/>
      <c r="H21" s="617"/>
      <c r="I21" s="633"/>
      <c r="J21" s="634"/>
      <c r="L21" s="131"/>
      <c r="M21" s="131"/>
      <c r="N21" s="131"/>
      <c r="O21" s="131"/>
      <c r="P21" s="139"/>
      <c r="Q21" s="139"/>
      <c r="R21" s="139"/>
      <c r="S21" s="139"/>
    </row>
    <row r="22" spans="1:19" hidden="1">
      <c r="A22" s="644"/>
      <c r="B22" s="635"/>
      <c r="C22" s="634"/>
      <c r="D22" s="607"/>
      <c r="E22" s="637"/>
      <c r="G22" s="632"/>
      <c r="H22" s="617"/>
      <c r="I22" s="633"/>
      <c r="J22" s="634"/>
      <c r="L22" s="131"/>
      <c r="M22" s="131"/>
      <c r="N22" s="131"/>
      <c r="O22" s="131"/>
      <c r="P22" s="139"/>
      <c r="Q22" s="139"/>
      <c r="R22" s="139"/>
      <c r="S22" s="139"/>
    </row>
    <row r="23" spans="1:19" hidden="1">
      <c r="A23" s="644"/>
      <c r="B23" s="635"/>
      <c r="C23" s="634"/>
      <c r="D23" s="607"/>
      <c r="E23" s="637"/>
      <c r="G23" s="632"/>
      <c r="H23" s="617"/>
      <c r="I23" s="633"/>
      <c r="J23" s="634"/>
      <c r="L23" s="131"/>
      <c r="M23" s="131"/>
      <c r="N23" s="131"/>
      <c r="O23" s="131"/>
      <c r="P23" s="139"/>
      <c r="Q23" s="139"/>
      <c r="R23" s="139"/>
      <c r="S23" s="139"/>
    </row>
    <row r="24" spans="1:19" hidden="1">
      <c r="A24" s="644"/>
      <c r="B24" s="635"/>
      <c r="C24" s="634"/>
      <c r="D24" s="607"/>
      <c r="E24" s="637"/>
      <c r="G24" s="632"/>
      <c r="H24" s="617"/>
      <c r="I24" s="633"/>
      <c r="J24" s="634"/>
      <c r="L24" s="131"/>
      <c r="M24" s="131"/>
      <c r="N24" s="131"/>
      <c r="O24" s="131"/>
      <c r="P24" s="139"/>
      <c r="Q24" s="139"/>
      <c r="R24" s="139"/>
      <c r="S24" s="139"/>
    </row>
    <row r="25" spans="1:19" ht="4.5" customHeight="1" thickBot="1">
      <c r="A25" s="632"/>
      <c r="B25" s="617"/>
      <c r="C25" s="633"/>
      <c r="D25" s="634"/>
      <c r="G25" s="632"/>
      <c r="H25" s="617"/>
      <c r="I25" s="633"/>
      <c r="J25" s="634"/>
      <c r="L25" s="131"/>
      <c r="M25" s="131"/>
      <c r="N25" s="131"/>
      <c r="O25" s="131"/>
      <c r="P25" s="139"/>
      <c r="Q25" s="139"/>
      <c r="R25" s="139"/>
      <c r="S25" s="139"/>
    </row>
    <row r="26" spans="1:19" ht="14.4" thickBot="1">
      <c r="A26" s="118" t="s">
        <v>280</v>
      </c>
      <c r="B26" s="122"/>
      <c r="C26" s="119"/>
      <c r="D26" s="120"/>
      <c r="E26" s="120"/>
      <c r="G26" s="118" t="s">
        <v>289</v>
      </c>
      <c r="H26" s="122"/>
      <c r="I26" s="119"/>
      <c r="J26" s="120"/>
      <c r="L26" s="139"/>
      <c r="M26" s="139"/>
      <c r="N26" s="139"/>
      <c r="O26" s="139"/>
      <c r="P26" s="139"/>
      <c r="Q26" s="139"/>
      <c r="R26" s="139"/>
      <c r="S26" s="139"/>
    </row>
    <row r="27" spans="1:19">
      <c r="A27" s="613" t="s">
        <v>272</v>
      </c>
      <c r="B27" s="618"/>
      <c r="C27" s="611">
        <f>[60]!'NG2000-EOL,BID,1'</f>
        <v>0</v>
      </c>
      <c r="D27" s="120" t="s">
        <v>260</v>
      </c>
      <c r="E27" s="120" t="s">
        <v>288</v>
      </c>
      <c r="F27" s="610"/>
      <c r="G27" s="631" t="s">
        <v>290</v>
      </c>
      <c r="H27" s="629"/>
      <c r="I27" s="630">
        <f>[60]!'PW2200-EOL,BID,1'</f>
        <v>0</v>
      </c>
      <c r="J27" s="630">
        <f>[60]!'PW2200-EOL,ASK,1'</f>
        <v>0</v>
      </c>
      <c r="L27" s="608"/>
      <c r="M27" s="139"/>
      <c r="N27" s="139"/>
      <c r="O27" s="139"/>
      <c r="P27" s="139"/>
      <c r="Q27" s="139"/>
      <c r="R27" s="139"/>
      <c r="S27" s="139"/>
    </row>
    <row r="28" spans="1:19">
      <c r="A28" s="613" t="s">
        <v>297</v>
      </c>
      <c r="B28" s="618"/>
      <c r="C28" s="611">
        <f>[60]!'NG2001-EOL,BID,1'</f>
        <v>0</v>
      </c>
      <c r="D28" s="610"/>
      <c r="E28" s="610"/>
      <c r="F28" s="610"/>
      <c r="G28" s="631"/>
      <c r="H28" s="629"/>
      <c r="I28" s="630"/>
      <c r="J28" s="642"/>
      <c r="L28" s="608"/>
      <c r="M28" s="139"/>
      <c r="N28" s="139"/>
      <c r="O28" s="139"/>
      <c r="P28" s="139"/>
      <c r="Q28" s="139"/>
      <c r="R28" s="139"/>
      <c r="S28" s="139"/>
    </row>
    <row r="29" spans="1:19" ht="14.4" thickBot="1">
      <c r="A29" s="613" t="s">
        <v>273</v>
      </c>
      <c r="B29" s="618"/>
      <c r="C29" s="611">
        <f>[60]!'NG1200-EOL,BID,1'</f>
        <v>0</v>
      </c>
      <c r="D29" s="612">
        <f>C29-$C$27</f>
        <v>0</v>
      </c>
      <c r="E29" s="612" t="str">
        <f>IF($C$30&lt;0.1,"",$C$30-C29)</f>
        <v/>
      </c>
      <c r="F29" s="610"/>
      <c r="G29" s="613"/>
      <c r="H29" s="618"/>
      <c r="I29" s="611"/>
      <c r="J29" s="612"/>
      <c r="L29" s="609"/>
      <c r="M29" s="609"/>
      <c r="N29" s="139"/>
      <c r="O29" s="139"/>
      <c r="P29" s="139"/>
      <c r="Q29" s="139"/>
      <c r="R29" s="139"/>
      <c r="S29" s="139"/>
    </row>
    <row r="30" spans="1:19">
      <c r="A30" s="613" t="s">
        <v>271</v>
      </c>
      <c r="B30" s="618"/>
      <c r="C30" s="611">
        <f>[60]!'NG1600-EOL,BID,1'*1.055056/M2</f>
        <v>0</v>
      </c>
      <c r="D30" s="641" t="str">
        <f>IF(C30&lt;0.1,"",C30-$C$28)</f>
        <v/>
      </c>
      <c r="E30" s="610"/>
      <c r="F30" s="610"/>
      <c r="G30" s="118" t="s">
        <v>291</v>
      </c>
      <c r="H30" s="122"/>
      <c r="I30" s="119"/>
      <c r="J30" s="120"/>
      <c r="K30" s="120"/>
      <c r="L30" s="608"/>
      <c r="M30" s="608"/>
      <c r="N30" s="139"/>
      <c r="O30" s="139"/>
      <c r="P30" s="139"/>
      <c r="Q30" s="139"/>
      <c r="R30" s="139"/>
      <c r="S30" s="139"/>
    </row>
    <row r="31" spans="1:19">
      <c r="A31" s="613" t="s">
        <v>274</v>
      </c>
      <c r="B31" s="618"/>
      <c r="C31" s="611">
        <f>[60]!'NG1900-EOL,BID,1'</f>
        <v>0</v>
      </c>
      <c r="D31" s="612" t="str">
        <f t="shared" ref="D31:D36" si="2">IF(C31&lt;0.1,"",C31-$C$27)</f>
        <v/>
      </c>
      <c r="E31" s="612" t="str">
        <f>IF($C$30&lt;0.1,"",$C$30-C31)</f>
        <v/>
      </c>
      <c r="F31" s="610"/>
      <c r="G31" s="639">
        <f>A3</f>
        <v>37165</v>
      </c>
      <c r="H31" s="629"/>
      <c r="I31" s="630">
        <f>[60]!'NG1000-EOL,BID,1'</f>
        <v>2.2799999999999998</v>
      </c>
      <c r="J31" s="630">
        <f>[60]!'NG1000-EOL,ASK,1'</f>
        <v>2.29</v>
      </c>
      <c r="K31" s="640">
        <f>I32-I31</f>
        <v>0.37750000000000039</v>
      </c>
      <c r="L31" s="608"/>
      <c r="M31" s="608"/>
      <c r="N31" s="139"/>
      <c r="O31" s="139"/>
      <c r="P31" s="139"/>
      <c r="Q31" s="139"/>
      <c r="R31" s="139"/>
      <c r="S31" s="139"/>
    </row>
    <row r="32" spans="1:19">
      <c r="A32" s="613" t="s">
        <v>275</v>
      </c>
      <c r="B32" s="618"/>
      <c r="C32" s="611">
        <f>[60]!'NG4700-EOL,BID,1'</f>
        <v>0</v>
      </c>
      <c r="D32" s="612" t="str">
        <f t="shared" si="2"/>
        <v/>
      </c>
      <c r="E32" s="612" t="str">
        <f>IF($C$30&lt;0.1,"",$C$30-C32)</f>
        <v/>
      </c>
      <c r="F32" s="610"/>
      <c r="G32" s="639">
        <f>A4</f>
        <v>37196</v>
      </c>
      <c r="H32" s="629"/>
      <c r="I32" s="630">
        <f>[60]!'NG1100-EOL,BID,1'</f>
        <v>2.6575000000000002</v>
      </c>
      <c r="J32" s="630">
        <f>[60]!'NG1100-EOL,ASK,1'</f>
        <v>2.67</v>
      </c>
      <c r="L32" s="608"/>
      <c r="M32" s="608"/>
      <c r="N32" s="139"/>
      <c r="O32" s="139"/>
      <c r="P32" s="139"/>
      <c r="Q32" s="139"/>
      <c r="R32" s="139"/>
      <c r="S32" s="139"/>
    </row>
    <row r="33" spans="1:21">
      <c r="A33" s="613" t="s">
        <v>276</v>
      </c>
      <c r="B33" s="618"/>
      <c r="C33" s="611">
        <f>[60]!'NG3240-EOL,BID,1'</f>
        <v>0</v>
      </c>
      <c r="D33" s="612" t="str">
        <f t="shared" si="2"/>
        <v/>
      </c>
      <c r="E33" s="612" t="str">
        <f>IF($C$30&lt;0.1,"",$C$30-C33)</f>
        <v/>
      </c>
      <c r="F33" s="610"/>
      <c r="G33" s="639" t="s">
        <v>292</v>
      </c>
      <c r="H33" s="629"/>
      <c r="I33" s="630">
        <f>[60]!'NG9100-EOL,BID,1'</f>
        <v>0</v>
      </c>
      <c r="J33" s="630">
        <f>[60]!'NG9100-EOL,ASK,1'</f>
        <v>0</v>
      </c>
      <c r="L33" s="608"/>
      <c r="M33" s="608"/>
      <c r="N33" s="139"/>
      <c r="O33" s="139"/>
      <c r="P33" s="139"/>
      <c r="Q33" s="139"/>
      <c r="R33" s="139"/>
      <c r="S33" s="139"/>
    </row>
    <row r="34" spans="1:21">
      <c r="A34" s="613" t="s">
        <v>277</v>
      </c>
      <c r="B34" s="618"/>
      <c r="C34" s="611">
        <f>[60]!'NG3520-EOL,BID,1'</f>
        <v>0</v>
      </c>
      <c r="D34" s="612" t="str">
        <f t="shared" si="2"/>
        <v/>
      </c>
      <c r="E34" s="612" t="str">
        <f>IF($C$30&lt;0.1,"",$C$30-C34)</f>
        <v/>
      </c>
      <c r="F34" s="610"/>
      <c r="G34" s="639" t="s">
        <v>293</v>
      </c>
      <c r="H34" s="629"/>
      <c r="I34" s="630">
        <f>[60]!'NG9000-EOL,BID,1'</f>
        <v>0</v>
      </c>
      <c r="J34" s="630">
        <f>[60]!'NG9000-EOL,ASK,1'</f>
        <v>0</v>
      </c>
      <c r="K34" s="640">
        <f>I34-I33</f>
        <v>0</v>
      </c>
      <c r="L34" s="643">
        <f>I34-I31</f>
        <v>-2.2799999999999998</v>
      </c>
      <c r="M34" s="608"/>
      <c r="N34" s="139"/>
      <c r="O34" s="139"/>
      <c r="P34" s="139"/>
      <c r="Q34" s="139"/>
      <c r="R34" s="139"/>
      <c r="S34" s="139"/>
    </row>
    <row r="35" spans="1:21" ht="14.4" thickBot="1">
      <c r="A35" s="613" t="s">
        <v>278</v>
      </c>
      <c r="B35" s="618"/>
      <c r="C35" s="611">
        <f>[60]!'NG4400-EOL,BID,1'</f>
        <v>0</v>
      </c>
      <c r="D35" s="612" t="str">
        <f t="shared" si="2"/>
        <v/>
      </c>
      <c r="E35" s="612" t="str">
        <f>IF($C$30&lt;0.1,"",$C$30-C35)</f>
        <v/>
      </c>
      <c r="F35" s="610"/>
      <c r="G35" s="613"/>
      <c r="H35" s="618"/>
      <c r="I35" s="611"/>
      <c r="J35" s="612"/>
      <c r="L35" s="139"/>
      <c r="M35" s="139"/>
      <c r="N35" s="139"/>
      <c r="O35" s="139"/>
      <c r="P35" s="139"/>
      <c r="Q35" s="139"/>
      <c r="R35" s="139"/>
      <c r="S35" s="139"/>
    </row>
    <row r="36" spans="1:21">
      <c r="A36" s="613" t="s">
        <v>279</v>
      </c>
      <c r="B36" s="618"/>
      <c r="C36" s="611">
        <f>[60]!'NG3320-EOL,BID,1'</f>
        <v>0</v>
      </c>
      <c r="D36" s="612" t="str">
        <f t="shared" si="2"/>
        <v/>
      </c>
      <c r="E36" s="612" t="str">
        <f>IF(C37&lt;0.1,"",$C$30-C36)</f>
        <v/>
      </c>
      <c r="F36" s="610"/>
      <c r="G36" s="118" t="s">
        <v>294</v>
      </c>
      <c r="H36" s="122"/>
      <c r="I36" s="119"/>
      <c r="J36" s="120"/>
      <c r="L36" s="139"/>
      <c r="M36" s="139"/>
      <c r="N36" s="139"/>
      <c r="O36" s="139"/>
      <c r="P36" s="139"/>
      <c r="Q36" s="139"/>
      <c r="R36" s="139"/>
      <c r="S36" s="139"/>
    </row>
    <row r="37" spans="1:21" ht="6" customHeight="1" thickBot="1">
      <c r="A37" s="139"/>
      <c r="B37" s="139"/>
      <c r="C37" s="139"/>
      <c r="D37" s="139"/>
      <c r="G37" s="139"/>
      <c r="H37" s="139"/>
      <c r="I37" s="139"/>
      <c r="J37" s="139"/>
      <c r="L37" s="139"/>
      <c r="M37" s="139"/>
      <c r="N37" s="139"/>
      <c r="O37" s="139"/>
      <c r="P37" s="139"/>
      <c r="Q37" s="139"/>
      <c r="R37" s="139"/>
      <c r="S37" s="139"/>
    </row>
    <row r="38" spans="1:21" ht="14.4" thickBot="1">
      <c r="A38" s="118" t="s">
        <v>281</v>
      </c>
      <c r="B38" s="122"/>
      <c r="C38" s="119"/>
      <c r="D38" s="120"/>
      <c r="E38" s="120"/>
      <c r="G38" s="613" t="s">
        <v>295</v>
      </c>
      <c r="H38" s="618"/>
      <c r="I38" s="611">
        <f>[60]!'NG1700-EOL,BID,1'</f>
        <v>0</v>
      </c>
      <c r="J38" s="641">
        <f>(I38*1.055056/$M$2)-K38</f>
        <v>-2.2799999999999998</v>
      </c>
      <c r="K38" s="139">
        <f>[60]!'NG1000-EOL,BID,1'</f>
        <v>2.2799999999999998</v>
      </c>
      <c r="L38" s="139"/>
      <c r="M38" s="139"/>
      <c r="N38" s="139"/>
      <c r="O38" s="139"/>
      <c r="P38" s="139"/>
      <c r="Q38" s="139"/>
      <c r="R38" s="139"/>
      <c r="S38" s="139"/>
    </row>
    <row r="39" spans="1:21">
      <c r="A39" s="613" t="s">
        <v>272</v>
      </c>
      <c r="B39" s="618"/>
      <c r="C39" s="611">
        <f>[60]!'NG3100-EOL,BID,1'</f>
        <v>0</v>
      </c>
      <c r="D39" s="120" t="s">
        <v>260</v>
      </c>
      <c r="E39" s="120" t="s">
        <v>288</v>
      </c>
      <c r="G39" s="613" t="s">
        <v>296</v>
      </c>
      <c r="H39" s="618"/>
      <c r="I39" s="611">
        <f>[60]!'NG1700-EOL,ASK,1'</f>
        <v>0</v>
      </c>
      <c r="J39" s="641">
        <f>(I39*1.055056/$M$2)-K39</f>
        <v>-2.29</v>
      </c>
      <c r="K39" s="139">
        <f>[60]!'NG1000-EOL,ASK,1'</f>
        <v>2.29</v>
      </c>
      <c r="L39" s="139"/>
      <c r="M39" s="139"/>
      <c r="N39" s="139"/>
      <c r="O39" s="139"/>
      <c r="P39" s="139"/>
      <c r="Q39" s="139"/>
      <c r="R39" s="139"/>
      <c r="S39" s="139"/>
    </row>
    <row r="40" spans="1:21">
      <c r="A40" s="613" t="s">
        <v>273</v>
      </c>
      <c r="B40" s="618"/>
      <c r="C40" s="611">
        <f>[60]!'NG1500-EOL,BID,1'</f>
        <v>0</v>
      </c>
      <c r="D40" s="612">
        <f>C40-C39</f>
        <v>0</v>
      </c>
      <c r="E40" s="612">
        <f>C41-C40</f>
        <v>0</v>
      </c>
      <c r="G40" s="124"/>
      <c r="H40" s="617"/>
      <c r="I40" s="125"/>
      <c r="J40" s="126"/>
      <c r="L40" s="139"/>
      <c r="M40" s="139"/>
      <c r="N40" s="139"/>
      <c r="O40" s="139"/>
      <c r="P40" s="139"/>
      <c r="Q40" s="139"/>
      <c r="R40" s="139"/>
      <c r="S40" s="139"/>
    </row>
    <row r="41" spans="1:21">
      <c r="A41" s="613" t="s">
        <v>271</v>
      </c>
      <c r="B41" s="618"/>
      <c r="C41" s="611">
        <f>[60]!'NG1800-EOL,BID,1'*1.055056/M2</f>
        <v>0</v>
      </c>
      <c r="D41" s="612">
        <f>C41-C39</f>
        <v>0</v>
      </c>
      <c r="G41" s="124"/>
      <c r="H41" s="617"/>
      <c r="I41" s="125" t="str">
        <f>[10]!netchange</f>
        <v xml:space="preserve">       </v>
      </c>
      <c r="J41" s="126" t="str">
        <f>[10]!LastTrade</f>
        <v xml:space="preserve">        </v>
      </c>
      <c r="L41" s="139"/>
      <c r="M41" s="139"/>
      <c r="N41" s="139"/>
      <c r="O41" s="139"/>
      <c r="P41" s="139"/>
      <c r="Q41" s="139"/>
      <c r="R41" s="139"/>
      <c r="S41" s="139"/>
    </row>
    <row r="42" spans="1:21" ht="14.4" thickBot="1">
      <c r="A42" s="613" t="s">
        <v>278</v>
      </c>
      <c r="B42" s="618"/>
      <c r="C42" s="611">
        <f>[60]!'NG4500-EOL,BID,1'</f>
        <v>0</v>
      </c>
      <c r="D42" s="612">
        <f>C42-C39</f>
        <v>0</v>
      </c>
      <c r="E42" s="612">
        <f>C41-C42</f>
        <v>0</v>
      </c>
      <c r="G42" s="136"/>
      <c r="H42" s="619"/>
      <c r="I42" s="137" t="str">
        <f>[11]!netchange</f>
        <v xml:space="preserve">       </v>
      </c>
      <c r="J42" s="138" t="str">
        <f>[11]!LastTrade</f>
        <v xml:space="preserve">        </v>
      </c>
      <c r="L42" s="139"/>
      <c r="M42" s="139"/>
      <c r="N42" s="139"/>
      <c r="O42" s="139"/>
      <c r="P42" s="139"/>
      <c r="Q42" s="139"/>
      <c r="R42" s="139"/>
      <c r="S42" s="139"/>
    </row>
    <row r="43" spans="1:21">
      <c r="A43" s="139"/>
      <c r="B43" s="139"/>
      <c r="C43" s="139"/>
      <c r="D43" s="139"/>
      <c r="G43" s="139"/>
      <c r="H43" s="139"/>
      <c r="I43" s="139"/>
      <c r="J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</row>
    <row r="44" spans="1:21">
      <c r="A44" s="139"/>
      <c r="B44" s="139"/>
      <c r="C44" s="139"/>
      <c r="D44" s="139"/>
      <c r="G44" s="139"/>
      <c r="H44" s="139"/>
      <c r="I44" s="139"/>
      <c r="J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</row>
    <row r="45" spans="1:21">
      <c r="A45" s="139"/>
      <c r="B45" s="139"/>
      <c r="C45" s="139"/>
      <c r="D45" s="139"/>
      <c r="G45" s="139"/>
      <c r="H45" s="139"/>
      <c r="I45" s="139"/>
      <c r="J45" s="139"/>
    </row>
    <row r="46" spans="1:21">
      <c r="A46" s="139"/>
      <c r="B46" s="139"/>
      <c r="C46" s="139"/>
      <c r="D46" s="139"/>
      <c r="G46" s="139"/>
      <c r="H46" s="139"/>
      <c r="I46" s="139"/>
      <c r="J46" s="139"/>
    </row>
    <row r="47" spans="1:21">
      <c r="A47" s="139"/>
      <c r="B47" s="139"/>
      <c r="C47" s="139"/>
      <c r="D47" s="139"/>
      <c r="G47" s="139"/>
      <c r="H47" s="139"/>
      <c r="I47" s="139"/>
      <c r="J47" s="139"/>
    </row>
  </sheetData>
  <phoneticPr fontId="54" type="noConversion"/>
  <conditionalFormatting sqref="I11:I25 C3:C25 J27:J28 I38:I42 I3:I9 C39:C42 I27:I29 I31:J34 I35 C27:C36">
    <cfRule type="cellIs" dxfId="3" priority="1" stopIfTrue="1" operator="greaterThanOrEqual">
      <formula>0</formula>
    </cfRule>
    <cfRule type="cellIs" dxfId="2" priority="2" stopIfTrue="1" operator="lessThan">
      <formula>0</formula>
    </cfRule>
  </conditionalFormatting>
  <conditionalFormatting sqref="M7:M25 O7:O25 M3:Q6 E3">
    <cfRule type="cellIs" dxfId="1" priority="3" stopIfTrue="1" operator="lessThan">
      <formula>0</formula>
    </cfRule>
    <cfRule type="cellIs" dxfId="0" priority="4" stopIfTrue="1" operator="greaterThanOrEqual">
      <formula>0</formula>
    </cfRule>
  </conditionalFormatting>
  <pageMargins left="0.75" right="0.75" top="1" bottom="1" header="0.5" footer="0.5"/>
  <pageSetup scale="54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P945"/>
  <sheetViews>
    <sheetView topLeftCell="A6" zoomScale="75" workbookViewId="0">
      <selection activeCell="B11" sqref="B11"/>
    </sheetView>
  </sheetViews>
  <sheetFormatPr defaultColWidth="9.109375" defaultRowHeight="13.2"/>
  <cols>
    <col min="1" max="1" width="3.5546875" style="1" customWidth="1"/>
    <col min="2" max="2" width="15.6640625" style="1" customWidth="1"/>
    <col min="3" max="3" width="8.6640625" style="2" customWidth="1"/>
    <col min="4" max="4" width="8.44140625" style="2" customWidth="1"/>
    <col min="5" max="5" width="8.6640625" style="3" customWidth="1"/>
    <col min="6" max="6" width="9.5546875" style="2" bestFit="1" customWidth="1"/>
    <col min="7" max="7" width="2.33203125" style="2" customWidth="1"/>
    <col min="8" max="8" width="10.5546875" style="1" customWidth="1"/>
    <col min="9" max="9" width="3.33203125" style="1" customWidth="1"/>
    <col min="10" max="10" width="15.6640625" style="1" customWidth="1"/>
    <col min="11" max="14" width="8.6640625" style="1" customWidth="1"/>
    <col min="15" max="15" width="1.88671875" style="1" customWidth="1"/>
    <col min="16" max="16" width="10" style="1" customWidth="1"/>
    <col min="17" max="17" width="9.109375" style="1"/>
    <col min="18" max="18" width="13.5546875" style="1" customWidth="1"/>
    <col min="19" max="19" width="12.88671875" style="1" customWidth="1"/>
    <col min="20" max="20" width="13.33203125" style="1" customWidth="1"/>
    <col min="21" max="21" width="16.88671875" style="1" customWidth="1"/>
    <col min="22" max="16384" width="9.109375" style="1"/>
  </cols>
  <sheetData>
    <row r="1" spans="2:16" hidden="1"/>
    <row r="2" spans="2:16" ht="15.6" hidden="1">
      <c r="B2" s="57"/>
      <c r="C2" s="58"/>
      <c r="D2" s="58"/>
      <c r="E2" s="58"/>
      <c r="F2" s="58"/>
      <c r="G2" s="58"/>
      <c r="H2" s="47"/>
      <c r="I2" s="47"/>
      <c r="J2" s="47"/>
      <c r="K2" s="47"/>
      <c r="L2" s="47"/>
      <c r="M2" s="47"/>
      <c r="N2" s="47"/>
      <c r="O2" s="47"/>
      <c r="P2" s="47"/>
    </row>
    <row r="3" spans="2:16" ht="39" hidden="1" customHeight="1">
      <c r="B3" s="59"/>
      <c r="C3" s="60"/>
      <c r="D3" s="60"/>
      <c r="E3" s="60"/>
      <c r="F3" s="60"/>
      <c r="G3" s="60"/>
      <c r="H3" s="59"/>
      <c r="I3" s="47"/>
      <c r="J3" s="47"/>
      <c r="K3" s="47"/>
      <c r="L3" s="47"/>
      <c r="M3" s="47"/>
      <c r="N3" s="47"/>
      <c r="O3" s="47"/>
      <c r="P3" s="47"/>
    </row>
    <row r="4" spans="2:16" ht="44.25" hidden="1" customHeight="1">
      <c r="B4" s="59"/>
      <c r="C4" s="60"/>
      <c r="D4" s="60"/>
      <c r="E4" s="60"/>
      <c r="F4" s="60"/>
      <c r="G4" s="60"/>
      <c r="H4" s="59"/>
      <c r="I4" s="47"/>
      <c r="J4" s="47"/>
      <c r="K4" s="47"/>
      <c r="L4" s="47"/>
      <c r="M4" s="47"/>
      <c r="N4" s="47"/>
      <c r="O4" s="47"/>
      <c r="P4" s="47"/>
    </row>
    <row r="5" spans="2:16" ht="13.8" hidden="1" thickBot="1">
      <c r="H5" s="30"/>
      <c r="I5" s="56"/>
      <c r="J5" s="56"/>
      <c r="K5" s="56"/>
      <c r="L5" s="56"/>
      <c r="M5" s="56"/>
      <c r="N5" s="56"/>
      <c r="O5" s="56"/>
      <c r="P5" s="56"/>
    </row>
    <row r="6" spans="2:16" ht="33" customHeight="1">
      <c r="B6" s="7" t="s">
        <v>0</v>
      </c>
      <c r="C6" s="8"/>
      <c r="D6" s="8"/>
      <c r="E6" s="8"/>
      <c r="F6" s="8"/>
      <c r="G6" s="8"/>
      <c r="H6" s="31"/>
      <c r="I6" s="29"/>
      <c r="J6" s="29"/>
      <c r="K6" s="29"/>
      <c r="L6" s="29"/>
      <c r="M6" s="29"/>
      <c r="N6" s="29"/>
      <c r="O6" s="29"/>
      <c r="P6" s="34"/>
    </row>
    <row r="7" spans="2:16" ht="38.25" customHeight="1" thickBot="1">
      <c r="B7" s="9" t="s">
        <v>18</v>
      </c>
      <c r="C7" s="10"/>
      <c r="D7" s="10"/>
      <c r="E7" s="10"/>
      <c r="F7" s="10"/>
      <c r="G7" s="10"/>
      <c r="H7" s="32"/>
      <c r="I7" s="33"/>
      <c r="J7" s="33"/>
      <c r="K7" s="33"/>
      <c r="L7" s="33"/>
      <c r="M7" s="33"/>
      <c r="N7" s="33"/>
      <c r="O7" s="33"/>
      <c r="P7" s="20"/>
    </row>
    <row r="8" spans="2:16">
      <c r="B8" s="5"/>
      <c r="C8" s="6"/>
      <c r="D8" s="6"/>
      <c r="E8" s="6"/>
      <c r="F8" s="6"/>
      <c r="G8" s="6"/>
    </row>
    <row r="9" spans="2:16" ht="13.8" thickBot="1">
      <c r="C9" s="6"/>
      <c r="D9" s="6"/>
      <c r="E9" s="6"/>
      <c r="F9" s="6"/>
      <c r="G9" s="6"/>
    </row>
    <row r="10" spans="2:16" customFormat="1" ht="25.5" customHeight="1" thickBot="1">
      <c r="B10" s="22" t="s">
        <v>1</v>
      </c>
      <c r="C10" s="23" t="s">
        <v>2</v>
      </c>
      <c r="D10" s="24" t="s">
        <v>3</v>
      </c>
      <c r="E10" s="25" t="s">
        <v>4</v>
      </c>
      <c r="F10" s="25" t="s">
        <v>5</v>
      </c>
      <c r="G10" s="26" t="s">
        <v>6</v>
      </c>
      <c r="H10" s="26"/>
      <c r="I10" s="21"/>
      <c r="J10" s="39"/>
      <c r="K10" s="40"/>
      <c r="L10" s="41"/>
      <c r="M10" s="42"/>
      <c r="N10" s="42"/>
      <c r="O10" s="43"/>
      <c r="P10" s="43"/>
    </row>
    <row r="11" spans="2:16" ht="13.8" thickBot="1">
      <c r="B11" s="11" t="s">
        <v>157</v>
      </c>
      <c r="C11" s="28">
        <f>[59]!'LastPrice,T'</f>
        <v>2.3690000000000002</v>
      </c>
      <c r="D11" s="36">
        <f>[1]!Linetime</f>
        <v>37151.724305555559</v>
      </c>
      <c r="E11" s="13" t="s">
        <v>15</v>
      </c>
      <c r="F11" s="12" t="s">
        <v>16</v>
      </c>
      <c r="G11" s="20">
        <v>260</v>
      </c>
      <c r="H11" s="20"/>
      <c r="J11" s="30"/>
      <c r="K11" s="44"/>
      <c r="L11" s="45"/>
      <c r="M11" s="46"/>
      <c r="N11" s="44"/>
      <c r="O11" s="47"/>
      <c r="P11" s="47"/>
    </row>
    <row r="12" spans="2:16" ht="13.8" thickBot="1">
      <c r="B12" s="107">
        <f>'Current Prices'!A4</f>
        <v>37165</v>
      </c>
      <c r="E12" s="2"/>
      <c r="J12" s="48"/>
      <c r="K12" s="49"/>
      <c r="L12" s="49"/>
      <c r="M12" s="49"/>
      <c r="N12" s="49"/>
      <c r="O12" s="49"/>
      <c r="P12" s="30"/>
    </row>
    <row r="13" spans="2:16" ht="13.8" thickBot="1">
      <c r="B13" s="14" t="s">
        <v>8</v>
      </c>
      <c r="C13" s="15" t="s">
        <v>9</v>
      </c>
      <c r="D13" s="15" t="s">
        <v>10</v>
      </c>
      <c r="E13" s="15" t="s">
        <v>11</v>
      </c>
      <c r="F13" s="15" t="s">
        <v>12</v>
      </c>
      <c r="G13" s="19"/>
      <c r="H13" s="18" t="s">
        <v>13</v>
      </c>
      <c r="J13" s="50"/>
      <c r="K13" s="44"/>
      <c r="L13" s="44"/>
      <c r="M13" s="44"/>
      <c r="N13" s="44"/>
      <c r="O13" s="44"/>
      <c r="P13" s="46"/>
    </row>
    <row r="14" spans="2:16">
      <c r="B14" s="16">
        <v>36598</v>
      </c>
      <c r="C14" s="37">
        <v>2.81</v>
      </c>
      <c r="D14" s="55">
        <v>2.8849999999999998</v>
      </c>
      <c r="E14" s="37">
        <v>2.75</v>
      </c>
      <c r="F14" s="37">
        <v>2.8450000000000002</v>
      </c>
      <c r="G14" s="27"/>
      <c r="H14" s="38">
        <f t="shared" ref="H14:H77" si="0">F14-F15</f>
        <v>7.1000000000000174E-2</v>
      </c>
      <c r="J14" s="48"/>
      <c r="K14" s="49"/>
      <c r="L14" s="49"/>
      <c r="M14" s="49"/>
      <c r="N14" s="49"/>
      <c r="O14" s="51"/>
      <c r="P14" s="49"/>
    </row>
    <row r="15" spans="2:16">
      <c r="B15" s="16">
        <v>36591</v>
      </c>
      <c r="C15" s="37">
        <v>2.7949999999999999</v>
      </c>
      <c r="D15" s="55">
        <v>2.88</v>
      </c>
      <c r="E15" s="37">
        <v>2.67</v>
      </c>
      <c r="F15" s="37">
        <v>2.774</v>
      </c>
      <c r="G15" s="27"/>
      <c r="H15" s="38">
        <f t="shared" si="0"/>
        <v>-5.1000000000000156E-2</v>
      </c>
      <c r="J15" s="48"/>
      <c r="K15" s="49"/>
      <c r="L15" s="49"/>
      <c r="M15" s="49"/>
      <c r="N15" s="49"/>
      <c r="O15" s="51"/>
      <c r="P15" s="49"/>
    </row>
    <row r="16" spans="2:16">
      <c r="B16" s="16">
        <v>36584</v>
      </c>
      <c r="C16" s="37">
        <v>2.59</v>
      </c>
      <c r="D16" s="37">
        <v>2.8650000000000002</v>
      </c>
      <c r="E16" s="37">
        <v>2.585</v>
      </c>
      <c r="F16" s="37">
        <v>2.8250000000000002</v>
      </c>
      <c r="G16" s="27"/>
      <c r="H16" s="38">
        <f t="shared" si="0"/>
        <v>0.22199999999999998</v>
      </c>
      <c r="J16" s="48"/>
      <c r="K16" s="49"/>
      <c r="L16" s="49"/>
      <c r="M16" s="49"/>
      <c r="N16" s="49"/>
      <c r="O16" s="51"/>
      <c r="P16" s="49"/>
    </row>
    <row r="17" spans="2:16">
      <c r="B17" s="16">
        <v>36578</v>
      </c>
      <c r="C17" s="37">
        <v>2.5550000000000002</v>
      </c>
      <c r="D17" s="37">
        <v>2.64</v>
      </c>
      <c r="E17" s="37">
        <v>2.4649999999999999</v>
      </c>
      <c r="F17" s="37">
        <v>2.6030000000000002</v>
      </c>
      <c r="G17" s="27"/>
      <c r="H17" s="38">
        <f t="shared" si="0"/>
        <v>-2.9999999999999805E-2</v>
      </c>
      <c r="J17" s="48"/>
      <c r="K17" s="49"/>
      <c r="L17" s="49"/>
      <c r="M17" s="49"/>
      <c r="N17" s="49"/>
      <c r="O17" s="51"/>
      <c r="P17" s="49"/>
    </row>
    <row r="18" spans="2:16">
      <c r="B18" s="16">
        <v>36570</v>
      </c>
      <c r="C18" s="37">
        <v>2.5299999999999998</v>
      </c>
      <c r="D18" s="37">
        <v>2.6749999999999998</v>
      </c>
      <c r="E18" s="37">
        <v>2.5150000000000001</v>
      </c>
      <c r="F18" s="37">
        <v>2.633</v>
      </c>
      <c r="G18" s="27"/>
      <c r="H18" s="38">
        <f t="shared" si="0"/>
        <v>6.3000000000000167E-2</v>
      </c>
      <c r="J18" s="48"/>
      <c r="K18" s="49"/>
      <c r="L18" s="49"/>
      <c r="M18" s="49"/>
      <c r="N18" s="49"/>
      <c r="O18" s="51"/>
      <c r="P18" s="49"/>
    </row>
    <row r="19" spans="2:16">
      <c r="B19" s="16">
        <v>36563</v>
      </c>
      <c r="C19" s="37">
        <v>2.6949999999999998</v>
      </c>
      <c r="D19" s="37">
        <v>2.7149999999999999</v>
      </c>
      <c r="E19" s="37">
        <v>2.4750000000000001</v>
      </c>
      <c r="F19" s="37">
        <v>2.57</v>
      </c>
      <c r="G19" s="27"/>
      <c r="H19" s="38">
        <f t="shared" si="0"/>
        <v>-0.17200000000000015</v>
      </c>
      <c r="J19" s="48"/>
      <c r="K19" s="49"/>
      <c r="L19" s="49"/>
      <c r="M19" s="49"/>
      <c r="N19" s="49"/>
      <c r="O19" s="51"/>
      <c r="P19" s="49"/>
    </row>
    <row r="20" spans="2:16">
      <c r="B20" s="16">
        <v>36556</v>
      </c>
      <c r="C20" s="37">
        <v>2.5750000000000002</v>
      </c>
      <c r="D20" s="37">
        <v>2.78</v>
      </c>
      <c r="E20" s="37">
        <v>2.5649999999999999</v>
      </c>
      <c r="F20" s="37">
        <v>2.742</v>
      </c>
      <c r="G20" s="27"/>
      <c r="H20" s="38">
        <f t="shared" si="0"/>
        <v>0.20999999999999996</v>
      </c>
      <c r="J20" s="48"/>
      <c r="K20" s="49"/>
      <c r="L20" s="49"/>
      <c r="M20" s="49"/>
      <c r="N20" s="49"/>
      <c r="O20" s="51"/>
      <c r="P20" s="49"/>
    </row>
    <row r="21" spans="2:16">
      <c r="B21" s="16">
        <v>36549</v>
      </c>
      <c r="C21" s="37">
        <v>2.5299999999999998</v>
      </c>
      <c r="D21" s="37">
        <v>2.68</v>
      </c>
      <c r="E21" s="37">
        <v>2.4900000000000002</v>
      </c>
      <c r="F21" s="37">
        <v>2.532</v>
      </c>
      <c r="G21" s="27"/>
      <c r="H21" s="38">
        <f t="shared" si="0"/>
        <v>4.7000000000000153E-2</v>
      </c>
      <c r="J21" s="48"/>
      <c r="K21" s="49"/>
      <c r="L21" s="49"/>
      <c r="M21" s="49"/>
      <c r="N21" s="49"/>
      <c r="O21" s="51"/>
      <c r="P21" s="49"/>
    </row>
    <row r="22" spans="2:16">
      <c r="B22" s="16">
        <v>36543</v>
      </c>
      <c r="C22" s="37">
        <v>2.36</v>
      </c>
      <c r="D22" s="37">
        <v>2.6349999999999998</v>
      </c>
      <c r="E22" s="37">
        <v>2.335</v>
      </c>
      <c r="F22" s="37">
        <v>2.4849999999999999</v>
      </c>
      <c r="G22" s="27"/>
      <c r="H22" s="38">
        <f t="shared" si="0"/>
        <v>0.16299999999999981</v>
      </c>
      <c r="J22" s="48"/>
      <c r="K22" s="49"/>
      <c r="L22" s="49"/>
      <c r="M22" s="49"/>
      <c r="N22" s="49"/>
      <c r="O22" s="51"/>
      <c r="P22" s="49"/>
    </row>
    <row r="23" spans="2:16">
      <c r="B23" s="16">
        <v>36535</v>
      </c>
      <c r="C23" s="37">
        <v>2.1800000000000002</v>
      </c>
      <c r="D23" s="37">
        <v>2.35</v>
      </c>
      <c r="E23" s="37">
        <v>2.165</v>
      </c>
      <c r="F23" s="37">
        <v>2.3220000000000001</v>
      </c>
      <c r="G23" s="27"/>
      <c r="H23" s="38">
        <f t="shared" si="0"/>
        <v>0.14900000000000002</v>
      </c>
      <c r="J23" s="54"/>
      <c r="K23" s="49"/>
      <c r="L23" s="49"/>
      <c r="M23" s="49"/>
      <c r="N23" s="49"/>
      <c r="O23" s="51"/>
      <c r="P23" s="49"/>
    </row>
    <row r="24" spans="2:16">
      <c r="B24" s="61">
        <v>36529</v>
      </c>
      <c r="C24" s="64">
        <v>2.17</v>
      </c>
      <c r="D24" s="64">
        <v>2.23</v>
      </c>
      <c r="E24" s="64">
        <v>2.125</v>
      </c>
      <c r="F24" s="62">
        <v>2.173</v>
      </c>
      <c r="G24" s="63"/>
      <c r="H24" s="38">
        <f t="shared" si="0"/>
        <v>-0.15600000000000014</v>
      </c>
      <c r="J24" s="30"/>
      <c r="K24" s="30"/>
      <c r="L24" s="30"/>
      <c r="M24" s="30"/>
      <c r="N24" s="30"/>
      <c r="O24" s="30"/>
      <c r="P24" s="30"/>
    </row>
    <row r="25" spans="2:16">
      <c r="B25" s="61">
        <v>36521</v>
      </c>
      <c r="C25" s="64">
        <v>2.37</v>
      </c>
      <c r="D25" s="64">
        <v>2.4300000000000002</v>
      </c>
      <c r="E25" s="64">
        <v>2.2599999999999998</v>
      </c>
      <c r="F25" s="62">
        <v>2.3290000000000002</v>
      </c>
      <c r="G25" s="63"/>
      <c r="H25" s="38">
        <f t="shared" si="0"/>
        <v>-6.999999999999984E-2</v>
      </c>
      <c r="J25" s="30"/>
      <c r="K25" s="30"/>
      <c r="L25" s="30"/>
      <c r="M25" s="30"/>
      <c r="N25" s="30"/>
      <c r="O25" s="30"/>
      <c r="P25" s="30"/>
    </row>
    <row r="26" spans="2:16">
      <c r="B26" s="61">
        <v>36514</v>
      </c>
      <c r="C26" s="64">
        <v>2.68</v>
      </c>
      <c r="D26" s="64">
        <v>2.7149999999999999</v>
      </c>
      <c r="E26" s="64">
        <v>2.39</v>
      </c>
      <c r="F26" s="62">
        <v>2.399</v>
      </c>
      <c r="G26" s="63"/>
      <c r="H26" s="38">
        <f t="shared" si="0"/>
        <v>-0.25599999999999978</v>
      </c>
      <c r="J26" s="30"/>
      <c r="K26" s="30"/>
      <c r="L26" s="30"/>
      <c r="M26" s="30"/>
      <c r="N26" s="30"/>
      <c r="O26" s="30"/>
      <c r="P26" s="30"/>
    </row>
    <row r="27" spans="2:16">
      <c r="B27" s="61">
        <v>36507</v>
      </c>
      <c r="C27" s="64">
        <v>2.4350000000000001</v>
      </c>
      <c r="D27" s="64">
        <v>2.68</v>
      </c>
      <c r="E27" s="64">
        <v>2.4300000000000002</v>
      </c>
      <c r="F27" s="62">
        <v>2.6549999999999998</v>
      </c>
      <c r="G27" s="63"/>
      <c r="H27" s="38">
        <f t="shared" si="0"/>
        <v>0.20899999999999963</v>
      </c>
      <c r="J27" s="30"/>
      <c r="K27" s="30"/>
      <c r="L27" s="30"/>
      <c r="M27" s="30"/>
      <c r="N27" s="30"/>
      <c r="O27" s="30"/>
      <c r="P27" s="30"/>
    </row>
    <row r="28" spans="2:16">
      <c r="B28" s="61">
        <v>36500</v>
      </c>
      <c r="C28" s="64">
        <v>2.2749999999999999</v>
      </c>
      <c r="D28" s="64">
        <v>2.48</v>
      </c>
      <c r="E28" s="64">
        <v>2.21</v>
      </c>
      <c r="F28" s="62">
        <v>2.4460000000000002</v>
      </c>
      <c r="G28" s="63"/>
      <c r="H28" s="38">
        <f t="shared" si="0"/>
        <v>0.11500000000000021</v>
      </c>
      <c r="J28" s="30"/>
      <c r="K28" s="30"/>
      <c r="L28" s="30"/>
      <c r="M28" s="30"/>
      <c r="N28" s="30"/>
      <c r="O28" s="30"/>
      <c r="P28" s="30"/>
    </row>
    <row r="29" spans="2:16">
      <c r="B29" s="61">
        <v>36493</v>
      </c>
      <c r="C29" s="64">
        <v>2.33</v>
      </c>
      <c r="D29" s="64">
        <v>2.4849999999999999</v>
      </c>
      <c r="E29" s="64">
        <v>2.2650000000000001</v>
      </c>
      <c r="F29" s="62">
        <v>2.331</v>
      </c>
      <c r="G29" s="63"/>
      <c r="H29" s="38">
        <f t="shared" si="0"/>
        <v>0.21099999999999985</v>
      </c>
      <c r="J29" s="30"/>
      <c r="K29" s="30"/>
      <c r="L29" s="30"/>
      <c r="M29" s="30"/>
      <c r="N29" s="30"/>
      <c r="O29" s="30"/>
      <c r="P29" s="30"/>
    </row>
    <row r="30" spans="2:16">
      <c r="B30" s="61">
        <v>36486</v>
      </c>
      <c r="C30" s="64">
        <v>2.34</v>
      </c>
      <c r="D30" s="64">
        <v>2.35</v>
      </c>
      <c r="E30" s="64">
        <v>2.08</v>
      </c>
      <c r="F30" s="62">
        <v>2.12</v>
      </c>
      <c r="G30" s="63"/>
      <c r="H30" s="38">
        <f t="shared" si="0"/>
        <v>-0.31400000000000006</v>
      </c>
      <c r="J30" s="30"/>
      <c r="K30" s="30"/>
      <c r="L30" s="30"/>
      <c r="M30" s="30"/>
      <c r="N30" s="30"/>
      <c r="O30" s="30"/>
      <c r="P30" s="30"/>
    </row>
    <row r="31" spans="2:16">
      <c r="B31" s="61">
        <v>36479</v>
      </c>
      <c r="C31" s="64">
        <v>2.585</v>
      </c>
      <c r="D31" s="64">
        <v>2.6349999999999998</v>
      </c>
      <c r="E31" s="64">
        <v>2.39</v>
      </c>
      <c r="F31" s="62">
        <v>2.4340000000000002</v>
      </c>
      <c r="G31" s="63"/>
      <c r="H31" s="38">
        <f t="shared" si="0"/>
        <v>-0.21499999999999986</v>
      </c>
      <c r="J31" s="30"/>
      <c r="K31" s="30"/>
      <c r="L31" s="30"/>
      <c r="M31" s="30"/>
      <c r="N31" s="30"/>
      <c r="O31" s="30"/>
      <c r="P31" s="30"/>
    </row>
    <row r="32" spans="2:16">
      <c r="B32" s="61">
        <v>36472</v>
      </c>
      <c r="C32" s="64">
        <v>2.77</v>
      </c>
      <c r="D32" s="64">
        <v>2.78</v>
      </c>
      <c r="E32" s="64">
        <v>2.5150000000000001</v>
      </c>
      <c r="F32" s="62">
        <v>2.649</v>
      </c>
      <c r="G32" s="63"/>
      <c r="H32" s="38">
        <f t="shared" si="0"/>
        <v>-0.23499999999999988</v>
      </c>
      <c r="J32" s="30"/>
      <c r="K32" s="30"/>
      <c r="L32" s="30"/>
      <c r="M32" s="30"/>
      <c r="N32" s="30"/>
      <c r="O32" s="30"/>
      <c r="P32" s="30"/>
    </row>
    <row r="33" spans="2:16">
      <c r="B33" s="61">
        <v>36465</v>
      </c>
      <c r="C33" s="64">
        <v>2.89</v>
      </c>
      <c r="D33" s="64">
        <v>2.93</v>
      </c>
      <c r="E33" s="64">
        <v>2.7549999999999999</v>
      </c>
      <c r="F33" s="62">
        <v>2.8839999999999999</v>
      </c>
      <c r="G33" s="63"/>
      <c r="H33" s="38">
        <f t="shared" si="0"/>
        <v>-7.6999999999999957E-2</v>
      </c>
      <c r="J33" s="30"/>
      <c r="K33" s="30"/>
      <c r="L33" s="30"/>
      <c r="M33" s="30"/>
      <c r="N33" s="30"/>
      <c r="O33" s="30"/>
      <c r="P33" s="30"/>
    </row>
    <row r="34" spans="2:16">
      <c r="B34" s="61">
        <v>36458</v>
      </c>
      <c r="C34" s="64">
        <v>2.9950000000000001</v>
      </c>
      <c r="D34" s="64">
        <v>3.1949999999999998</v>
      </c>
      <c r="E34" s="64">
        <v>2.87</v>
      </c>
      <c r="F34" s="62">
        <v>2.9609999999999999</v>
      </c>
      <c r="G34" s="63"/>
      <c r="H34" s="38">
        <f t="shared" si="0"/>
        <v>-0.11100000000000021</v>
      </c>
      <c r="J34" s="30"/>
      <c r="K34" s="30"/>
      <c r="L34" s="30"/>
      <c r="M34" s="30"/>
      <c r="N34" s="30"/>
      <c r="O34" s="30"/>
      <c r="P34" s="30"/>
    </row>
    <row r="35" spans="2:16">
      <c r="B35" s="61">
        <v>36451</v>
      </c>
      <c r="C35" s="64">
        <v>2.99</v>
      </c>
      <c r="D35" s="64">
        <v>3.105</v>
      </c>
      <c r="E35" s="64">
        <v>2.86</v>
      </c>
      <c r="F35" s="62">
        <v>3.0720000000000001</v>
      </c>
      <c r="G35" s="63"/>
      <c r="H35" s="38">
        <f t="shared" si="0"/>
        <v>9.6999999999999975E-2</v>
      </c>
      <c r="J35" s="30"/>
      <c r="K35" s="30"/>
      <c r="L35" s="30"/>
      <c r="M35" s="30"/>
      <c r="N35" s="30"/>
      <c r="O35" s="30"/>
      <c r="P35" s="30"/>
    </row>
    <row r="36" spans="2:16">
      <c r="B36" s="61">
        <v>36444</v>
      </c>
      <c r="C36" s="64">
        <v>2.7149999999999999</v>
      </c>
      <c r="D36" s="64">
        <v>3.03</v>
      </c>
      <c r="E36" s="64">
        <v>2.7050000000000001</v>
      </c>
      <c r="F36" s="62">
        <v>2.9750000000000001</v>
      </c>
      <c r="G36" s="63"/>
      <c r="H36" s="38">
        <f t="shared" si="0"/>
        <v>0.28299999999999992</v>
      </c>
      <c r="J36" s="30"/>
      <c r="K36" s="30"/>
      <c r="L36" s="30"/>
      <c r="M36" s="30"/>
      <c r="N36" s="30"/>
      <c r="O36" s="30"/>
      <c r="P36" s="30"/>
    </row>
    <row r="37" spans="2:16">
      <c r="B37" s="61">
        <v>36437</v>
      </c>
      <c r="C37" s="64">
        <v>2.7650000000000001</v>
      </c>
      <c r="D37" s="64">
        <v>2.81</v>
      </c>
      <c r="E37" s="64">
        <v>2.5299999999999998</v>
      </c>
      <c r="F37" s="62">
        <v>2.6920000000000002</v>
      </c>
      <c r="G37" s="63"/>
      <c r="H37" s="38">
        <f t="shared" si="0"/>
        <v>-0.10099999999999998</v>
      </c>
      <c r="J37" s="30"/>
      <c r="K37" s="30"/>
      <c r="L37" s="30"/>
      <c r="M37" s="30"/>
      <c r="N37" s="30"/>
      <c r="O37" s="30"/>
      <c r="P37" s="30"/>
    </row>
    <row r="38" spans="2:16">
      <c r="B38" s="61">
        <v>36430</v>
      </c>
      <c r="C38" s="64">
        <v>2.6</v>
      </c>
      <c r="D38" s="64">
        <v>2.94</v>
      </c>
      <c r="E38" s="64">
        <v>2.5299999999999998</v>
      </c>
      <c r="F38" s="62">
        <v>2.7930000000000001</v>
      </c>
      <c r="G38" s="63"/>
      <c r="H38" s="38">
        <f t="shared" si="0"/>
        <v>0.16300000000000026</v>
      </c>
      <c r="J38" s="30"/>
      <c r="K38" s="30"/>
      <c r="L38" s="30"/>
      <c r="M38" s="30"/>
      <c r="N38" s="30"/>
      <c r="O38" s="30"/>
      <c r="P38" s="30"/>
    </row>
    <row r="39" spans="2:16">
      <c r="B39" s="61">
        <v>36423</v>
      </c>
      <c r="C39" s="64">
        <v>2.5950000000000002</v>
      </c>
      <c r="D39" s="64">
        <v>2.72</v>
      </c>
      <c r="E39" s="64">
        <v>2.41</v>
      </c>
      <c r="F39" s="62">
        <v>2.63</v>
      </c>
      <c r="G39" s="63"/>
      <c r="H39" s="38">
        <f t="shared" si="0"/>
        <v>2.1999999999999797E-2</v>
      </c>
      <c r="J39" s="30"/>
      <c r="K39" s="30"/>
      <c r="L39" s="30"/>
      <c r="M39" s="30"/>
      <c r="N39" s="30"/>
      <c r="O39" s="30"/>
      <c r="P39" s="30"/>
    </row>
    <row r="40" spans="2:16">
      <c r="B40" s="61">
        <v>36416</v>
      </c>
      <c r="C40" s="64">
        <v>2.86</v>
      </c>
      <c r="D40" s="64">
        <v>2.87</v>
      </c>
      <c r="E40" s="64">
        <v>2.5049999999999999</v>
      </c>
      <c r="F40" s="62">
        <v>2.6080000000000001</v>
      </c>
      <c r="G40" s="63"/>
      <c r="H40" s="38">
        <f t="shared" si="0"/>
        <v>-0.19300000000000006</v>
      </c>
      <c r="J40" s="30"/>
      <c r="K40" s="30"/>
      <c r="L40" s="30"/>
      <c r="M40" s="30"/>
      <c r="N40" s="30"/>
      <c r="O40" s="30"/>
      <c r="P40" s="30"/>
    </row>
    <row r="41" spans="2:16">
      <c r="B41" s="16">
        <v>36410</v>
      </c>
      <c r="C41" s="37">
        <v>2.54</v>
      </c>
      <c r="D41" s="37">
        <v>2.92</v>
      </c>
      <c r="E41" s="37">
        <v>2.5299999999999998</v>
      </c>
      <c r="F41" s="37">
        <v>2.8010000000000002</v>
      </c>
      <c r="G41" s="27"/>
      <c r="H41" s="38">
        <f t="shared" si="0"/>
        <v>0.24000000000000021</v>
      </c>
      <c r="J41" s="30"/>
      <c r="K41" s="30"/>
      <c r="L41" s="30"/>
      <c r="M41" s="30"/>
      <c r="N41" s="30"/>
      <c r="O41" s="30"/>
      <c r="P41" s="30"/>
    </row>
    <row r="42" spans="2:16">
      <c r="B42" s="16">
        <v>36402</v>
      </c>
      <c r="C42" s="37">
        <v>2.88</v>
      </c>
      <c r="D42" s="37">
        <v>2.97</v>
      </c>
      <c r="E42" s="37">
        <v>2.4300000000000002</v>
      </c>
      <c r="F42" s="37">
        <v>2.5609999999999999</v>
      </c>
      <c r="G42" s="27"/>
      <c r="H42" s="38">
        <f t="shared" si="0"/>
        <v>-0.35099999999999998</v>
      </c>
      <c r="J42" s="30"/>
      <c r="K42" s="30"/>
      <c r="L42" s="30"/>
      <c r="M42" s="30"/>
      <c r="N42" s="30"/>
      <c r="O42" s="30"/>
      <c r="P42" s="30"/>
    </row>
    <row r="43" spans="2:16">
      <c r="B43" s="16">
        <v>36395</v>
      </c>
      <c r="C43" s="37">
        <v>2.91</v>
      </c>
      <c r="D43" s="37">
        <v>3.13</v>
      </c>
      <c r="E43" s="37">
        <v>2.83</v>
      </c>
      <c r="F43" s="37">
        <v>2.9119999999999999</v>
      </c>
      <c r="G43" s="27"/>
      <c r="H43" s="38">
        <f t="shared" si="0"/>
        <v>-2.6000000000000245E-2</v>
      </c>
      <c r="J43" s="30"/>
      <c r="K43" s="30"/>
      <c r="L43" s="30"/>
      <c r="M43" s="30"/>
      <c r="N43" s="30"/>
      <c r="O43" s="30"/>
      <c r="P43" s="30"/>
    </row>
    <row r="44" spans="2:16">
      <c r="B44" s="16">
        <v>36388</v>
      </c>
      <c r="C44" s="37">
        <v>2.7250000000000001</v>
      </c>
      <c r="D44" s="37">
        <v>3.0150000000000001</v>
      </c>
      <c r="E44" s="37">
        <v>2.66</v>
      </c>
      <c r="F44" s="37">
        <v>2.9380000000000002</v>
      </c>
      <c r="G44" s="27"/>
      <c r="H44" s="38">
        <f t="shared" si="0"/>
        <v>0.19300000000000006</v>
      </c>
      <c r="J44" s="30"/>
      <c r="K44" s="30"/>
      <c r="L44" s="30"/>
      <c r="M44" s="30"/>
      <c r="N44" s="30"/>
      <c r="O44" s="30"/>
      <c r="P44" s="30"/>
    </row>
    <row r="45" spans="2:16">
      <c r="B45" s="16">
        <v>36381</v>
      </c>
      <c r="C45" s="37">
        <v>2.7149999999999999</v>
      </c>
      <c r="D45" s="37">
        <v>2.7850000000000001</v>
      </c>
      <c r="E45" s="37">
        <v>2.67</v>
      </c>
      <c r="F45" s="37">
        <v>2.7450000000000001</v>
      </c>
      <c r="G45" s="27"/>
      <c r="H45" s="38">
        <f t="shared" si="0"/>
        <v>4.7000000000000153E-2</v>
      </c>
      <c r="J45" s="30"/>
      <c r="K45" s="30"/>
      <c r="L45" s="30"/>
      <c r="M45" s="30"/>
      <c r="N45" s="30"/>
      <c r="O45" s="30"/>
      <c r="P45" s="30"/>
    </row>
    <row r="46" spans="2:16">
      <c r="B46" s="16">
        <v>36374</v>
      </c>
      <c r="C46" s="37">
        <v>2.5</v>
      </c>
      <c r="D46" s="37">
        <v>2.75</v>
      </c>
      <c r="E46" s="37">
        <v>2.4900000000000002</v>
      </c>
      <c r="F46" s="37">
        <v>2.698</v>
      </c>
      <c r="G46" s="27"/>
      <c r="H46" s="38">
        <f t="shared" si="0"/>
        <v>0.1549999999999998</v>
      </c>
      <c r="J46" s="30"/>
      <c r="K46" s="30"/>
      <c r="L46" s="30"/>
      <c r="M46" s="30"/>
      <c r="N46" s="30"/>
      <c r="O46" s="30"/>
      <c r="P46" s="30"/>
    </row>
    <row r="47" spans="2:16">
      <c r="B47" s="16">
        <v>36367</v>
      </c>
      <c r="C47" s="37">
        <v>2.5499999999999998</v>
      </c>
      <c r="D47" s="37">
        <v>2.71</v>
      </c>
      <c r="E47" s="37">
        <v>2.4900000000000002</v>
      </c>
      <c r="F47" s="37">
        <v>2.5430000000000001</v>
      </c>
      <c r="G47" s="27"/>
      <c r="H47" s="38">
        <f t="shared" si="0"/>
        <v>1.5000000000000124E-2</v>
      </c>
      <c r="J47" s="30"/>
      <c r="K47" s="30"/>
      <c r="L47" s="30"/>
      <c r="M47" s="30"/>
      <c r="N47" s="30"/>
      <c r="O47" s="30"/>
      <c r="P47" s="30"/>
    </row>
    <row r="48" spans="2:16">
      <c r="B48" s="61">
        <v>36360</v>
      </c>
      <c r="C48" s="64">
        <v>2.1850000000000001</v>
      </c>
      <c r="D48" s="64">
        <v>2.58</v>
      </c>
      <c r="E48" s="64">
        <v>2.17</v>
      </c>
      <c r="F48" s="62">
        <v>2.528</v>
      </c>
      <c r="G48" s="63"/>
      <c r="H48" s="38">
        <f t="shared" si="0"/>
        <v>0.34100000000000019</v>
      </c>
      <c r="J48" s="30"/>
      <c r="K48" s="30"/>
      <c r="L48" s="30"/>
      <c r="M48" s="30"/>
      <c r="N48" s="30"/>
      <c r="O48" s="30"/>
      <c r="P48" s="30"/>
    </row>
    <row r="49" spans="2:16">
      <c r="B49" s="61">
        <v>36353</v>
      </c>
      <c r="C49" s="64">
        <v>2.1349999999999998</v>
      </c>
      <c r="D49" s="64">
        <v>2.2250000000000001</v>
      </c>
      <c r="E49" s="64">
        <v>2.1</v>
      </c>
      <c r="F49" s="62">
        <v>2.1869999999999998</v>
      </c>
      <c r="G49" s="63"/>
      <c r="H49" s="38">
        <f t="shared" si="0"/>
        <v>2.3999999999999577E-2</v>
      </c>
      <c r="J49" s="30"/>
      <c r="K49" s="30"/>
      <c r="L49" s="30"/>
      <c r="M49" s="30"/>
      <c r="N49" s="30"/>
      <c r="O49" s="30"/>
      <c r="P49" s="30"/>
    </row>
    <row r="50" spans="2:16">
      <c r="B50" s="61">
        <v>36347</v>
      </c>
      <c r="C50" s="64">
        <v>2.2999999999999998</v>
      </c>
      <c r="D50" s="64">
        <v>2.3250000000000002</v>
      </c>
      <c r="E50" s="64">
        <v>2.133</v>
      </c>
      <c r="F50" s="62">
        <v>2.1630000000000003</v>
      </c>
      <c r="G50" s="63"/>
      <c r="H50" s="38">
        <f t="shared" si="0"/>
        <v>-0.12399999999999967</v>
      </c>
      <c r="J50" s="30"/>
      <c r="K50" s="30"/>
      <c r="L50" s="30"/>
      <c r="M50" s="30"/>
      <c r="N50" s="30"/>
      <c r="O50" s="30"/>
      <c r="P50" s="30"/>
    </row>
    <row r="51" spans="2:16">
      <c r="B51" s="61">
        <v>36339</v>
      </c>
      <c r="C51" s="64">
        <v>2.2450000000000001</v>
      </c>
      <c r="D51" s="64">
        <v>2.42</v>
      </c>
      <c r="E51" s="64">
        <v>2.2400000000000002</v>
      </c>
      <c r="F51" s="62">
        <v>2.2869999999999999</v>
      </c>
      <c r="G51" s="63"/>
      <c r="H51" s="38">
        <f t="shared" si="0"/>
        <v>2.8999999999999915E-2</v>
      </c>
      <c r="J51" s="30"/>
      <c r="K51" s="30"/>
      <c r="L51" s="30"/>
      <c r="M51" s="30"/>
      <c r="N51" s="30"/>
      <c r="O51" s="30"/>
      <c r="P51" s="30"/>
    </row>
    <row r="52" spans="2:16">
      <c r="B52" s="61">
        <v>36332</v>
      </c>
      <c r="C52" s="64">
        <v>2.2599999999999998</v>
      </c>
      <c r="D52" s="64">
        <v>2.3149999999999999</v>
      </c>
      <c r="E52" s="64">
        <v>2.2109999999999999</v>
      </c>
      <c r="F52" s="62">
        <v>2.258</v>
      </c>
      <c r="G52" s="63"/>
      <c r="H52" s="38">
        <f t="shared" si="0"/>
        <v>-4.9999999999999822E-2</v>
      </c>
      <c r="J52" s="30"/>
      <c r="K52" s="30"/>
      <c r="L52" s="30"/>
      <c r="M52" s="30"/>
      <c r="N52" s="30"/>
      <c r="O52" s="30"/>
      <c r="P52" s="30"/>
    </row>
    <row r="53" spans="2:16">
      <c r="B53" s="61">
        <v>36325</v>
      </c>
      <c r="C53" s="64">
        <v>2.35</v>
      </c>
      <c r="D53" s="64">
        <v>2.395</v>
      </c>
      <c r="E53" s="64">
        <v>2.27</v>
      </c>
      <c r="F53" s="62">
        <v>2.3079999999999998</v>
      </c>
      <c r="G53" s="63"/>
      <c r="H53" s="38">
        <f t="shared" si="0"/>
        <v>-7.0000000000000284E-2</v>
      </c>
      <c r="J53" s="30"/>
      <c r="K53" s="30"/>
      <c r="L53" s="30"/>
      <c r="M53" s="30"/>
      <c r="N53" s="30"/>
      <c r="O53" s="30"/>
      <c r="P53" s="30"/>
    </row>
    <row r="54" spans="2:16">
      <c r="B54" s="61">
        <v>36318</v>
      </c>
      <c r="C54" s="64">
        <v>2.4500000000000002</v>
      </c>
      <c r="D54" s="64">
        <v>2.48</v>
      </c>
      <c r="E54" s="64">
        <v>2.3250000000000002</v>
      </c>
      <c r="F54" s="62">
        <v>2.3780000000000001</v>
      </c>
      <c r="G54" s="63"/>
      <c r="H54" s="38">
        <f t="shared" si="0"/>
        <v>-5.8999999999999719E-2</v>
      </c>
      <c r="J54" s="30"/>
      <c r="K54" s="30"/>
      <c r="L54" s="30"/>
      <c r="M54" s="30"/>
      <c r="N54" s="30"/>
      <c r="O54" s="30"/>
      <c r="P54" s="30"/>
    </row>
    <row r="55" spans="2:16">
      <c r="B55" s="61">
        <v>36312</v>
      </c>
      <c r="C55" s="64">
        <v>2.375</v>
      </c>
      <c r="D55" s="64">
        <v>2.4500000000000002</v>
      </c>
      <c r="E55" s="64">
        <v>2.335</v>
      </c>
      <c r="F55" s="62">
        <v>2.4369999999999998</v>
      </c>
      <c r="G55" s="63"/>
      <c r="H55" s="38">
        <f t="shared" si="0"/>
        <v>7.8999999999999737E-2</v>
      </c>
      <c r="J55" s="30"/>
      <c r="K55" s="30"/>
      <c r="L55" s="30"/>
      <c r="M55" s="30"/>
      <c r="N55" s="30"/>
      <c r="O55" s="30"/>
      <c r="P55" s="30"/>
    </row>
    <row r="56" spans="2:16">
      <c r="B56" s="61">
        <v>36304</v>
      </c>
      <c r="C56" s="64">
        <v>2.2200000000000002</v>
      </c>
      <c r="D56" s="64">
        <v>2.37</v>
      </c>
      <c r="E56" s="64">
        <v>2.145</v>
      </c>
      <c r="F56" s="62">
        <v>2.3580000000000001</v>
      </c>
      <c r="G56" s="63"/>
      <c r="H56" s="38">
        <f t="shared" si="0"/>
        <v>0.13300000000000001</v>
      </c>
      <c r="J56" s="30"/>
      <c r="K56" s="30"/>
      <c r="L56" s="30"/>
      <c r="M56" s="30"/>
      <c r="N56" s="30"/>
      <c r="O56" s="30"/>
      <c r="P56" s="30"/>
    </row>
    <row r="57" spans="2:16">
      <c r="B57" s="61">
        <v>36297</v>
      </c>
      <c r="C57" s="64">
        <v>2.2799999999999998</v>
      </c>
      <c r="D57" s="64">
        <v>2.35</v>
      </c>
      <c r="E57" s="64">
        <v>2.17</v>
      </c>
      <c r="F57" s="62">
        <v>2.2250000000000001</v>
      </c>
      <c r="G57" s="63"/>
      <c r="H57" s="38">
        <f t="shared" si="0"/>
        <v>-6.3000000000000167E-2</v>
      </c>
      <c r="J57" s="30"/>
      <c r="K57" s="30"/>
      <c r="L57" s="30"/>
      <c r="M57" s="30"/>
      <c r="N57" s="30"/>
      <c r="O57" s="30"/>
      <c r="P57" s="30"/>
    </row>
    <row r="58" spans="2:16">
      <c r="B58" s="61">
        <v>36290</v>
      </c>
      <c r="C58" s="64">
        <v>2.2549999999999999</v>
      </c>
      <c r="D58" s="64">
        <v>2.3149999999999999</v>
      </c>
      <c r="E58" s="64">
        <v>2.17</v>
      </c>
      <c r="F58" s="62">
        <v>2.2880000000000003</v>
      </c>
      <c r="G58" s="63"/>
      <c r="H58" s="38">
        <f t="shared" si="0"/>
        <v>1.5000000000000124E-2</v>
      </c>
      <c r="J58" s="30"/>
      <c r="K58" s="30"/>
      <c r="L58" s="30"/>
      <c r="M58" s="30"/>
      <c r="N58" s="30"/>
      <c r="O58" s="30"/>
      <c r="P58" s="30"/>
    </row>
    <row r="59" spans="2:16">
      <c r="B59" s="61">
        <v>36283</v>
      </c>
      <c r="C59" s="64">
        <v>2.23</v>
      </c>
      <c r="D59" s="64">
        <v>2.39</v>
      </c>
      <c r="E59" s="64">
        <v>2.2050000000000001</v>
      </c>
      <c r="F59" s="62">
        <v>2.2730000000000001</v>
      </c>
      <c r="G59" s="63"/>
      <c r="H59" s="38">
        <f t="shared" si="0"/>
        <v>2.0000000000000018E-2</v>
      </c>
      <c r="J59" s="30"/>
      <c r="K59" s="30"/>
      <c r="L59" s="30"/>
      <c r="M59" s="30"/>
      <c r="N59" s="30"/>
      <c r="O59" s="30"/>
      <c r="P59" s="30"/>
    </row>
    <row r="60" spans="2:16">
      <c r="B60" s="61">
        <v>36276</v>
      </c>
      <c r="C60" s="64">
        <v>2.2050000000000001</v>
      </c>
      <c r="D60" s="64">
        <v>2.4049999999999998</v>
      </c>
      <c r="E60" s="64">
        <v>2.1850000000000001</v>
      </c>
      <c r="F60" s="62">
        <v>2.2530000000000001</v>
      </c>
      <c r="G60" s="63"/>
      <c r="H60" s="38">
        <f t="shared" si="0"/>
        <v>2.7000000000000135E-2</v>
      </c>
      <c r="J60" s="30"/>
      <c r="K60" s="30"/>
      <c r="L60" s="30"/>
      <c r="M60" s="30"/>
      <c r="N60" s="30"/>
      <c r="O60" s="30"/>
      <c r="P60" s="30"/>
    </row>
    <row r="61" spans="2:16">
      <c r="B61" s="61">
        <v>36269</v>
      </c>
      <c r="C61" s="64">
        <v>2.0950000000000002</v>
      </c>
      <c r="D61" s="64">
        <v>2.23</v>
      </c>
      <c r="E61" s="64">
        <v>2.085</v>
      </c>
      <c r="F61" s="62">
        <v>2.226</v>
      </c>
      <c r="G61" s="63"/>
      <c r="H61" s="38">
        <f t="shared" si="0"/>
        <v>0.10199999999999987</v>
      </c>
      <c r="J61" s="30"/>
      <c r="K61" s="30"/>
      <c r="L61" s="30"/>
      <c r="M61" s="30"/>
      <c r="N61" s="30"/>
      <c r="O61" s="30"/>
      <c r="P61" s="30"/>
    </row>
    <row r="62" spans="2:16">
      <c r="B62" s="61">
        <v>36262</v>
      </c>
      <c r="C62" s="64">
        <v>2.0550000000000002</v>
      </c>
      <c r="D62" s="64">
        <v>2.17</v>
      </c>
      <c r="E62" s="64">
        <v>2.0550000000000002</v>
      </c>
      <c r="F62" s="62">
        <v>2.1240000000000001</v>
      </c>
      <c r="G62" s="63"/>
      <c r="H62" s="38">
        <f t="shared" si="0"/>
        <v>2.8000000000000025E-2</v>
      </c>
      <c r="J62" s="30"/>
      <c r="K62" s="30"/>
      <c r="L62" s="30"/>
      <c r="M62" s="30"/>
      <c r="N62" s="30"/>
      <c r="O62" s="30"/>
      <c r="P62" s="30"/>
    </row>
    <row r="63" spans="2:16">
      <c r="B63" s="61">
        <v>36255</v>
      </c>
      <c r="C63" s="64">
        <v>2.0449999999999999</v>
      </c>
      <c r="D63" s="64">
        <v>2.15</v>
      </c>
      <c r="E63" s="64">
        <v>1.99</v>
      </c>
      <c r="F63" s="62">
        <v>2.0960000000000001</v>
      </c>
      <c r="G63" s="63"/>
      <c r="H63" s="38">
        <f t="shared" si="0"/>
        <v>5.7999999999999829E-2</v>
      </c>
      <c r="J63" s="30"/>
      <c r="K63" s="30"/>
      <c r="L63" s="30"/>
      <c r="M63" s="30"/>
      <c r="N63" s="30"/>
      <c r="O63" s="30"/>
      <c r="P63" s="30"/>
    </row>
    <row r="64" spans="2:16">
      <c r="B64" s="61">
        <v>36248</v>
      </c>
      <c r="C64" s="64">
        <v>1.835</v>
      </c>
      <c r="D64" s="64">
        <v>2.09</v>
      </c>
      <c r="E64" s="64">
        <v>1.8</v>
      </c>
      <c r="F64" s="62">
        <v>2.0380000000000003</v>
      </c>
      <c r="G64" s="63"/>
      <c r="H64" s="38">
        <f t="shared" si="0"/>
        <v>0.18400000000000016</v>
      </c>
      <c r="J64" s="30"/>
      <c r="K64" s="30"/>
      <c r="L64" s="30"/>
      <c r="M64" s="30"/>
      <c r="N64" s="30"/>
      <c r="O64" s="30"/>
      <c r="P64" s="30"/>
    </row>
    <row r="65" spans="2:16">
      <c r="B65" s="61">
        <v>36241</v>
      </c>
      <c r="C65" s="64">
        <v>1.69</v>
      </c>
      <c r="D65" s="64">
        <v>1.865</v>
      </c>
      <c r="E65" s="64">
        <v>1.69</v>
      </c>
      <c r="F65" s="62">
        <v>1.8540000000000001</v>
      </c>
      <c r="G65" s="63"/>
      <c r="H65" s="38">
        <f t="shared" si="0"/>
        <v>0.15500000000000003</v>
      </c>
      <c r="J65" s="30"/>
      <c r="K65" s="30"/>
      <c r="L65" s="30"/>
      <c r="M65" s="30"/>
      <c r="N65" s="30"/>
      <c r="O65" s="30"/>
      <c r="P65" s="30"/>
    </row>
    <row r="66" spans="2:16">
      <c r="B66" s="61">
        <v>36234</v>
      </c>
      <c r="C66" s="64">
        <v>1.75</v>
      </c>
      <c r="D66" s="64">
        <v>1.77</v>
      </c>
      <c r="E66" s="64">
        <v>1.67</v>
      </c>
      <c r="F66" s="62">
        <v>1.6990000000000001</v>
      </c>
      <c r="G66" s="63"/>
      <c r="H66" s="38">
        <f t="shared" si="0"/>
        <v>-6.0000000000000053E-2</v>
      </c>
      <c r="J66" s="30"/>
      <c r="K66" s="30"/>
      <c r="L66" s="30"/>
      <c r="M66" s="30"/>
      <c r="N66" s="30"/>
      <c r="O66" s="30"/>
      <c r="P66" s="30"/>
    </row>
    <row r="67" spans="2:16">
      <c r="B67" s="61">
        <v>36227</v>
      </c>
      <c r="C67" s="64">
        <v>1.905</v>
      </c>
      <c r="D67" s="64">
        <v>1.9650000000000001</v>
      </c>
      <c r="E67" s="64">
        <v>1.75</v>
      </c>
      <c r="F67" s="62">
        <v>1.7590000000000001</v>
      </c>
      <c r="G67" s="63"/>
      <c r="H67" s="38">
        <f t="shared" si="0"/>
        <v>-9.3999999999999861E-2</v>
      </c>
      <c r="J67" s="30"/>
      <c r="K67" s="30"/>
      <c r="L67" s="30"/>
      <c r="M67" s="30"/>
      <c r="N67" s="30"/>
      <c r="O67" s="30"/>
      <c r="P67" s="30"/>
    </row>
    <row r="68" spans="2:16">
      <c r="B68" s="61">
        <v>36220</v>
      </c>
      <c r="C68" s="64">
        <v>1.65</v>
      </c>
      <c r="D68" s="64">
        <v>1.875</v>
      </c>
      <c r="E68" s="64">
        <v>1.65</v>
      </c>
      <c r="F68" s="62">
        <v>1.853</v>
      </c>
      <c r="G68" s="63"/>
      <c r="H68" s="38">
        <f t="shared" si="0"/>
        <v>0.22499999999999987</v>
      </c>
      <c r="J68" s="30"/>
      <c r="K68" s="30"/>
      <c r="L68" s="30"/>
      <c r="M68" s="30"/>
      <c r="N68" s="30"/>
      <c r="O68" s="30"/>
      <c r="P68" s="30"/>
    </row>
    <row r="69" spans="2:16">
      <c r="B69" s="61">
        <v>36213</v>
      </c>
      <c r="C69" s="64">
        <v>1.75</v>
      </c>
      <c r="D69" s="64">
        <v>1.76</v>
      </c>
      <c r="E69" s="64">
        <v>1.625</v>
      </c>
      <c r="F69" s="62">
        <v>1.6280000000000001</v>
      </c>
      <c r="G69" s="63"/>
      <c r="H69" s="38">
        <f t="shared" si="0"/>
        <v>-0.11699999999999999</v>
      </c>
      <c r="J69" s="30"/>
      <c r="K69" s="30"/>
      <c r="L69" s="30"/>
      <c r="M69" s="30"/>
      <c r="N69" s="30"/>
      <c r="O69" s="30"/>
      <c r="P69" s="30"/>
    </row>
    <row r="70" spans="2:16">
      <c r="B70" s="61">
        <v>36207</v>
      </c>
      <c r="C70" s="64">
        <v>1.8049999999999999</v>
      </c>
      <c r="D70" s="64">
        <v>1.82</v>
      </c>
      <c r="E70" s="64">
        <v>1.7350000000000001</v>
      </c>
      <c r="F70" s="62">
        <v>1.7450000000000001</v>
      </c>
      <c r="G70" s="63"/>
      <c r="H70" s="38">
        <f t="shared" si="0"/>
        <v>-6.1999999999999833E-2</v>
      </c>
      <c r="J70" s="30"/>
      <c r="K70" s="30"/>
      <c r="L70" s="30"/>
      <c r="M70" s="30"/>
      <c r="N70" s="30"/>
      <c r="O70" s="30"/>
      <c r="P70" s="30"/>
    </row>
    <row r="71" spans="2:16">
      <c r="B71" s="61">
        <v>36199</v>
      </c>
      <c r="C71" s="64">
        <v>1.8049999999999999</v>
      </c>
      <c r="D71" s="64">
        <v>1.855</v>
      </c>
      <c r="E71" s="64">
        <v>1.7649999999999999</v>
      </c>
      <c r="F71" s="62">
        <v>1.8069999999999999</v>
      </c>
      <c r="G71" s="63"/>
      <c r="H71" s="38">
        <f t="shared" si="0"/>
        <v>6.9999999999998952E-3</v>
      </c>
      <c r="J71" s="30"/>
      <c r="K71" s="30"/>
      <c r="L71" s="30"/>
      <c r="M71" s="30"/>
      <c r="N71" s="30"/>
      <c r="O71" s="30"/>
      <c r="P71" s="30"/>
    </row>
    <row r="72" spans="2:16">
      <c r="B72" s="61">
        <v>36192</v>
      </c>
      <c r="C72" s="64">
        <v>1.7350000000000001</v>
      </c>
      <c r="D72" s="64">
        <v>1.875</v>
      </c>
      <c r="E72" s="64">
        <v>1.73</v>
      </c>
      <c r="F72" s="62">
        <v>1.8</v>
      </c>
      <c r="G72" s="63"/>
      <c r="H72" s="38">
        <f t="shared" si="0"/>
        <v>2.2999999999999909E-2</v>
      </c>
      <c r="J72" s="30"/>
      <c r="K72" s="30"/>
      <c r="L72" s="30"/>
      <c r="M72" s="30"/>
      <c r="N72" s="30"/>
      <c r="O72" s="30"/>
      <c r="P72" s="30"/>
    </row>
    <row r="73" spans="2:16">
      <c r="B73" s="61">
        <v>36185</v>
      </c>
      <c r="C73" s="64">
        <v>1.73</v>
      </c>
      <c r="D73" s="64">
        <v>1.865</v>
      </c>
      <c r="E73" s="64">
        <v>1.7</v>
      </c>
      <c r="F73" s="62">
        <v>1.7770000000000001</v>
      </c>
      <c r="G73" s="63"/>
      <c r="H73" s="38">
        <f t="shared" si="0"/>
        <v>-9.9999999999988987E-4</v>
      </c>
      <c r="J73" s="30"/>
      <c r="K73" s="30"/>
      <c r="L73" s="30"/>
      <c r="M73" s="30"/>
      <c r="N73" s="30"/>
      <c r="O73" s="30"/>
      <c r="P73" s="30"/>
    </row>
    <row r="74" spans="2:16">
      <c r="B74" s="61">
        <v>36179</v>
      </c>
      <c r="C74" s="64">
        <v>1.76</v>
      </c>
      <c r="D74" s="64">
        <v>1.91</v>
      </c>
      <c r="E74" s="64">
        <v>1.74</v>
      </c>
      <c r="F74" s="62">
        <v>1.778</v>
      </c>
      <c r="G74" s="63"/>
      <c r="H74" s="38">
        <f t="shared" si="0"/>
        <v>-1.8000000000000016E-2</v>
      </c>
      <c r="J74" s="30"/>
      <c r="K74" s="30"/>
      <c r="L74" s="30"/>
      <c r="M74" s="30"/>
      <c r="N74" s="30"/>
      <c r="O74" s="30"/>
      <c r="P74" s="30"/>
    </row>
    <row r="75" spans="2:16">
      <c r="B75" s="61">
        <v>36171</v>
      </c>
      <c r="C75" s="64">
        <v>1.79</v>
      </c>
      <c r="D75" s="64">
        <v>1.85</v>
      </c>
      <c r="E75" s="64">
        <v>1.73</v>
      </c>
      <c r="F75" s="62">
        <v>1.796</v>
      </c>
      <c r="G75" s="63"/>
      <c r="H75" s="38">
        <f t="shared" si="0"/>
        <v>-3.400000000000003E-2</v>
      </c>
      <c r="J75" s="30"/>
      <c r="K75" s="30"/>
      <c r="L75" s="30"/>
      <c r="M75" s="30"/>
      <c r="N75" s="30"/>
      <c r="O75" s="30"/>
      <c r="P75" s="30"/>
    </row>
    <row r="76" spans="2:16">
      <c r="B76" s="61">
        <v>36164</v>
      </c>
      <c r="C76" s="64">
        <v>2.02</v>
      </c>
      <c r="D76" s="64">
        <v>2.085</v>
      </c>
      <c r="E76" s="64">
        <v>1.7910000000000001</v>
      </c>
      <c r="F76" s="62">
        <v>1.83</v>
      </c>
      <c r="G76" s="63"/>
      <c r="H76" s="38">
        <f t="shared" si="0"/>
        <v>-0.11499999999999999</v>
      </c>
      <c r="J76" s="30"/>
      <c r="K76" s="30"/>
      <c r="L76" s="30"/>
      <c r="M76" s="30"/>
      <c r="N76" s="30"/>
      <c r="O76" s="30"/>
      <c r="P76" s="30"/>
    </row>
    <row r="77" spans="2:16">
      <c r="B77" s="61">
        <v>36157</v>
      </c>
      <c r="C77" s="64">
        <v>1.82</v>
      </c>
      <c r="D77" s="64">
        <v>1.96</v>
      </c>
      <c r="E77" s="64">
        <v>1.71</v>
      </c>
      <c r="F77" s="62">
        <v>1.9450000000000001</v>
      </c>
      <c r="G77" s="63"/>
      <c r="H77" s="38">
        <f t="shared" si="0"/>
        <v>6.4000000000000057E-2</v>
      </c>
      <c r="J77" s="30"/>
      <c r="K77" s="30"/>
      <c r="L77" s="30"/>
      <c r="M77" s="30"/>
      <c r="N77" s="30"/>
      <c r="O77" s="30"/>
      <c r="P77" s="30"/>
    </row>
    <row r="78" spans="2:16">
      <c r="B78" s="61">
        <v>36150</v>
      </c>
      <c r="C78" s="64">
        <v>2.1</v>
      </c>
      <c r="D78" s="64">
        <v>2.1</v>
      </c>
      <c r="E78" s="64">
        <v>1.86</v>
      </c>
      <c r="F78" s="62">
        <v>1.881</v>
      </c>
      <c r="G78" s="63"/>
      <c r="H78" s="38">
        <f t="shared" ref="H78:H141" si="1">F78-F79</f>
        <v>-0.19299999999999984</v>
      </c>
      <c r="J78" s="30"/>
      <c r="K78" s="30"/>
      <c r="L78" s="30"/>
      <c r="M78" s="30"/>
      <c r="N78" s="30"/>
      <c r="O78" s="30"/>
      <c r="P78" s="30"/>
    </row>
    <row r="79" spans="2:16">
      <c r="B79" s="61">
        <v>36143</v>
      </c>
      <c r="C79" s="64">
        <v>1.93</v>
      </c>
      <c r="D79" s="64">
        <v>2.11</v>
      </c>
      <c r="E79" s="64">
        <v>1.9</v>
      </c>
      <c r="F79" s="62">
        <v>2.0739999999999998</v>
      </c>
      <c r="G79" s="63"/>
      <c r="H79" s="38">
        <f t="shared" si="1"/>
        <v>0.21599999999999975</v>
      </c>
      <c r="J79" s="30"/>
      <c r="K79" s="30"/>
      <c r="L79" s="30"/>
      <c r="M79" s="30"/>
      <c r="N79" s="30"/>
      <c r="O79" s="30"/>
      <c r="P79" s="30"/>
    </row>
    <row r="80" spans="2:16">
      <c r="B80" s="61">
        <v>36136</v>
      </c>
      <c r="C80" s="64">
        <v>2.0099999999999998</v>
      </c>
      <c r="D80" s="64">
        <v>2.11</v>
      </c>
      <c r="E80" s="64">
        <v>1.79</v>
      </c>
      <c r="F80" s="62">
        <v>1.8580000000000001</v>
      </c>
      <c r="G80" s="63"/>
      <c r="H80" s="38">
        <f t="shared" si="1"/>
        <v>-0.11999999999999988</v>
      </c>
      <c r="J80" s="30"/>
      <c r="K80" s="30"/>
      <c r="L80" s="30"/>
      <c r="M80" s="30"/>
      <c r="N80" s="30"/>
      <c r="O80" s="30"/>
      <c r="P80" s="30"/>
    </row>
    <row r="81" spans="2:16">
      <c r="B81" s="61">
        <v>36129</v>
      </c>
      <c r="C81" s="64">
        <v>2.06</v>
      </c>
      <c r="D81" s="64">
        <v>2.06</v>
      </c>
      <c r="E81" s="64">
        <v>1.84</v>
      </c>
      <c r="F81" s="62">
        <v>1.978</v>
      </c>
      <c r="G81" s="63"/>
      <c r="H81" s="38">
        <f t="shared" si="1"/>
        <v>-0.21800000000000019</v>
      </c>
      <c r="J81" s="30"/>
      <c r="K81" s="30"/>
      <c r="L81" s="30"/>
      <c r="M81" s="30"/>
      <c r="N81" s="30"/>
      <c r="O81" s="30"/>
      <c r="P81" s="30"/>
    </row>
    <row r="82" spans="2:16">
      <c r="B82" s="61">
        <v>36122</v>
      </c>
      <c r="C82" s="64">
        <v>2.11</v>
      </c>
      <c r="D82" s="64">
        <v>2.2599999999999998</v>
      </c>
      <c r="E82" s="64">
        <v>2.06</v>
      </c>
      <c r="F82" s="62">
        <v>2.1960000000000002</v>
      </c>
      <c r="G82" s="63"/>
      <c r="H82" s="38">
        <f t="shared" si="1"/>
        <v>3.2999999999999918E-2</v>
      </c>
      <c r="J82" s="30"/>
      <c r="K82" s="30"/>
      <c r="L82" s="30"/>
      <c r="M82" s="30"/>
      <c r="N82" s="30"/>
      <c r="O82" s="30"/>
      <c r="P82" s="30"/>
    </row>
    <row r="83" spans="2:16">
      <c r="B83" s="61">
        <v>36115</v>
      </c>
      <c r="C83" s="64">
        <v>2.37</v>
      </c>
      <c r="D83" s="64">
        <v>2.39</v>
      </c>
      <c r="E83" s="64">
        <v>2.125</v>
      </c>
      <c r="F83" s="62">
        <v>2.1630000000000003</v>
      </c>
      <c r="G83" s="63"/>
      <c r="H83" s="38">
        <f t="shared" si="1"/>
        <v>-0.29599999999999982</v>
      </c>
      <c r="J83" s="30"/>
      <c r="K83" s="30"/>
      <c r="L83" s="30"/>
      <c r="M83" s="30"/>
      <c r="N83" s="30"/>
      <c r="O83" s="30"/>
      <c r="P83" s="30"/>
    </row>
    <row r="84" spans="2:16">
      <c r="B84" s="61">
        <v>36108</v>
      </c>
      <c r="C84" s="64">
        <v>2.56</v>
      </c>
      <c r="D84" s="64">
        <v>2.64</v>
      </c>
      <c r="E84" s="64">
        <v>2.375</v>
      </c>
      <c r="F84" s="62">
        <v>2.4590000000000001</v>
      </c>
      <c r="G84" s="63"/>
      <c r="H84" s="38">
        <f t="shared" si="1"/>
        <v>-9.3999999999999861E-2</v>
      </c>
      <c r="J84" s="30"/>
      <c r="K84" s="30"/>
      <c r="L84" s="30"/>
      <c r="M84" s="30"/>
      <c r="N84" s="30"/>
      <c r="O84" s="30"/>
      <c r="P84" s="30"/>
    </row>
    <row r="85" spans="2:16">
      <c r="B85" s="61">
        <v>36101</v>
      </c>
      <c r="C85" s="64">
        <v>2.2450000000000001</v>
      </c>
      <c r="D85" s="64">
        <v>2.58</v>
      </c>
      <c r="E85" s="64">
        <v>2.2400000000000002</v>
      </c>
      <c r="F85" s="62">
        <v>2.5529999999999999</v>
      </c>
      <c r="G85" s="63"/>
      <c r="H85" s="38">
        <f t="shared" si="1"/>
        <v>0.27800000000000002</v>
      </c>
      <c r="J85" s="30"/>
      <c r="K85" s="30"/>
      <c r="L85" s="30"/>
      <c r="M85" s="30"/>
      <c r="N85" s="30"/>
      <c r="O85" s="30"/>
      <c r="P85" s="30"/>
    </row>
    <row r="86" spans="2:16">
      <c r="B86" s="61">
        <v>36094</v>
      </c>
      <c r="C86" s="64">
        <v>2.19</v>
      </c>
      <c r="D86" s="64">
        <v>2.3650000000000002</v>
      </c>
      <c r="E86" s="64">
        <v>1.95</v>
      </c>
      <c r="F86" s="62">
        <v>2.2749999999999999</v>
      </c>
      <c r="G86" s="63"/>
      <c r="H86" s="38">
        <f t="shared" si="1"/>
        <v>0.11099999999999977</v>
      </c>
      <c r="J86" s="30"/>
      <c r="K86" s="30"/>
      <c r="L86" s="30"/>
      <c r="M86" s="30"/>
      <c r="N86" s="30"/>
      <c r="O86" s="30"/>
      <c r="P86" s="30"/>
    </row>
    <row r="87" spans="2:16">
      <c r="B87" s="61">
        <v>36087</v>
      </c>
      <c r="C87" s="64">
        <v>2.13</v>
      </c>
      <c r="D87" s="64">
        <v>2.2349999999999999</v>
      </c>
      <c r="E87" s="64">
        <v>2.0699999999999998</v>
      </c>
      <c r="F87" s="62">
        <v>2.1640000000000001</v>
      </c>
      <c r="G87" s="63"/>
      <c r="H87" s="38">
        <f t="shared" si="1"/>
        <v>5.500000000000016E-2</v>
      </c>
      <c r="J87" s="30"/>
      <c r="K87" s="30"/>
      <c r="L87" s="30"/>
      <c r="M87" s="30"/>
      <c r="N87" s="30"/>
      <c r="O87" s="30"/>
      <c r="P87" s="30"/>
    </row>
    <row r="88" spans="2:16">
      <c r="B88" s="61">
        <v>36080</v>
      </c>
      <c r="C88" s="64">
        <v>2.14</v>
      </c>
      <c r="D88" s="64">
        <v>2.16</v>
      </c>
      <c r="E88" s="64">
        <v>2.0299999999999998</v>
      </c>
      <c r="F88" s="62">
        <v>2.109</v>
      </c>
      <c r="G88" s="63"/>
      <c r="H88" s="38">
        <f t="shared" si="1"/>
        <v>-8.1999999999999851E-2</v>
      </c>
      <c r="J88" s="30"/>
      <c r="K88" s="30"/>
      <c r="L88" s="30"/>
      <c r="M88" s="30"/>
      <c r="N88" s="30"/>
      <c r="O88" s="30"/>
      <c r="P88" s="30"/>
    </row>
    <row r="89" spans="2:16">
      <c r="B89" s="61">
        <v>36073</v>
      </c>
      <c r="C89" s="64">
        <v>2.4</v>
      </c>
      <c r="D89" s="64">
        <v>2.4049999999999998</v>
      </c>
      <c r="E89" s="64">
        <v>2.1800000000000002</v>
      </c>
      <c r="F89" s="62">
        <v>2.1909999999999998</v>
      </c>
      <c r="G89" s="63"/>
      <c r="H89" s="38">
        <f t="shared" si="1"/>
        <v>-0.2410000000000001</v>
      </c>
      <c r="J89" s="30"/>
      <c r="K89" s="30"/>
      <c r="L89" s="30"/>
      <c r="M89" s="30"/>
      <c r="N89" s="30"/>
      <c r="O89" s="30"/>
      <c r="P89" s="30"/>
    </row>
    <row r="90" spans="2:16">
      <c r="B90" s="61">
        <v>36066</v>
      </c>
      <c r="C90" s="64">
        <v>2.1800000000000002</v>
      </c>
      <c r="D90" s="64">
        <v>2.5299999999999998</v>
      </c>
      <c r="E90" s="64">
        <v>2</v>
      </c>
      <c r="F90" s="62">
        <v>2.4319999999999999</v>
      </c>
      <c r="G90" s="63"/>
      <c r="H90" s="38">
        <f t="shared" si="1"/>
        <v>0.25099999999999989</v>
      </c>
      <c r="J90" s="30"/>
      <c r="K90" s="30"/>
      <c r="L90" s="30"/>
      <c r="M90" s="30"/>
      <c r="N90" s="30"/>
      <c r="O90" s="30"/>
      <c r="P90" s="30"/>
    </row>
    <row r="91" spans="2:16">
      <c r="B91" s="61">
        <v>36059</v>
      </c>
      <c r="C91" s="64">
        <v>2.17</v>
      </c>
      <c r="D91" s="64">
        <v>2.34</v>
      </c>
      <c r="E91" s="64">
        <v>2.11</v>
      </c>
      <c r="F91" s="62">
        <v>2.181</v>
      </c>
      <c r="G91" s="63"/>
      <c r="H91" s="38">
        <f t="shared" si="1"/>
        <v>-7.8999999999999737E-2</v>
      </c>
      <c r="J91" s="30"/>
      <c r="K91" s="30"/>
      <c r="L91" s="30"/>
      <c r="M91" s="30"/>
      <c r="N91" s="30"/>
      <c r="O91" s="30"/>
      <c r="P91" s="30"/>
    </row>
    <row r="92" spans="2:16">
      <c r="B92" s="61">
        <v>36052</v>
      </c>
      <c r="C92" s="64">
        <v>1.85</v>
      </c>
      <c r="D92" s="64">
        <v>2.35</v>
      </c>
      <c r="E92" s="64">
        <v>1.835</v>
      </c>
      <c r="F92" s="62">
        <v>2.2599999999999998</v>
      </c>
      <c r="G92" s="63"/>
      <c r="H92" s="38">
        <f t="shared" si="1"/>
        <v>0.38199999999999967</v>
      </c>
      <c r="J92" s="30"/>
      <c r="K92" s="30"/>
      <c r="L92" s="30"/>
      <c r="M92" s="30"/>
      <c r="N92" s="30"/>
      <c r="O92" s="30"/>
      <c r="P92" s="30"/>
    </row>
    <row r="93" spans="2:16">
      <c r="B93" s="61">
        <v>36046</v>
      </c>
      <c r="C93" s="64">
        <v>1.8049999999999999</v>
      </c>
      <c r="D93" s="64">
        <v>1.98</v>
      </c>
      <c r="E93" s="64">
        <v>1.78</v>
      </c>
      <c r="F93" s="62">
        <v>1.8780000000000001</v>
      </c>
      <c r="G93" s="63"/>
      <c r="H93" s="38">
        <f t="shared" si="1"/>
        <v>9.4999999999999973E-2</v>
      </c>
      <c r="J93" s="30"/>
      <c r="K93" s="30"/>
      <c r="L93" s="30"/>
      <c r="M93" s="30"/>
      <c r="N93" s="30"/>
      <c r="O93" s="30"/>
      <c r="P93" s="30"/>
    </row>
    <row r="94" spans="2:16">
      <c r="B94" s="61">
        <v>36038</v>
      </c>
      <c r="C94" s="64">
        <v>1.6950000000000001</v>
      </c>
      <c r="D94" s="64">
        <v>1.86</v>
      </c>
      <c r="E94" s="64">
        <v>1.63</v>
      </c>
      <c r="F94" s="62">
        <v>1.7830000000000001</v>
      </c>
      <c r="G94" s="63"/>
      <c r="H94" s="38">
        <f t="shared" si="1"/>
        <v>0.11899999999999999</v>
      </c>
      <c r="J94" s="30"/>
      <c r="K94" s="30"/>
      <c r="L94" s="30"/>
      <c r="M94" s="30"/>
      <c r="N94" s="30"/>
      <c r="O94" s="30"/>
      <c r="P94" s="30"/>
    </row>
    <row r="95" spans="2:16">
      <c r="B95" s="61">
        <v>36031</v>
      </c>
      <c r="C95" s="64">
        <v>1.91</v>
      </c>
      <c r="D95" s="64">
        <v>1.95</v>
      </c>
      <c r="E95" s="64">
        <v>1.61</v>
      </c>
      <c r="F95" s="62">
        <v>1.6640000000000001</v>
      </c>
      <c r="G95" s="63"/>
      <c r="H95" s="38">
        <f t="shared" si="1"/>
        <v>-0.28299999999999992</v>
      </c>
      <c r="J95" s="30"/>
      <c r="K95" s="30"/>
      <c r="L95" s="30"/>
      <c r="M95" s="30"/>
      <c r="N95" s="30"/>
      <c r="O95" s="30"/>
      <c r="P95" s="30"/>
    </row>
    <row r="96" spans="2:16">
      <c r="B96" s="61">
        <v>36024</v>
      </c>
      <c r="C96" s="64">
        <v>1.9</v>
      </c>
      <c r="D96" s="64">
        <v>2.0499999999999998</v>
      </c>
      <c r="E96" s="64">
        <v>1.89</v>
      </c>
      <c r="F96" s="62">
        <v>1.9470000000000001</v>
      </c>
      <c r="G96" s="63"/>
      <c r="H96" s="38">
        <f t="shared" si="1"/>
        <v>7.0000000000000062E-2</v>
      </c>
      <c r="J96" s="30"/>
      <c r="K96" s="30"/>
      <c r="L96" s="30"/>
      <c r="M96" s="30"/>
      <c r="N96" s="30"/>
      <c r="O96" s="30"/>
      <c r="P96" s="30"/>
    </row>
    <row r="97" spans="2:16">
      <c r="B97" s="61">
        <v>36017</v>
      </c>
      <c r="C97" s="64">
        <v>1.83</v>
      </c>
      <c r="D97" s="64">
        <v>1.915</v>
      </c>
      <c r="E97" s="64">
        <v>1.78</v>
      </c>
      <c r="F97" s="62">
        <v>1.877</v>
      </c>
      <c r="G97" s="63"/>
      <c r="H97" s="38">
        <f t="shared" si="1"/>
        <v>4.4000000000000039E-2</v>
      </c>
      <c r="J97" s="30"/>
      <c r="K97" s="30"/>
      <c r="L97" s="30"/>
      <c r="M97" s="30"/>
      <c r="N97" s="30"/>
      <c r="O97" s="30"/>
      <c r="P97" s="30"/>
    </row>
    <row r="98" spans="2:16">
      <c r="B98" s="61">
        <v>36010</v>
      </c>
      <c r="C98" s="64">
        <v>1.84</v>
      </c>
      <c r="D98" s="64">
        <v>1.93</v>
      </c>
      <c r="E98" s="64">
        <v>1.8049999999999999</v>
      </c>
      <c r="F98" s="62">
        <v>1.833</v>
      </c>
      <c r="G98" s="63"/>
      <c r="H98" s="38">
        <f t="shared" si="1"/>
        <v>-1.1000000000000121E-2</v>
      </c>
      <c r="J98" s="30"/>
      <c r="K98" s="30"/>
      <c r="L98" s="30"/>
      <c r="M98" s="30"/>
      <c r="N98" s="30"/>
      <c r="O98" s="30"/>
      <c r="P98" s="30"/>
    </row>
    <row r="99" spans="2:16">
      <c r="B99" s="61">
        <v>36003</v>
      </c>
      <c r="C99" s="64">
        <v>2.04</v>
      </c>
      <c r="D99" s="64">
        <v>2.0449999999999999</v>
      </c>
      <c r="E99" s="64">
        <v>1.835</v>
      </c>
      <c r="F99" s="62">
        <v>1.8440000000000001</v>
      </c>
      <c r="G99" s="63"/>
      <c r="H99" s="38">
        <f t="shared" si="1"/>
        <v>-0.18700000000000006</v>
      </c>
      <c r="J99" s="30"/>
      <c r="K99" s="30"/>
      <c r="L99" s="30"/>
      <c r="M99" s="30"/>
      <c r="N99" s="30"/>
      <c r="O99" s="30"/>
      <c r="P99" s="30"/>
    </row>
    <row r="100" spans="2:16">
      <c r="B100" s="61">
        <v>35996</v>
      </c>
      <c r="C100" s="64">
        <v>2.1949999999999998</v>
      </c>
      <c r="D100" s="64">
        <v>2.2050000000000001</v>
      </c>
      <c r="E100" s="64">
        <v>1.925</v>
      </c>
      <c r="F100" s="62">
        <v>2.0310000000000001</v>
      </c>
      <c r="G100" s="63"/>
      <c r="H100" s="38">
        <f t="shared" si="1"/>
        <v>-0.1339999999999999</v>
      </c>
      <c r="J100" s="30"/>
      <c r="K100" s="30"/>
      <c r="L100" s="30"/>
      <c r="M100" s="30"/>
      <c r="N100" s="30"/>
      <c r="O100" s="30"/>
      <c r="P100" s="30"/>
    </row>
    <row r="101" spans="2:16">
      <c r="B101" s="61">
        <v>35989</v>
      </c>
      <c r="C101" s="64">
        <v>2.3050000000000002</v>
      </c>
      <c r="D101" s="64">
        <v>2.3149999999999999</v>
      </c>
      <c r="E101" s="64">
        <v>2.13</v>
      </c>
      <c r="F101" s="62">
        <v>2.165</v>
      </c>
      <c r="G101" s="63"/>
      <c r="H101" s="38">
        <f t="shared" si="1"/>
        <v>-0.14400000000000013</v>
      </c>
      <c r="J101" s="30"/>
      <c r="K101" s="30"/>
      <c r="L101" s="30"/>
      <c r="M101" s="30"/>
      <c r="N101" s="30"/>
      <c r="O101" s="30"/>
      <c r="P101" s="30"/>
    </row>
    <row r="102" spans="2:16">
      <c r="B102" s="61">
        <v>35982</v>
      </c>
      <c r="C102" s="64">
        <v>2.4300000000000002</v>
      </c>
      <c r="D102" s="64">
        <v>2.4300000000000002</v>
      </c>
      <c r="E102" s="64">
        <v>2.2999999999999998</v>
      </c>
      <c r="F102" s="62">
        <v>2.3090000000000002</v>
      </c>
      <c r="G102" s="63"/>
      <c r="H102" s="38">
        <f t="shared" si="1"/>
        <v>-0.12999999999999989</v>
      </c>
      <c r="J102" s="30"/>
      <c r="K102" s="30"/>
      <c r="L102" s="30"/>
      <c r="M102" s="30"/>
      <c r="N102" s="30"/>
      <c r="O102" s="30"/>
      <c r="P102" s="30"/>
    </row>
    <row r="103" spans="2:16">
      <c r="B103" s="61">
        <v>35975</v>
      </c>
      <c r="C103" s="64">
        <v>2.38</v>
      </c>
      <c r="D103" s="64">
        <v>2.52</v>
      </c>
      <c r="E103" s="64">
        <v>2.355</v>
      </c>
      <c r="F103" s="62">
        <v>2.4390000000000001</v>
      </c>
      <c r="G103" s="63"/>
      <c r="H103" s="38">
        <f t="shared" si="1"/>
        <v>8.0999999999999961E-2</v>
      </c>
      <c r="J103" s="30"/>
      <c r="K103" s="30"/>
      <c r="L103" s="30"/>
      <c r="M103" s="30"/>
      <c r="N103" s="30"/>
      <c r="O103" s="30"/>
      <c r="P103" s="30"/>
    </row>
    <row r="104" spans="2:16">
      <c r="B104" s="61">
        <v>35968</v>
      </c>
      <c r="C104" s="64">
        <v>2.34</v>
      </c>
      <c r="D104" s="64">
        <v>2.4500000000000002</v>
      </c>
      <c r="E104" s="64">
        <v>2.2949999999999999</v>
      </c>
      <c r="F104" s="62">
        <v>2.3580000000000001</v>
      </c>
      <c r="G104" s="63"/>
      <c r="H104" s="38">
        <f t="shared" si="1"/>
        <v>7.3999999999999844E-2</v>
      </c>
      <c r="J104" s="30"/>
      <c r="K104" s="30"/>
      <c r="L104" s="30"/>
      <c r="M104" s="30"/>
      <c r="N104" s="30"/>
      <c r="O104" s="30"/>
      <c r="P104" s="30"/>
    </row>
    <row r="105" spans="2:16">
      <c r="B105" s="61">
        <v>35961</v>
      </c>
      <c r="C105" s="64">
        <v>2.0750000000000002</v>
      </c>
      <c r="D105" s="64">
        <v>2.2949999999999999</v>
      </c>
      <c r="E105" s="64">
        <v>1.97</v>
      </c>
      <c r="F105" s="62">
        <v>2.2840000000000003</v>
      </c>
      <c r="G105" s="63"/>
      <c r="H105" s="38">
        <f t="shared" si="1"/>
        <v>0.24900000000000011</v>
      </c>
      <c r="J105" s="30"/>
      <c r="K105" s="30"/>
      <c r="L105" s="30"/>
      <c r="M105" s="30"/>
      <c r="N105" s="30"/>
      <c r="O105" s="30"/>
      <c r="P105" s="30"/>
    </row>
    <row r="106" spans="2:16">
      <c r="B106" s="61">
        <v>35954</v>
      </c>
      <c r="C106" s="64">
        <v>1.99</v>
      </c>
      <c r="D106" s="64">
        <v>2.04</v>
      </c>
      <c r="E106" s="64">
        <v>1.915</v>
      </c>
      <c r="F106" s="62">
        <v>2.0350000000000001</v>
      </c>
      <c r="G106" s="63"/>
      <c r="H106" s="38">
        <f t="shared" si="1"/>
        <v>8.0000000000000071E-3</v>
      </c>
      <c r="J106" s="30"/>
      <c r="K106" s="30"/>
      <c r="L106" s="30"/>
      <c r="M106" s="30"/>
      <c r="N106" s="30"/>
      <c r="O106" s="30"/>
      <c r="P106" s="30"/>
    </row>
    <row r="107" spans="2:16">
      <c r="B107" s="61">
        <v>35947</v>
      </c>
      <c r="C107" s="64">
        <v>2.15</v>
      </c>
      <c r="D107" s="64">
        <v>2.2349999999999999</v>
      </c>
      <c r="E107" s="64">
        <v>1.9750000000000001</v>
      </c>
      <c r="F107" s="62">
        <v>2.0270000000000001</v>
      </c>
      <c r="G107" s="63"/>
      <c r="H107" s="38">
        <f t="shared" si="1"/>
        <v>-0.14299999999999979</v>
      </c>
      <c r="J107" s="30"/>
      <c r="K107" s="30"/>
      <c r="L107" s="30"/>
      <c r="M107" s="30"/>
      <c r="N107" s="30"/>
      <c r="O107" s="30"/>
      <c r="P107" s="30"/>
    </row>
    <row r="108" spans="2:16">
      <c r="B108" s="61">
        <v>35941</v>
      </c>
      <c r="C108" s="64">
        <v>2.0950000000000002</v>
      </c>
      <c r="D108" s="64">
        <v>2.1749999999999998</v>
      </c>
      <c r="E108" s="64">
        <v>1.99</v>
      </c>
      <c r="F108" s="62">
        <v>2.17</v>
      </c>
      <c r="G108" s="63"/>
      <c r="H108" s="38">
        <f t="shared" si="1"/>
        <v>7.6000000000000068E-2</v>
      </c>
      <c r="J108" s="30"/>
      <c r="K108" s="30"/>
      <c r="L108" s="30"/>
      <c r="M108" s="30"/>
      <c r="N108" s="30"/>
      <c r="O108" s="30"/>
      <c r="P108" s="30"/>
    </row>
    <row r="109" spans="2:16">
      <c r="B109" s="61">
        <v>35933</v>
      </c>
      <c r="C109" s="64">
        <v>2.1949999999999998</v>
      </c>
      <c r="D109" s="64">
        <v>2.2000000000000002</v>
      </c>
      <c r="E109" s="64">
        <v>1.99</v>
      </c>
      <c r="F109" s="62">
        <v>2.0939999999999999</v>
      </c>
      <c r="G109" s="63"/>
      <c r="H109" s="38">
        <f t="shared" si="1"/>
        <v>-8.4000000000000075E-2</v>
      </c>
      <c r="J109" s="30"/>
      <c r="K109" s="30"/>
      <c r="L109" s="30"/>
      <c r="M109" s="30"/>
      <c r="N109" s="30"/>
      <c r="O109" s="30"/>
      <c r="P109" s="30"/>
    </row>
    <row r="110" spans="2:16">
      <c r="B110" s="61">
        <v>35926</v>
      </c>
      <c r="C110" s="64">
        <v>2.1850000000000001</v>
      </c>
      <c r="D110" s="64">
        <v>2.2850000000000001</v>
      </c>
      <c r="E110" s="64">
        <v>2.1510000000000002</v>
      </c>
      <c r="F110" s="62">
        <v>2.1779999999999999</v>
      </c>
      <c r="G110" s="63"/>
      <c r="H110" s="38">
        <f t="shared" si="1"/>
        <v>1.0999999999999677E-2</v>
      </c>
      <c r="J110" s="30"/>
      <c r="K110" s="30"/>
      <c r="L110" s="30"/>
      <c r="M110" s="30"/>
      <c r="N110" s="30"/>
      <c r="O110" s="30"/>
      <c r="P110" s="30"/>
    </row>
    <row r="111" spans="2:16">
      <c r="B111" s="61">
        <v>35919</v>
      </c>
      <c r="C111" s="64">
        <v>2.1549999999999998</v>
      </c>
      <c r="D111" s="64">
        <v>2.2599999999999998</v>
      </c>
      <c r="E111" s="64">
        <v>2.11</v>
      </c>
      <c r="F111" s="62">
        <v>2.1670000000000003</v>
      </c>
      <c r="G111" s="63"/>
      <c r="H111" s="38">
        <f t="shared" si="1"/>
        <v>-3.4999999999999698E-2</v>
      </c>
      <c r="J111" s="30"/>
      <c r="K111" s="30"/>
      <c r="L111" s="30"/>
      <c r="M111" s="30"/>
      <c r="N111" s="30"/>
      <c r="O111" s="30"/>
      <c r="P111" s="30"/>
    </row>
    <row r="112" spans="2:16">
      <c r="B112" s="61">
        <v>35912</v>
      </c>
      <c r="C112" s="64">
        <v>2.33</v>
      </c>
      <c r="D112" s="64">
        <v>2.3450000000000002</v>
      </c>
      <c r="E112" s="64">
        <v>2.1520000000000001</v>
      </c>
      <c r="F112" s="62">
        <v>2.202</v>
      </c>
      <c r="G112" s="63"/>
      <c r="H112" s="38">
        <f t="shared" si="1"/>
        <v>-0.14000000000000012</v>
      </c>
      <c r="J112" s="30"/>
      <c r="K112" s="30"/>
      <c r="L112" s="30"/>
      <c r="M112" s="30"/>
      <c r="N112" s="30"/>
      <c r="O112" s="30"/>
      <c r="P112" s="30"/>
    </row>
    <row r="113" spans="2:16">
      <c r="B113" s="61">
        <v>35905</v>
      </c>
      <c r="C113" s="64">
        <v>2.46</v>
      </c>
      <c r="D113" s="64">
        <v>2.585</v>
      </c>
      <c r="E113" s="64">
        <v>2.2999999999999998</v>
      </c>
      <c r="F113" s="62">
        <v>2.3420000000000001</v>
      </c>
      <c r="G113" s="63"/>
      <c r="H113" s="38">
        <f t="shared" si="1"/>
        <v>-0.13300000000000001</v>
      </c>
      <c r="J113" s="30"/>
      <c r="K113" s="30"/>
      <c r="L113" s="30"/>
      <c r="M113" s="30"/>
      <c r="N113" s="30"/>
      <c r="O113" s="30"/>
      <c r="P113" s="30"/>
    </row>
    <row r="114" spans="2:16">
      <c r="B114" s="61">
        <v>35898</v>
      </c>
      <c r="C114" s="64">
        <v>2.6349999999999998</v>
      </c>
      <c r="D114" s="64">
        <v>2.6349999999999998</v>
      </c>
      <c r="E114" s="64">
        <v>2.4350000000000001</v>
      </c>
      <c r="F114" s="62">
        <v>2.4750000000000001</v>
      </c>
      <c r="G114" s="63"/>
      <c r="H114" s="38">
        <f t="shared" si="1"/>
        <v>-0.18199999999999994</v>
      </c>
      <c r="J114" s="30"/>
      <c r="K114" s="30"/>
      <c r="L114" s="30"/>
      <c r="M114" s="30"/>
      <c r="N114" s="30"/>
      <c r="O114" s="30"/>
      <c r="P114" s="30"/>
    </row>
    <row r="115" spans="2:16">
      <c r="B115" s="61">
        <v>35891</v>
      </c>
      <c r="C115" s="64">
        <v>2.5449999999999999</v>
      </c>
      <c r="D115" s="64">
        <v>2.7250000000000001</v>
      </c>
      <c r="E115" s="64">
        <v>2.5099999999999998</v>
      </c>
      <c r="F115" s="62">
        <v>2.657</v>
      </c>
      <c r="G115" s="63"/>
      <c r="H115" s="38">
        <f t="shared" si="1"/>
        <v>0.10099999999999998</v>
      </c>
      <c r="J115" s="30"/>
      <c r="K115" s="30"/>
      <c r="L115" s="30"/>
      <c r="M115" s="30"/>
      <c r="N115" s="30"/>
      <c r="O115" s="30"/>
      <c r="P115" s="30"/>
    </row>
    <row r="116" spans="2:16">
      <c r="B116" s="61">
        <v>35884</v>
      </c>
      <c r="C116" s="64">
        <v>2.3450000000000002</v>
      </c>
      <c r="D116" s="64">
        <v>2.605</v>
      </c>
      <c r="E116" s="64">
        <v>2.3450000000000002</v>
      </c>
      <c r="F116" s="62">
        <v>2.556</v>
      </c>
      <c r="G116" s="63"/>
      <c r="H116" s="38">
        <f t="shared" si="1"/>
        <v>0.25600000000000023</v>
      </c>
      <c r="J116" s="30"/>
      <c r="K116" s="30"/>
      <c r="L116" s="30"/>
      <c r="M116" s="30"/>
      <c r="N116" s="30"/>
      <c r="O116" s="30"/>
      <c r="P116" s="30"/>
    </row>
    <row r="117" spans="2:16">
      <c r="B117" s="61">
        <v>35877</v>
      </c>
      <c r="C117" s="64">
        <v>2.33</v>
      </c>
      <c r="D117" s="64">
        <v>2.42</v>
      </c>
      <c r="E117" s="64">
        <v>2.2850000000000001</v>
      </c>
      <c r="F117" s="62">
        <v>2.2999999999999998</v>
      </c>
      <c r="G117" s="63"/>
      <c r="H117" s="38">
        <f t="shared" si="1"/>
        <v>-4.3000000000000149E-2</v>
      </c>
      <c r="J117" s="30"/>
      <c r="K117" s="30"/>
      <c r="L117" s="30"/>
      <c r="M117" s="30"/>
      <c r="N117" s="30"/>
      <c r="O117" s="30"/>
      <c r="P117" s="30"/>
    </row>
    <row r="118" spans="2:16">
      <c r="B118" s="61">
        <v>35870</v>
      </c>
      <c r="C118" s="64">
        <v>2.125</v>
      </c>
      <c r="D118" s="64">
        <v>2.375</v>
      </c>
      <c r="E118" s="64">
        <v>2.105</v>
      </c>
      <c r="F118" s="62">
        <v>2.343</v>
      </c>
      <c r="G118" s="63"/>
      <c r="H118" s="38">
        <f t="shared" si="1"/>
        <v>0.20599999999999996</v>
      </c>
      <c r="J118" s="30"/>
      <c r="K118" s="30"/>
      <c r="L118" s="30"/>
      <c r="M118" s="30"/>
      <c r="N118" s="30"/>
      <c r="O118" s="30"/>
      <c r="P118" s="30"/>
    </row>
    <row r="119" spans="2:16">
      <c r="B119" s="61">
        <v>35863</v>
      </c>
      <c r="C119" s="64">
        <v>2.17</v>
      </c>
      <c r="D119" s="64">
        <v>2.2050000000000001</v>
      </c>
      <c r="E119" s="64">
        <v>2.1150000000000002</v>
      </c>
      <c r="F119" s="62">
        <v>2.137</v>
      </c>
      <c r="G119" s="63"/>
      <c r="H119" s="38">
        <f t="shared" si="1"/>
        <v>8.0000000000000071E-3</v>
      </c>
      <c r="J119" s="30"/>
      <c r="K119" s="30"/>
      <c r="L119" s="30"/>
      <c r="M119" s="30"/>
      <c r="N119" s="30"/>
      <c r="O119" s="30"/>
      <c r="P119" s="30"/>
    </row>
    <row r="120" spans="2:16">
      <c r="B120" s="61">
        <v>35856</v>
      </c>
      <c r="C120" s="64">
        <v>2.335</v>
      </c>
      <c r="D120" s="64">
        <v>2.355</v>
      </c>
      <c r="E120" s="64">
        <v>2.105</v>
      </c>
      <c r="F120" s="62">
        <v>2.129</v>
      </c>
      <c r="G120" s="63"/>
      <c r="H120" s="38">
        <f t="shared" si="1"/>
        <v>-0.19200000000000017</v>
      </c>
      <c r="J120" s="30"/>
      <c r="K120" s="30"/>
      <c r="L120" s="30"/>
      <c r="M120" s="30"/>
      <c r="N120" s="30"/>
      <c r="O120" s="30"/>
      <c r="P120" s="30"/>
    </row>
    <row r="121" spans="2:16">
      <c r="B121" s="61">
        <v>35849</v>
      </c>
      <c r="C121" s="64">
        <v>2.1800000000000002</v>
      </c>
      <c r="D121" s="64">
        <v>2.34</v>
      </c>
      <c r="E121" s="64">
        <v>2.17</v>
      </c>
      <c r="F121" s="62">
        <v>2.3210000000000002</v>
      </c>
      <c r="G121" s="63"/>
      <c r="H121" s="38">
        <f t="shared" si="1"/>
        <v>0.12300000000000022</v>
      </c>
      <c r="J121" s="30"/>
      <c r="K121" s="30"/>
      <c r="L121" s="30"/>
      <c r="M121" s="30"/>
      <c r="N121" s="30"/>
      <c r="O121" s="30"/>
      <c r="P121" s="30"/>
    </row>
    <row r="122" spans="2:16">
      <c r="B122" s="61">
        <v>35843</v>
      </c>
      <c r="C122" s="64">
        <v>2.1800000000000002</v>
      </c>
      <c r="D122" s="64">
        <v>2.29</v>
      </c>
      <c r="E122" s="64">
        <v>2.15</v>
      </c>
      <c r="F122" s="62">
        <v>2.198</v>
      </c>
      <c r="G122" s="63"/>
      <c r="H122" s="38">
        <f t="shared" si="1"/>
        <v>-1.0000000000000231E-2</v>
      </c>
      <c r="J122" s="30"/>
      <c r="K122" s="30"/>
      <c r="L122" s="30"/>
      <c r="M122" s="30"/>
      <c r="N122" s="30"/>
      <c r="O122" s="30"/>
      <c r="P122" s="30"/>
    </row>
    <row r="123" spans="2:16">
      <c r="B123" s="61">
        <v>35835</v>
      </c>
      <c r="C123" s="64">
        <v>2.31</v>
      </c>
      <c r="D123" s="64">
        <v>2.3199999999999998</v>
      </c>
      <c r="E123" s="64">
        <v>2.19</v>
      </c>
      <c r="F123" s="62">
        <v>2.2080000000000002</v>
      </c>
      <c r="G123" s="63"/>
      <c r="H123" s="38">
        <f t="shared" si="1"/>
        <v>-0.1509999999999998</v>
      </c>
      <c r="J123" s="30"/>
      <c r="K123" s="30"/>
      <c r="L123" s="30"/>
      <c r="M123" s="30"/>
      <c r="N123" s="30"/>
      <c r="O123" s="30"/>
      <c r="P123" s="30"/>
    </row>
    <row r="124" spans="2:16">
      <c r="B124" s="61">
        <v>35828</v>
      </c>
      <c r="C124" s="64">
        <v>2.2200000000000002</v>
      </c>
      <c r="D124" s="64">
        <v>2.4300000000000002</v>
      </c>
      <c r="E124" s="64">
        <v>2.2200000000000002</v>
      </c>
      <c r="F124" s="62">
        <v>2.359</v>
      </c>
      <c r="G124" s="63"/>
      <c r="H124" s="38">
        <f t="shared" si="1"/>
        <v>0.10199999999999987</v>
      </c>
      <c r="J124" s="30"/>
      <c r="K124" s="30"/>
      <c r="L124" s="30"/>
      <c r="M124" s="30"/>
      <c r="N124" s="30"/>
      <c r="O124" s="30"/>
      <c r="P124" s="30"/>
    </row>
    <row r="125" spans="2:16">
      <c r="B125" s="61">
        <v>35821</v>
      </c>
      <c r="C125" s="64">
        <v>2.08</v>
      </c>
      <c r="D125" s="64">
        <v>2.2799999999999998</v>
      </c>
      <c r="E125" s="64">
        <v>1.96</v>
      </c>
      <c r="F125" s="62">
        <v>2.2570000000000001</v>
      </c>
      <c r="G125" s="63"/>
      <c r="H125" s="38">
        <f t="shared" si="1"/>
        <v>0.14000000000000012</v>
      </c>
      <c r="J125" s="30"/>
      <c r="K125" s="30"/>
      <c r="L125" s="30"/>
      <c r="M125" s="30"/>
      <c r="N125" s="30"/>
      <c r="O125" s="30"/>
      <c r="P125" s="30"/>
    </row>
    <row r="126" spans="2:16">
      <c r="B126" s="61">
        <v>35815</v>
      </c>
      <c r="C126" s="64">
        <v>2.17</v>
      </c>
      <c r="D126" s="64">
        <v>2.1749999999999998</v>
      </c>
      <c r="E126" s="64">
        <v>2.0750000000000002</v>
      </c>
      <c r="F126" s="62">
        <v>2.117</v>
      </c>
      <c r="G126" s="63"/>
      <c r="H126" s="38">
        <f t="shared" si="1"/>
        <v>-5.9000000000000163E-2</v>
      </c>
      <c r="J126" s="30"/>
      <c r="K126" s="30"/>
      <c r="L126" s="30"/>
      <c r="M126" s="30"/>
      <c r="N126" s="30"/>
      <c r="O126" s="30"/>
      <c r="P126" s="30"/>
    </row>
    <row r="127" spans="2:16">
      <c r="B127" s="61">
        <v>35807</v>
      </c>
      <c r="C127" s="64">
        <v>2</v>
      </c>
      <c r="D127" s="64">
        <v>2.1850000000000001</v>
      </c>
      <c r="E127" s="64">
        <v>1.97</v>
      </c>
      <c r="F127" s="62">
        <v>2.1760000000000002</v>
      </c>
      <c r="G127" s="63"/>
      <c r="H127" s="38">
        <f t="shared" si="1"/>
        <v>0.12999999999999989</v>
      </c>
      <c r="J127" s="30"/>
      <c r="K127" s="30"/>
      <c r="L127" s="30"/>
      <c r="M127" s="30"/>
      <c r="N127" s="30"/>
      <c r="O127" s="30"/>
      <c r="P127" s="30"/>
    </row>
    <row r="128" spans="2:16">
      <c r="B128" s="61">
        <v>35800</v>
      </c>
      <c r="C128" s="64">
        <v>2.12</v>
      </c>
      <c r="D128" s="64">
        <v>2.25</v>
      </c>
      <c r="E128" s="64">
        <v>2.0299999999999998</v>
      </c>
      <c r="F128" s="62">
        <v>2.0460000000000003</v>
      </c>
      <c r="G128" s="63"/>
      <c r="H128" s="38">
        <f t="shared" si="1"/>
        <v>-0.10699999999999976</v>
      </c>
      <c r="J128" s="30"/>
      <c r="K128" s="30"/>
      <c r="L128" s="30"/>
      <c r="M128" s="30"/>
      <c r="N128" s="30"/>
      <c r="O128" s="30"/>
      <c r="P128" s="30"/>
    </row>
    <row r="129" spans="2:16">
      <c r="B129" s="61">
        <v>35793</v>
      </c>
      <c r="C129" s="64">
        <v>2.2999999999999998</v>
      </c>
      <c r="D129" s="64">
        <v>2.3650000000000002</v>
      </c>
      <c r="E129" s="64">
        <v>2.15</v>
      </c>
      <c r="F129" s="62">
        <v>2.153</v>
      </c>
      <c r="G129" s="63"/>
      <c r="H129" s="38">
        <f t="shared" si="1"/>
        <v>-9.9000000000000199E-2</v>
      </c>
      <c r="J129" s="30"/>
      <c r="K129" s="30"/>
      <c r="L129" s="30"/>
      <c r="M129" s="30"/>
      <c r="N129" s="30"/>
      <c r="O129" s="30"/>
      <c r="P129" s="30"/>
    </row>
    <row r="130" spans="2:16">
      <c r="B130" s="61">
        <v>35786</v>
      </c>
      <c r="C130" s="64">
        <v>2.4300000000000002</v>
      </c>
      <c r="D130" s="64">
        <v>2.46</v>
      </c>
      <c r="E130" s="64">
        <v>2.14</v>
      </c>
      <c r="F130" s="62">
        <v>2.2520000000000002</v>
      </c>
      <c r="G130" s="63"/>
      <c r="H130" s="38">
        <f t="shared" si="1"/>
        <v>-0.21899999999999986</v>
      </c>
      <c r="J130" s="30"/>
      <c r="K130" s="30"/>
      <c r="L130" s="30"/>
      <c r="M130" s="30"/>
      <c r="N130" s="30"/>
      <c r="O130" s="30"/>
      <c r="P130" s="30"/>
    </row>
    <row r="131" spans="2:16">
      <c r="B131" s="61">
        <v>35779</v>
      </c>
      <c r="C131" s="64">
        <v>2.2999999999999998</v>
      </c>
      <c r="D131" s="64">
        <v>2.5099999999999998</v>
      </c>
      <c r="E131" s="64">
        <v>2.2599999999999998</v>
      </c>
      <c r="F131" s="62">
        <v>2.4710000000000001</v>
      </c>
      <c r="G131" s="63"/>
      <c r="H131" s="38">
        <f t="shared" si="1"/>
        <v>0.11399999999999988</v>
      </c>
      <c r="J131" s="30"/>
      <c r="K131" s="30"/>
      <c r="L131" s="30"/>
      <c r="M131" s="30"/>
      <c r="N131" s="30"/>
      <c r="O131" s="30"/>
      <c r="P131" s="30"/>
    </row>
    <row r="132" spans="2:16">
      <c r="B132" s="61">
        <v>35772</v>
      </c>
      <c r="C132" s="64">
        <v>2.38</v>
      </c>
      <c r="D132" s="64">
        <v>2.57</v>
      </c>
      <c r="E132" s="64">
        <v>2.2799999999999998</v>
      </c>
      <c r="F132" s="62">
        <v>2.3570000000000002</v>
      </c>
      <c r="G132" s="63"/>
      <c r="H132" s="38">
        <f t="shared" si="1"/>
        <v>-9.5999999999999641E-2</v>
      </c>
      <c r="J132" s="30"/>
      <c r="K132" s="30"/>
      <c r="L132" s="30"/>
      <c r="M132" s="30"/>
      <c r="N132" s="30"/>
      <c r="O132" s="30"/>
      <c r="P132" s="30"/>
    </row>
    <row r="133" spans="2:16">
      <c r="B133" s="61">
        <v>35765</v>
      </c>
      <c r="C133" s="64">
        <v>2.66</v>
      </c>
      <c r="D133" s="64">
        <v>2.81</v>
      </c>
      <c r="E133" s="64">
        <v>2.38</v>
      </c>
      <c r="F133" s="62">
        <v>2.4529999999999998</v>
      </c>
      <c r="G133" s="63"/>
      <c r="H133" s="38">
        <f t="shared" si="1"/>
        <v>-0.125</v>
      </c>
      <c r="J133" s="30"/>
      <c r="K133" s="30"/>
      <c r="L133" s="30"/>
      <c r="M133" s="30"/>
      <c r="N133" s="30"/>
      <c r="O133" s="30"/>
      <c r="P133" s="30"/>
    </row>
    <row r="134" spans="2:16">
      <c r="B134" s="61">
        <v>35758</v>
      </c>
      <c r="C134" s="64">
        <v>2.68</v>
      </c>
      <c r="D134" s="64">
        <v>2.72</v>
      </c>
      <c r="E134" s="64">
        <v>2.5</v>
      </c>
      <c r="F134" s="62">
        <v>2.5779999999999998</v>
      </c>
      <c r="G134" s="63"/>
      <c r="H134" s="38">
        <f t="shared" si="1"/>
        <v>-0.18400000000000016</v>
      </c>
      <c r="J134" s="30"/>
      <c r="K134" s="30"/>
      <c r="L134" s="30"/>
      <c r="M134" s="30"/>
      <c r="N134" s="30"/>
      <c r="O134" s="30"/>
      <c r="P134" s="30"/>
    </row>
    <row r="135" spans="2:16">
      <c r="B135" s="61">
        <v>35751</v>
      </c>
      <c r="C135" s="64">
        <v>3.09</v>
      </c>
      <c r="D135" s="64">
        <v>3.1</v>
      </c>
      <c r="E135" s="64">
        <v>2.5499999999999998</v>
      </c>
      <c r="F135" s="62">
        <v>2.762</v>
      </c>
      <c r="G135" s="63"/>
      <c r="H135" s="38">
        <f t="shared" si="1"/>
        <v>-0.2669999999999999</v>
      </c>
      <c r="J135" s="30"/>
      <c r="K135" s="30"/>
      <c r="L135" s="30"/>
      <c r="M135" s="30"/>
      <c r="N135" s="30"/>
      <c r="O135" s="30"/>
      <c r="P135" s="30"/>
    </row>
    <row r="136" spans="2:16">
      <c r="B136" s="61">
        <v>35744</v>
      </c>
      <c r="C136" s="64">
        <v>3.29</v>
      </c>
      <c r="D136" s="64">
        <v>3.5249999999999999</v>
      </c>
      <c r="E136" s="64">
        <v>2.99</v>
      </c>
      <c r="F136" s="62">
        <v>3.0289999999999999</v>
      </c>
      <c r="G136" s="63"/>
      <c r="H136" s="38">
        <f t="shared" si="1"/>
        <v>-0.22700000000000031</v>
      </c>
      <c r="J136" s="30"/>
      <c r="K136" s="30"/>
      <c r="L136" s="30"/>
      <c r="M136" s="30"/>
      <c r="N136" s="30"/>
      <c r="O136" s="30"/>
      <c r="P136" s="30"/>
    </row>
    <row r="137" spans="2:16">
      <c r="B137" s="61">
        <v>35737</v>
      </c>
      <c r="C137" s="64">
        <v>3.57</v>
      </c>
      <c r="D137" s="64">
        <v>3.605</v>
      </c>
      <c r="E137" s="64">
        <v>3.23</v>
      </c>
      <c r="F137" s="62">
        <v>3.2560000000000002</v>
      </c>
      <c r="G137" s="63"/>
      <c r="H137" s="38">
        <f t="shared" si="1"/>
        <v>-0.29599999999999982</v>
      </c>
      <c r="J137" s="30"/>
      <c r="K137" s="30"/>
      <c r="L137" s="30"/>
      <c r="M137" s="30"/>
      <c r="N137" s="30"/>
      <c r="O137" s="30"/>
      <c r="P137" s="30"/>
    </row>
    <row r="138" spans="2:16">
      <c r="B138" s="61">
        <v>35730</v>
      </c>
      <c r="C138" s="64">
        <v>3.59</v>
      </c>
      <c r="D138" s="64">
        <v>3.85</v>
      </c>
      <c r="E138" s="64">
        <v>3.15</v>
      </c>
      <c r="F138" s="62">
        <v>3.552</v>
      </c>
      <c r="G138" s="63"/>
      <c r="H138" s="38">
        <f t="shared" si="1"/>
        <v>4.0000000000000036E-3</v>
      </c>
      <c r="J138" s="30"/>
      <c r="K138" s="30"/>
      <c r="L138" s="30"/>
      <c r="M138" s="30"/>
      <c r="N138" s="30"/>
      <c r="O138" s="30"/>
      <c r="P138" s="30"/>
    </row>
    <row r="139" spans="2:16">
      <c r="B139" s="61">
        <v>35723</v>
      </c>
      <c r="C139" s="64">
        <v>3.34</v>
      </c>
      <c r="D139" s="64">
        <v>3.65</v>
      </c>
      <c r="E139" s="64">
        <v>3.3</v>
      </c>
      <c r="F139" s="62">
        <v>3.548</v>
      </c>
      <c r="G139" s="63"/>
      <c r="H139" s="38">
        <f t="shared" si="1"/>
        <v>0.25999999999999979</v>
      </c>
      <c r="J139" s="30"/>
      <c r="K139" s="30"/>
      <c r="L139" s="30"/>
      <c r="M139" s="30"/>
      <c r="N139" s="30"/>
      <c r="O139" s="30"/>
      <c r="P139" s="30"/>
    </row>
    <row r="140" spans="2:16">
      <c r="B140" s="61">
        <v>35716</v>
      </c>
      <c r="C140" s="64">
        <v>3.1</v>
      </c>
      <c r="D140" s="64">
        <v>3.32</v>
      </c>
      <c r="E140" s="64">
        <v>2.98</v>
      </c>
      <c r="F140" s="62">
        <v>3.2880000000000003</v>
      </c>
      <c r="G140" s="63"/>
      <c r="H140" s="38">
        <f t="shared" si="1"/>
        <v>0.20600000000000041</v>
      </c>
      <c r="J140" s="30"/>
      <c r="K140" s="30"/>
      <c r="L140" s="30"/>
      <c r="M140" s="30"/>
      <c r="N140" s="30"/>
      <c r="O140" s="30"/>
      <c r="P140" s="30"/>
    </row>
    <row r="141" spans="2:16">
      <c r="B141" s="61">
        <v>35709</v>
      </c>
      <c r="C141" s="64">
        <v>3.1</v>
      </c>
      <c r="D141" s="64">
        <v>3.12</v>
      </c>
      <c r="E141" s="64">
        <v>2.84</v>
      </c>
      <c r="F141" s="62">
        <v>3.0819999999999999</v>
      </c>
      <c r="G141" s="63"/>
      <c r="H141" s="38">
        <f t="shared" si="1"/>
        <v>-4.3000000000000149E-2</v>
      </c>
      <c r="J141" s="30"/>
      <c r="K141" s="30"/>
      <c r="L141" s="30"/>
      <c r="M141" s="30"/>
      <c r="N141" s="30"/>
      <c r="O141" s="30"/>
      <c r="P141" s="30"/>
    </row>
    <row r="142" spans="2:16">
      <c r="B142" s="61">
        <v>35702</v>
      </c>
      <c r="C142" s="64">
        <v>3.1</v>
      </c>
      <c r="D142" s="64">
        <v>3.22</v>
      </c>
      <c r="E142" s="64">
        <v>2.92</v>
      </c>
      <c r="F142" s="62">
        <v>3.125</v>
      </c>
      <c r="G142" s="63"/>
      <c r="H142" s="38">
        <f t="shared" ref="H142:H205" si="2">F142-F143</f>
        <v>-0.22100000000000009</v>
      </c>
      <c r="J142" s="30"/>
      <c r="K142" s="30"/>
      <c r="L142" s="30"/>
      <c r="M142" s="30"/>
      <c r="N142" s="30"/>
      <c r="O142" s="30"/>
      <c r="P142" s="30"/>
    </row>
    <row r="143" spans="2:16">
      <c r="B143" s="61">
        <v>35695</v>
      </c>
      <c r="C143" s="64">
        <v>2.87</v>
      </c>
      <c r="D143" s="64">
        <v>3.48</v>
      </c>
      <c r="E143" s="64">
        <v>2.87</v>
      </c>
      <c r="F143" s="62">
        <v>3.3460000000000001</v>
      </c>
      <c r="G143" s="63"/>
      <c r="H143" s="38">
        <f t="shared" si="2"/>
        <v>0.5089999999999999</v>
      </c>
      <c r="J143" s="30"/>
      <c r="K143" s="30"/>
      <c r="L143" s="30"/>
      <c r="M143" s="30"/>
      <c r="N143" s="30"/>
      <c r="O143" s="30"/>
      <c r="P143" s="30"/>
    </row>
    <row r="144" spans="2:16">
      <c r="B144" s="61">
        <v>35688</v>
      </c>
      <c r="C144" s="64">
        <v>2.83</v>
      </c>
      <c r="D144" s="64">
        <v>2.92</v>
      </c>
      <c r="E144" s="64">
        <v>2.665</v>
      </c>
      <c r="F144" s="62">
        <v>2.8370000000000002</v>
      </c>
      <c r="G144" s="63"/>
      <c r="H144" s="38">
        <f t="shared" si="2"/>
        <v>4.2000000000000259E-2</v>
      </c>
      <c r="J144" s="30"/>
      <c r="K144" s="30"/>
      <c r="L144" s="30"/>
      <c r="M144" s="30"/>
      <c r="N144" s="30"/>
      <c r="O144" s="30"/>
      <c r="P144" s="30"/>
    </row>
    <row r="145" spans="2:16">
      <c r="B145" s="61">
        <v>35681</v>
      </c>
      <c r="C145" s="64">
        <v>2.64</v>
      </c>
      <c r="D145" s="64">
        <v>2.83</v>
      </c>
      <c r="E145" s="64">
        <v>2.625</v>
      </c>
      <c r="F145" s="62">
        <v>2.7949999999999999</v>
      </c>
      <c r="G145" s="63"/>
      <c r="H145" s="38">
        <f t="shared" si="2"/>
        <v>9.7999999999999865E-2</v>
      </c>
      <c r="J145" s="30"/>
      <c r="K145" s="30"/>
      <c r="L145" s="30"/>
      <c r="M145" s="30"/>
      <c r="N145" s="30"/>
      <c r="O145" s="30"/>
      <c r="P145" s="30"/>
    </row>
    <row r="146" spans="2:16">
      <c r="B146" s="61">
        <v>35675</v>
      </c>
      <c r="C146" s="64">
        <v>2.7</v>
      </c>
      <c r="D146" s="64">
        <v>2.86</v>
      </c>
      <c r="E146" s="64">
        <v>2.62</v>
      </c>
      <c r="F146" s="62">
        <v>2.6970000000000001</v>
      </c>
      <c r="G146" s="63"/>
      <c r="H146" s="38">
        <f t="shared" si="2"/>
        <v>-1.6999999999999904E-2</v>
      </c>
      <c r="J146" s="30"/>
      <c r="K146" s="30"/>
      <c r="L146" s="30"/>
      <c r="M146" s="30"/>
      <c r="N146" s="30"/>
      <c r="O146" s="30"/>
      <c r="P146" s="30"/>
    </row>
    <row r="147" spans="2:16">
      <c r="B147" s="61">
        <v>35667</v>
      </c>
      <c r="C147" s="64">
        <v>2.4700000000000002</v>
      </c>
      <c r="D147" s="64">
        <v>2.74</v>
      </c>
      <c r="E147" s="64">
        <v>2.4300000000000002</v>
      </c>
      <c r="F147" s="62">
        <v>2.714</v>
      </c>
      <c r="G147" s="63"/>
      <c r="H147" s="38">
        <f t="shared" si="2"/>
        <v>0.26100000000000012</v>
      </c>
      <c r="J147" s="30"/>
      <c r="K147" s="30"/>
      <c r="L147" s="30"/>
      <c r="M147" s="30"/>
      <c r="N147" s="30"/>
      <c r="O147" s="30"/>
      <c r="P147" s="30"/>
    </row>
    <row r="148" spans="2:16">
      <c r="B148" s="61">
        <v>35660</v>
      </c>
      <c r="C148" s="64">
        <v>2.4350000000000001</v>
      </c>
      <c r="D148" s="64">
        <v>2.57</v>
      </c>
      <c r="E148" s="64">
        <v>2.34</v>
      </c>
      <c r="F148" s="62">
        <v>2.4529999999999998</v>
      </c>
      <c r="G148" s="63"/>
      <c r="H148" s="38">
        <f t="shared" si="2"/>
        <v>2.0999999999999908E-2</v>
      </c>
      <c r="J148" s="30"/>
      <c r="K148" s="30"/>
      <c r="L148" s="30"/>
      <c r="M148" s="30"/>
      <c r="N148" s="30"/>
      <c r="O148" s="30"/>
      <c r="P148" s="30"/>
    </row>
    <row r="149" spans="2:16">
      <c r="B149" s="61">
        <v>35653</v>
      </c>
      <c r="C149" s="64">
        <v>2.54</v>
      </c>
      <c r="D149" s="64">
        <v>2.605</v>
      </c>
      <c r="E149" s="64">
        <v>2.395</v>
      </c>
      <c r="F149" s="62">
        <v>2.4319999999999999</v>
      </c>
      <c r="G149" s="63"/>
      <c r="H149" s="38">
        <f t="shared" si="2"/>
        <v>-7.1000000000000174E-2</v>
      </c>
      <c r="J149" s="30"/>
      <c r="K149" s="30"/>
      <c r="L149" s="30"/>
      <c r="M149" s="30"/>
      <c r="N149" s="30"/>
      <c r="O149" s="30"/>
      <c r="P149" s="30"/>
    </row>
    <row r="150" spans="2:16">
      <c r="B150" s="61">
        <v>35646</v>
      </c>
      <c r="C150" s="64">
        <v>2.2400000000000002</v>
      </c>
      <c r="D150" s="64">
        <v>2.5299999999999998</v>
      </c>
      <c r="E150" s="64">
        <v>2.23</v>
      </c>
      <c r="F150" s="62">
        <v>2.5030000000000001</v>
      </c>
      <c r="G150" s="63"/>
      <c r="H150" s="38">
        <f t="shared" si="2"/>
        <v>0.26400000000000023</v>
      </c>
      <c r="J150" s="30"/>
      <c r="K150" s="30"/>
      <c r="L150" s="30"/>
      <c r="M150" s="30"/>
      <c r="N150" s="30"/>
      <c r="O150" s="30"/>
      <c r="P150" s="30"/>
    </row>
    <row r="151" spans="2:16">
      <c r="B151" s="61">
        <v>35639</v>
      </c>
      <c r="C151" s="64">
        <v>2.13</v>
      </c>
      <c r="D151" s="64">
        <v>2.25</v>
      </c>
      <c r="E151" s="64">
        <v>2.125</v>
      </c>
      <c r="F151" s="62">
        <v>2.2389999999999999</v>
      </c>
      <c r="G151" s="63"/>
      <c r="H151" s="38">
        <f t="shared" si="2"/>
        <v>9.2999999999999972E-2</v>
      </c>
      <c r="J151" s="30"/>
      <c r="K151" s="30"/>
      <c r="L151" s="30"/>
      <c r="M151" s="30"/>
      <c r="N151" s="30"/>
      <c r="O151" s="30"/>
      <c r="P151" s="30"/>
    </row>
    <row r="152" spans="2:16">
      <c r="B152" s="61">
        <v>35632</v>
      </c>
      <c r="C152" s="64">
        <v>2.13</v>
      </c>
      <c r="D152" s="64">
        <v>2.1749999999999998</v>
      </c>
      <c r="E152" s="64">
        <v>2.0699999999999998</v>
      </c>
      <c r="F152" s="62">
        <v>2.1459999999999999</v>
      </c>
      <c r="G152" s="63"/>
      <c r="H152" s="38">
        <f t="shared" si="2"/>
        <v>-2.2000000000000242E-2</v>
      </c>
      <c r="J152" s="30"/>
      <c r="K152" s="30"/>
      <c r="L152" s="30"/>
      <c r="M152" s="30"/>
      <c r="N152" s="30"/>
      <c r="O152" s="30"/>
      <c r="P152" s="30"/>
    </row>
    <row r="153" spans="2:16">
      <c r="B153" s="61">
        <v>35625</v>
      </c>
      <c r="C153" s="64">
        <v>2.13</v>
      </c>
      <c r="D153" s="64">
        <v>2.2250000000000001</v>
      </c>
      <c r="E153" s="64">
        <v>2.11</v>
      </c>
      <c r="F153" s="62">
        <v>2.1680000000000001</v>
      </c>
      <c r="G153" s="63"/>
      <c r="H153" s="38">
        <f t="shared" si="2"/>
        <v>7.4000000000000288E-2</v>
      </c>
      <c r="J153" s="30"/>
      <c r="K153" s="30"/>
      <c r="L153" s="30"/>
      <c r="M153" s="30"/>
      <c r="N153" s="30"/>
      <c r="O153" s="30"/>
      <c r="P153" s="30"/>
    </row>
    <row r="154" spans="2:16">
      <c r="B154" s="61">
        <v>35618</v>
      </c>
      <c r="C154" s="64">
        <v>2.09</v>
      </c>
      <c r="D154" s="64">
        <v>2.14</v>
      </c>
      <c r="E154" s="64">
        <v>2.0510000000000002</v>
      </c>
      <c r="F154" s="62">
        <v>2.0939999999999999</v>
      </c>
      <c r="G154" s="63"/>
      <c r="H154" s="38">
        <f t="shared" si="2"/>
        <v>-9.0000000000003411E-3</v>
      </c>
      <c r="J154" s="30"/>
      <c r="K154" s="30"/>
      <c r="L154" s="30"/>
      <c r="M154" s="30"/>
      <c r="N154" s="30"/>
      <c r="O154" s="30"/>
      <c r="P154" s="30"/>
    </row>
    <row r="155" spans="2:16">
      <c r="B155" s="61">
        <v>35611</v>
      </c>
      <c r="C155" s="64">
        <v>2.15</v>
      </c>
      <c r="D155" s="64">
        <v>2.15</v>
      </c>
      <c r="E155" s="64">
        <v>2.0649999999999999</v>
      </c>
      <c r="F155" s="62">
        <v>2.1030000000000002</v>
      </c>
      <c r="G155" s="63"/>
      <c r="H155" s="38">
        <f t="shared" si="2"/>
        <v>-3.6000000000000032E-2</v>
      </c>
      <c r="J155" s="30"/>
      <c r="K155" s="30"/>
      <c r="L155" s="30"/>
      <c r="M155" s="30"/>
      <c r="N155" s="30"/>
      <c r="O155" s="30"/>
      <c r="P155" s="30"/>
    </row>
    <row r="156" spans="2:16">
      <c r="B156" s="61">
        <v>35604</v>
      </c>
      <c r="C156" s="64">
        <v>2.2549999999999999</v>
      </c>
      <c r="D156" s="64">
        <v>2.3050000000000002</v>
      </c>
      <c r="E156" s="64">
        <v>2.105</v>
      </c>
      <c r="F156" s="62">
        <v>2.1390000000000002</v>
      </c>
      <c r="G156" s="63"/>
      <c r="H156" s="38">
        <f t="shared" si="2"/>
        <v>-9.5999999999999641E-2</v>
      </c>
      <c r="J156" s="30"/>
      <c r="K156" s="30"/>
      <c r="L156" s="30"/>
      <c r="M156" s="30"/>
      <c r="N156" s="30"/>
      <c r="O156" s="30"/>
      <c r="P156" s="30"/>
    </row>
    <row r="157" spans="2:16">
      <c r="B157" s="61">
        <v>35597</v>
      </c>
      <c r="C157" s="64">
        <v>2.15</v>
      </c>
      <c r="D157" s="64">
        <v>2.2450000000000001</v>
      </c>
      <c r="E157" s="64">
        <v>2.13</v>
      </c>
      <c r="F157" s="62">
        <v>2.2349999999999999</v>
      </c>
      <c r="G157" s="63"/>
      <c r="H157" s="38">
        <f t="shared" si="2"/>
        <v>8.5999999999999854E-2</v>
      </c>
      <c r="J157" s="30"/>
      <c r="K157" s="30"/>
      <c r="L157" s="30"/>
      <c r="M157" s="30"/>
      <c r="N157" s="30"/>
      <c r="O157" s="30"/>
      <c r="P157" s="30"/>
    </row>
    <row r="158" spans="2:16">
      <c r="B158" s="61">
        <v>35590</v>
      </c>
      <c r="C158" s="64">
        <v>2.1800000000000002</v>
      </c>
      <c r="D158" s="64">
        <v>2.1949999999999998</v>
      </c>
      <c r="E158" s="64">
        <v>2.0550000000000002</v>
      </c>
      <c r="F158" s="62">
        <v>2.149</v>
      </c>
      <c r="G158" s="63"/>
      <c r="H158" s="38">
        <f t="shared" si="2"/>
        <v>-3.9000000000000146E-2</v>
      </c>
      <c r="J158" s="30"/>
      <c r="K158" s="30"/>
      <c r="L158" s="30"/>
      <c r="M158" s="30"/>
      <c r="N158" s="30"/>
      <c r="O158" s="30"/>
      <c r="P158" s="30"/>
    </row>
    <row r="159" spans="2:16">
      <c r="B159" s="61">
        <v>35583</v>
      </c>
      <c r="C159" s="64">
        <v>2.21</v>
      </c>
      <c r="D159" s="64">
        <v>2.21</v>
      </c>
      <c r="E159" s="64">
        <v>2.08</v>
      </c>
      <c r="F159" s="62">
        <v>2.1880000000000002</v>
      </c>
      <c r="G159" s="63"/>
      <c r="H159" s="38">
        <f t="shared" si="2"/>
        <v>-5.0999999999999712E-2</v>
      </c>
      <c r="J159" s="30"/>
      <c r="K159" s="30"/>
      <c r="L159" s="30"/>
      <c r="M159" s="30"/>
      <c r="N159" s="30"/>
      <c r="O159" s="30"/>
      <c r="P159" s="30"/>
    </row>
    <row r="160" spans="2:16">
      <c r="B160" s="61">
        <v>35577</v>
      </c>
      <c r="C160" s="64">
        <v>2.29</v>
      </c>
      <c r="D160" s="64">
        <v>2.375</v>
      </c>
      <c r="E160" s="64">
        <v>2.2000000000000002</v>
      </c>
      <c r="F160" s="62">
        <v>2.2389999999999999</v>
      </c>
      <c r="G160" s="63"/>
      <c r="H160" s="38">
        <f t="shared" si="2"/>
        <v>-4.6000000000000263E-2</v>
      </c>
      <c r="J160" s="30"/>
      <c r="K160" s="30"/>
      <c r="L160" s="30"/>
      <c r="M160" s="30"/>
      <c r="N160" s="30"/>
      <c r="O160" s="30"/>
      <c r="P160" s="30"/>
    </row>
    <row r="161" spans="2:16">
      <c r="B161" s="61">
        <v>35569</v>
      </c>
      <c r="C161" s="64">
        <v>2.2650000000000001</v>
      </c>
      <c r="D161" s="64">
        <v>2.2999999999999998</v>
      </c>
      <c r="E161" s="64">
        <v>2.16</v>
      </c>
      <c r="F161" s="62">
        <v>2.2850000000000001</v>
      </c>
      <c r="G161" s="63"/>
      <c r="H161" s="38">
        <f t="shared" si="2"/>
        <v>3.6000000000000032E-2</v>
      </c>
      <c r="J161" s="30"/>
      <c r="K161" s="30"/>
      <c r="L161" s="30"/>
      <c r="M161" s="30"/>
      <c r="N161" s="30"/>
      <c r="O161" s="30"/>
      <c r="P161" s="30"/>
    </row>
    <row r="162" spans="2:16">
      <c r="B162" s="61">
        <v>35562</v>
      </c>
      <c r="C162" s="64">
        <v>2.25</v>
      </c>
      <c r="D162" s="64">
        <v>2.2799999999999998</v>
      </c>
      <c r="E162" s="64">
        <v>2.1549999999999998</v>
      </c>
      <c r="F162" s="62">
        <v>2.2490000000000001</v>
      </c>
      <c r="G162" s="63"/>
      <c r="H162" s="38">
        <f t="shared" si="2"/>
        <v>7.0000000000001172E-3</v>
      </c>
      <c r="J162" s="30"/>
      <c r="K162" s="30"/>
      <c r="L162" s="30"/>
      <c r="M162" s="30"/>
      <c r="N162" s="30"/>
      <c r="O162" s="30"/>
      <c r="P162" s="30"/>
    </row>
    <row r="163" spans="2:16">
      <c r="B163" s="61">
        <v>35555</v>
      </c>
      <c r="C163" s="64">
        <v>2.2349999999999999</v>
      </c>
      <c r="D163" s="64">
        <v>2.4300000000000002</v>
      </c>
      <c r="E163" s="64">
        <v>2.1949999999999998</v>
      </c>
      <c r="F163" s="62">
        <v>2.242</v>
      </c>
      <c r="G163" s="63"/>
      <c r="H163" s="38">
        <f t="shared" si="2"/>
        <v>-2.4999999999999911E-2</v>
      </c>
      <c r="J163" s="30"/>
      <c r="K163" s="30"/>
      <c r="L163" s="30"/>
      <c r="M163" s="30"/>
      <c r="N163" s="30"/>
      <c r="O163" s="30"/>
      <c r="P163" s="30"/>
    </row>
    <row r="164" spans="2:16">
      <c r="B164" s="61">
        <v>35548</v>
      </c>
      <c r="C164" s="64">
        <v>2.09</v>
      </c>
      <c r="D164" s="64">
        <v>2.2850000000000001</v>
      </c>
      <c r="E164" s="64">
        <v>2.0550000000000002</v>
      </c>
      <c r="F164" s="62">
        <v>2.2669999999999999</v>
      </c>
      <c r="G164" s="63"/>
      <c r="H164" s="38">
        <f t="shared" si="2"/>
        <v>0.14100000000000001</v>
      </c>
      <c r="J164" s="30"/>
      <c r="K164" s="30"/>
      <c r="L164" s="30"/>
      <c r="M164" s="30"/>
      <c r="N164" s="30"/>
      <c r="O164" s="30"/>
      <c r="P164" s="30"/>
    </row>
    <row r="165" spans="2:16">
      <c r="B165" s="61">
        <v>35541</v>
      </c>
      <c r="C165" s="64">
        <v>2.0550000000000002</v>
      </c>
      <c r="D165" s="64">
        <v>2.2000000000000002</v>
      </c>
      <c r="E165" s="64">
        <v>2.0350000000000001</v>
      </c>
      <c r="F165" s="62">
        <v>2.1259999999999999</v>
      </c>
      <c r="G165" s="63"/>
      <c r="H165" s="38">
        <f t="shared" si="2"/>
        <v>4.4999999999999929E-2</v>
      </c>
      <c r="J165" s="30"/>
      <c r="K165" s="30"/>
      <c r="L165" s="30"/>
      <c r="M165" s="30"/>
      <c r="N165" s="30"/>
      <c r="O165" s="30"/>
      <c r="P165" s="30"/>
    </row>
    <row r="166" spans="2:16">
      <c r="B166" s="61">
        <v>35534</v>
      </c>
      <c r="C166" s="64">
        <v>1.94</v>
      </c>
      <c r="D166" s="64">
        <v>2.09</v>
      </c>
      <c r="E166" s="64">
        <v>1.925</v>
      </c>
      <c r="F166" s="62">
        <v>2.081</v>
      </c>
      <c r="G166" s="63"/>
      <c r="H166" s="38">
        <f t="shared" si="2"/>
        <v>0.14799999999999991</v>
      </c>
      <c r="J166" s="30"/>
      <c r="K166" s="30"/>
      <c r="L166" s="30"/>
      <c r="M166" s="30"/>
      <c r="N166" s="30"/>
      <c r="O166" s="30"/>
      <c r="P166" s="30"/>
    </row>
    <row r="167" spans="2:16">
      <c r="B167" s="61">
        <v>35527</v>
      </c>
      <c r="C167" s="64">
        <v>1.98</v>
      </c>
      <c r="D167" s="64">
        <v>1.99</v>
      </c>
      <c r="E167" s="64">
        <v>1.88</v>
      </c>
      <c r="F167" s="62">
        <v>1.9330000000000001</v>
      </c>
      <c r="G167" s="63"/>
      <c r="H167" s="38">
        <f t="shared" si="2"/>
        <v>-8.999999999999897E-3</v>
      </c>
      <c r="J167" s="30"/>
      <c r="K167" s="30"/>
      <c r="L167" s="30"/>
      <c r="M167" s="30"/>
      <c r="N167" s="30"/>
      <c r="O167" s="30"/>
      <c r="P167" s="30"/>
    </row>
    <row r="168" spans="2:16">
      <c r="B168" s="61">
        <v>35520</v>
      </c>
      <c r="C168" s="64">
        <v>1.95</v>
      </c>
      <c r="D168" s="64">
        <v>1.95</v>
      </c>
      <c r="E168" s="64">
        <v>1.85</v>
      </c>
      <c r="F168" s="62">
        <v>1.9419999999999999</v>
      </c>
      <c r="G168" s="63"/>
      <c r="H168" s="38">
        <f t="shared" si="2"/>
        <v>1.4000000000000012E-2</v>
      </c>
      <c r="J168" s="30"/>
      <c r="K168" s="30"/>
      <c r="L168" s="30"/>
      <c r="M168" s="30"/>
      <c r="N168" s="30"/>
      <c r="O168" s="30"/>
      <c r="P168" s="30"/>
    </row>
    <row r="169" spans="2:16">
      <c r="B169" s="61">
        <v>35513</v>
      </c>
      <c r="C169" s="64">
        <v>1.83</v>
      </c>
      <c r="D169" s="64">
        <v>1.9350000000000001</v>
      </c>
      <c r="E169" s="64">
        <v>1.77</v>
      </c>
      <c r="F169" s="62">
        <v>1.9279999999999999</v>
      </c>
      <c r="G169" s="63"/>
      <c r="H169" s="38">
        <f t="shared" si="2"/>
        <v>8.7999999999999856E-2</v>
      </c>
      <c r="J169" s="30"/>
      <c r="K169" s="30"/>
      <c r="L169" s="30"/>
      <c r="M169" s="30"/>
      <c r="N169" s="30"/>
      <c r="O169" s="30"/>
      <c r="P169" s="30"/>
    </row>
    <row r="170" spans="2:16">
      <c r="B170" s="61">
        <v>35506</v>
      </c>
      <c r="C170" s="64">
        <v>1.9950000000000001</v>
      </c>
      <c r="D170" s="64">
        <v>2</v>
      </c>
      <c r="E170" s="64">
        <v>1.83</v>
      </c>
      <c r="F170" s="62">
        <v>1.84</v>
      </c>
      <c r="G170" s="63"/>
      <c r="H170" s="70">
        <f t="shared" si="2"/>
        <v>-0.11999999999999988</v>
      </c>
      <c r="J170" s="30"/>
      <c r="K170" s="30"/>
      <c r="L170" s="30"/>
      <c r="M170" s="30"/>
      <c r="N170" s="30"/>
      <c r="O170" s="30"/>
      <c r="P170" s="30"/>
    </row>
    <row r="171" spans="2:16">
      <c r="B171" s="61">
        <v>35499</v>
      </c>
      <c r="C171" s="64">
        <v>1.95</v>
      </c>
      <c r="D171" s="64">
        <v>2.04</v>
      </c>
      <c r="E171" s="64">
        <v>1.88</v>
      </c>
      <c r="F171" s="62">
        <v>1.96</v>
      </c>
      <c r="G171" s="63"/>
      <c r="H171" s="70">
        <f t="shared" si="2"/>
        <v>1.2999999999999901E-2</v>
      </c>
      <c r="J171" s="30"/>
      <c r="K171" s="30"/>
      <c r="L171" s="30"/>
      <c r="M171" s="30"/>
      <c r="N171" s="30"/>
      <c r="O171" s="30"/>
      <c r="P171" s="30"/>
    </row>
    <row r="172" spans="2:16">
      <c r="B172" s="61">
        <v>35492</v>
      </c>
      <c r="C172" s="64">
        <v>1.83</v>
      </c>
      <c r="D172" s="64">
        <v>1.9990000000000001</v>
      </c>
      <c r="E172" s="64">
        <v>1.78</v>
      </c>
      <c r="F172" s="62">
        <v>1.9470000000000001</v>
      </c>
      <c r="G172" s="63"/>
      <c r="H172" s="70">
        <f t="shared" si="2"/>
        <v>0.12600000000000011</v>
      </c>
      <c r="J172" s="30"/>
      <c r="K172" s="30"/>
      <c r="L172" s="30"/>
      <c r="M172" s="30"/>
      <c r="N172" s="30"/>
      <c r="O172" s="30"/>
      <c r="P172" s="30"/>
    </row>
    <row r="173" spans="2:16">
      <c r="B173" s="61">
        <v>35485</v>
      </c>
      <c r="C173" s="64">
        <v>1.92</v>
      </c>
      <c r="D173" s="64">
        <v>1.95</v>
      </c>
      <c r="E173" s="64">
        <v>1.68</v>
      </c>
      <c r="F173" s="62">
        <v>1.821</v>
      </c>
      <c r="G173" s="63"/>
      <c r="H173" s="70">
        <f t="shared" si="2"/>
        <v>-0.11499999999999999</v>
      </c>
      <c r="J173" s="30"/>
      <c r="K173" s="30"/>
      <c r="L173" s="30"/>
      <c r="M173" s="30"/>
      <c r="N173" s="30"/>
      <c r="O173" s="30"/>
      <c r="P173" s="30"/>
    </row>
    <row r="174" spans="2:16">
      <c r="B174" s="61">
        <v>35479</v>
      </c>
      <c r="C174" s="64">
        <v>1.86</v>
      </c>
      <c r="D174" s="64">
        <v>2.0499999999999998</v>
      </c>
      <c r="E174" s="64">
        <v>1.85</v>
      </c>
      <c r="F174" s="62">
        <v>1.9359999999999999</v>
      </c>
      <c r="G174" s="63"/>
      <c r="H174" s="70">
        <f t="shared" si="2"/>
        <v>-3.0000000000000027E-2</v>
      </c>
      <c r="J174" s="30"/>
      <c r="K174" s="30"/>
      <c r="L174" s="30"/>
      <c r="M174" s="30"/>
      <c r="N174" s="30"/>
      <c r="O174" s="30"/>
      <c r="P174" s="30"/>
    </row>
    <row r="175" spans="2:16" customFormat="1" ht="11.25" customHeight="1">
      <c r="B175" s="72">
        <v>35471</v>
      </c>
      <c r="C175" s="108">
        <v>2.2400000000000002</v>
      </c>
      <c r="D175" s="109">
        <v>2.2599999999999998</v>
      </c>
      <c r="E175" s="109">
        <v>1.95</v>
      </c>
      <c r="F175" s="73">
        <v>1.966</v>
      </c>
      <c r="G175" s="65"/>
      <c r="H175" s="70">
        <f t="shared" si="2"/>
        <v>-0.21599999999999997</v>
      </c>
      <c r="I175" s="21"/>
      <c r="J175" s="39"/>
      <c r="K175" s="40"/>
      <c r="L175" s="41"/>
      <c r="M175" s="42"/>
      <c r="N175" s="42"/>
      <c r="O175" s="43"/>
      <c r="P175" s="43"/>
    </row>
    <row r="176" spans="2:16">
      <c r="B176" s="61">
        <v>35464</v>
      </c>
      <c r="C176" s="110">
        <v>2.3050000000000002</v>
      </c>
      <c r="D176" s="110">
        <v>2.52</v>
      </c>
      <c r="E176" s="110">
        <v>2.17</v>
      </c>
      <c r="F176" s="74">
        <v>2.1819999999999999</v>
      </c>
      <c r="G176" s="66"/>
      <c r="H176" s="70">
        <f t="shared" si="2"/>
        <v>-0.20299999999999985</v>
      </c>
      <c r="J176" s="30"/>
      <c r="K176" s="44"/>
      <c r="L176" s="45"/>
      <c r="M176" s="46"/>
      <c r="N176" s="44"/>
      <c r="O176" s="47"/>
      <c r="P176" s="47"/>
    </row>
    <row r="177" spans="2:16">
      <c r="B177" s="61">
        <v>35457</v>
      </c>
      <c r="C177" s="110">
        <v>2.9</v>
      </c>
      <c r="D177" s="110">
        <v>3.06</v>
      </c>
      <c r="E177" s="110">
        <v>2.38</v>
      </c>
      <c r="F177" s="74">
        <v>2.3849999999999998</v>
      </c>
      <c r="G177" s="67"/>
      <c r="H177" s="70">
        <f t="shared" si="2"/>
        <v>-0.43900000000000006</v>
      </c>
      <c r="J177" s="48"/>
      <c r="K177" s="49"/>
      <c r="L177" s="49"/>
      <c r="M177" s="49"/>
      <c r="N177" s="49"/>
      <c r="O177" s="49"/>
      <c r="P177" s="30"/>
    </row>
    <row r="178" spans="2:16">
      <c r="B178" s="71">
        <v>35450</v>
      </c>
      <c r="C178" s="110">
        <v>3.02</v>
      </c>
      <c r="D178" s="110">
        <v>3.1</v>
      </c>
      <c r="E178" s="110">
        <v>2.6549999999999998</v>
      </c>
      <c r="F178" s="74">
        <v>2.8239999999999998</v>
      </c>
      <c r="G178" s="68"/>
      <c r="H178" s="70">
        <f t="shared" si="2"/>
        <v>-0.43300000000000027</v>
      </c>
      <c r="J178" s="50"/>
      <c r="K178" s="44"/>
      <c r="L178" s="44"/>
      <c r="M178" s="44"/>
      <c r="N178" s="44"/>
      <c r="O178" s="44"/>
      <c r="P178" s="46"/>
    </row>
    <row r="179" spans="2:16">
      <c r="B179" s="61">
        <v>35443</v>
      </c>
      <c r="C179" s="110">
        <v>3.28</v>
      </c>
      <c r="D179" s="110">
        <v>3.64</v>
      </c>
      <c r="E179" s="110">
        <v>3.08</v>
      </c>
      <c r="F179" s="74">
        <v>3.2570000000000001</v>
      </c>
      <c r="G179" s="69"/>
      <c r="H179" s="70">
        <f t="shared" si="2"/>
        <v>-5.9000000000000163E-2</v>
      </c>
      <c r="J179" s="52"/>
      <c r="K179" s="49"/>
      <c r="L179" s="49"/>
      <c r="M179" s="49"/>
      <c r="N179" s="49"/>
      <c r="O179" s="51"/>
      <c r="P179" s="49"/>
    </row>
    <row r="180" spans="2:16">
      <c r="B180" s="61">
        <v>35436</v>
      </c>
      <c r="C180" s="110">
        <v>3.52</v>
      </c>
      <c r="D180" s="110">
        <v>3.84</v>
      </c>
      <c r="E180" s="110">
        <v>3.25</v>
      </c>
      <c r="F180" s="74">
        <v>3.3160000000000003</v>
      </c>
      <c r="G180" s="69"/>
      <c r="H180" s="70">
        <f t="shared" si="2"/>
        <v>0.21000000000000041</v>
      </c>
      <c r="J180" s="52"/>
      <c r="K180" s="49"/>
      <c r="L180" s="49"/>
      <c r="M180" s="49"/>
      <c r="N180" s="49"/>
      <c r="O180" s="51"/>
      <c r="P180" s="49"/>
    </row>
    <row r="181" spans="2:16">
      <c r="B181" s="61">
        <v>35429</v>
      </c>
      <c r="C181" s="110">
        <v>2.8</v>
      </c>
      <c r="D181" s="110">
        <v>3.11</v>
      </c>
      <c r="E181" s="110">
        <v>2.63</v>
      </c>
      <c r="F181" s="74">
        <v>3.1059999999999999</v>
      </c>
      <c r="G181" s="69"/>
      <c r="H181" s="70">
        <f t="shared" si="2"/>
        <v>0.12199999999999989</v>
      </c>
      <c r="J181" s="52"/>
      <c r="K181" s="49"/>
      <c r="L181" s="49"/>
      <c r="M181" s="49"/>
      <c r="N181" s="49"/>
      <c r="O181" s="51"/>
      <c r="P181" s="49"/>
    </row>
    <row r="182" spans="2:16">
      <c r="B182" s="61">
        <v>35422</v>
      </c>
      <c r="C182" s="110">
        <v>4.13</v>
      </c>
      <c r="D182" s="110">
        <v>4.43</v>
      </c>
      <c r="E182" s="110">
        <v>2.96</v>
      </c>
      <c r="F182" s="74">
        <v>2.984</v>
      </c>
      <c r="G182" s="69"/>
      <c r="H182" s="70">
        <f t="shared" si="2"/>
        <v>-1.5890000000000004</v>
      </c>
      <c r="J182" s="52"/>
      <c r="K182" s="49"/>
      <c r="L182" s="49"/>
      <c r="M182" s="49"/>
      <c r="N182" s="49"/>
      <c r="O182" s="51"/>
      <c r="P182" s="49"/>
    </row>
    <row r="183" spans="2:16">
      <c r="B183" s="61">
        <v>35415</v>
      </c>
      <c r="C183" s="110">
        <v>4.05</v>
      </c>
      <c r="D183" s="110">
        <v>4.5999999999999996</v>
      </c>
      <c r="E183" s="110">
        <v>3.9</v>
      </c>
      <c r="F183" s="74">
        <v>4.5730000000000004</v>
      </c>
      <c r="G183" s="69"/>
      <c r="H183" s="70">
        <f t="shared" si="2"/>
        <v>0.72200000000000042</v>
      </c>
      <c r="J183" s="52"/>
      <c r="K183" s="49"/>
      <c r="L183" s="49"/>
      <c r="M183" s="49"/>
      <c r="N183" s="49"/>
      <c r="O183" s="51"/>
      <c r="P183" s="49"/>
    </row>
    <row r="184" spans="2:16">
      <c r="B184" s="61">
        <v>35408</v>
      </c>
      <c r="C184" s="110">
        <v>3.28</v>
      </c>
      <c r="D184" s="110">
        <v>3.87</v>
      </c>
      <c r="E184" s="110">
        <v>3.19</v>
      </c>
      <c r="F184" s="74">
        <v>3.851</v>
      </c>
      <c r="G184" s="69"/>
      <c r="H184" s="70">
        <f t="shared" si="2"/>
        <v>0.36399999999999988</v>
      </c>
      <c r="J184" s="52"/>
      <c r="K184" s="49"/>
      <c r="L184" s="49"/>
      <c r="M184" s="49"/>
      <c r="N184" s="49"/>
      <c r="O184" s="51"/>
      <c r="P184" s="49"/>
    </row>
    <row r="185" spans="2:16">
      <c r="B185" s="61">
        <v>35401</v>
      </c>
      <c r="C185" s="110">
        <v>3.37</v>
      </c>
      <c r="D185" s="110">
        <v>3.8</v>
      </c>
      <c r="E185" s="110">
        <v>3.11</v>
      </c>
      <c r="F185" s="74">
        <v>3.4870000000000001</v>
      </c>
      <c r="G185" s="69"/>
      <c r="H185" s="70">
        <f t="shared" si="2"/>
        <v>-9.9999999999997868E-3</v>
      </c>
      <c r="J185" s="52"/>
      <c r="K185" s="49"/>
      <c r="L185" s="49"/>
      <c r="M185" s="49"/>
      <c r="N185" s="49"/>
      <c r="O185" s="51"/>
      <c r="P185" s="49"/>
    </row>
    <row r="186" spans="2:16">
      <c r="B186" s="61">
        <v>35394</v>
      </c>
      <c r="C186" s="110">
        <v>3.44</v>
      </c>
      <c r="D186" s="110">
        <v>3.6</v>
      </c>
      <c r="E186" s="110">
        <v>3.34</v>
      </c>
      <c r="F186" s="74">
        <v>3.4969999999999999</v>
      </c>
      <c r="G186" s="69"/>
      <c r="H186" s="70">
        <f t="shared" si="2"/>
        <v>5.9999999999999609E-2</v>
      </c>
      <c r="J186" s="52"/>
      <c r="K186" s="49"/>
      <c r="L186" s="49"/>
      <c r="M186" s="49"/>
      <c r="N186" s="49"/>
      <c r="O186" s="51"/>
      <c r="P186" s="49"/>
    </row>
    <row r="187" spans="2:16">
      <c r="B187" s="61">
        <v>35387</v>
      </c>
      <c r="C187" s="110">
        <v>2.89</v>
      </c>
      <c r="D187" s="110">
        <v>4.05</v>
      </c>
      <c r="E187" s="110">
        <v>2.85</v>
      </c>
      <c r="F187" s="74">
        <v>3.4370000000000003</v>
      </c>
      <c r="G187" s="69"/>
      <c r="H187" s="70">
        <f t="shared" si="2"/>
        <v>0.52900000000000036</v>
      </c>
      <c r="J187" s="52"/>
      <c r="K187" s="49"/>
      <c r="L187" s="49"/>
      <c r="M187" s="49"/>
      <c r="N187" s="49"/>
      <c r="O187" s="51"/>
      <c r="P187" s="49"/>
    </row>
    <row r="188" spans="2:16">
      <c r="B188" s="61">
        <v>35380</v>
      </c>
      <c r="C188" s="110">
        <v>2.72</v>
      </c>
      <c r="D188" s="110">
        <v>2.94</v>
      </c>
      <c r="E188" s="110">
        <v>2.6150000000000002</v>
      </c>
      <c r="F188" s="74">
        <v>2.9079999999999999</v>
      </c>
      <c r="G188" s="69"/>
      <c r="H188" s="70">
        <f t="shared" si="2"/>
        <v>0.23899999999999988</v>
      </c>
      <c r="J188" s="52"/>
      <c r="K188" s="49"/>
      <c r="L188" s="49"/>
      <c r="M188" s="49"/>
      <c r="N188" s="49"/>
      <c r="O188" s="51"/>
      <c r="P188" s="49"/>
    </row>
    <row r="189" spans="2:16">
      <c r="B189" s="61">
        <v>35373</v>
      </c>
      <c r="C189" s="110">
        <v>2.69</v>
      </c>
      <c r="D189" s="110">
        <v>2.7450000000000001</v>
      </c>
      <c r="E189" s="110">
        <v>2.5299999999999998</v>
      </c>
      <c r="F189" s="75">
        <v>2.669</v>
      </c>
      <c r="G189" s="63"/>
      <c r="H189" s="70">
        <f t="shared" si="2"/>
        <v>7.0000000000001172E-3</v>
      </c>
      <c r="J189" s="30"/>
      <c r="K189" s="30"/>
      <c r="L189" s="30"/>
      <c r="M189" s="30"/>
      <c r="N189" s="30"/>
      <c r="O189" s="30"/>
      <c r="P189" s="30"/>
    </row>
    <row r="190" spans="2:16">
      <c r="B190" s="61">
        <v>35366</v>
      </c>
      <c r="C190" s="110">
        <v>2.72</v>
      </c>
      <c r="D190" s="110">
        <v>2.875</v>
      </c>
      <c r="E190" s="110">
        <v>2.6349999999999998</v>
      </c>
      <c r="F190" s="75">
        <v>2.6619999999999999</v>
      </c>
      <c r="G190" s="63"/>
      <c r="H190" s="70">
        <f t="shared" si="2"/>
        <v>9.9999999999997868E-3</v>
      </c>
      <c r="J190" s="30"/>
      <c r="K190" s="30"/>
      <c r="L190" s="30"/>
      <c r="M190" s="30"/>
      <c r="N190" s="30"/>
      <c r="O190" s="30"/>
      <c r="P190" s="30"/>
    </row>
    <row r="191" spans="2:16">
      <c r="B191" s="72">
        <v>35359</v>
      </c>
      <c r="C191" s="108">
        <v>2.4</v>
      </c>
      <c r="D191" s="109">
        <v>2.7</v>
      </c>
      <c r="E191" s="109">
        <v>2.38</v>
      </c>
      <c r="F191" s="73">
        <v>2.6520000000000001</v>
      </c>
      <c r="G191" s="65"/>
      <c r="H191" s="70">
        <f t="shared" si="2"/>
        <v>0.25200000000000022</v>
      </c>
      <c r="J191" s="39"/>
      <c r="K191" s="40"/>
      <c r="L191" s="41"/>
      <c r="M191" s="42"/>
      <c r="N191" s="42"/>
      <c r="O191" s="43"/>
      <c r="P191" s="43"/>
    </row>
    <row r="192" spans="2:16">
      <c r="B192" s="71">
        <v>35352</v>
      </c>
      <c r="C192" s="110">
        <v>2.31</v>
      </c>
      <c r="D192" s="110">
        <v>2.4900000000000002</v>
      </c>
      <c r="E192" s="110">
        <v>2.2749999999999999</v>
      </c>
      <c r="F192" s="74">
        <v>2.4</v>
      </c>
      <c r="G192" s="66"/>
      <c r="H192" s="70">
        <f t="shared" si="2"/>
        <v>5.2999999999999936E-2</v>
      </c>
      <c r="J192" s="30"/>
      <c r="K192" s="53"/>
      <c r="L192" s="45"/>
      <c r="M192" s="46"/>
      <c r="N192" s="44"/>
      <c r="O192" s="47"/>
      <c r="P192" s="47"/>
    </row>
    <row r="193" spans="2:16">
      <c r="B193" s="71">
        <v>35345</v>
      </c>
      <c r="C193" s="110">
        <v>2.4</v>
      </c>
      <c r="D193" s="110">
        <v>2.59</v>
      </c>
      <c r="E193" s="110">
        <v>2.3149999999999999</v>
      </c>
      <c r="F193" s="74">
        <v>2.347</v>
      </c>
      <c r="G193" s="67"/>
      <c r="H193" s="70">
        <f t="shared" si="2"/>
        <v>-4.8999999999999932E-2</v>
      </c>
      <c r="J193" s="48"/>
      <c r="K193" s="49"/>
      <c r="L193" s="49"/>
      <c r="M193" s="49"/>
      <c r="N193" s="49"/>
      <c r="O193" s="49"/>
      <c r="P193" s="30"/>
    </row>
    <row r="194" spans="2:16">
      <c r="B194" s="71">
        <v>35338</v>
      </c>
      <c r="C194" s="110">
        <v>2.1800000000000002</v>
      </c>
      <c r="D194" s="110">
        <v>2.41</v>
      </c>
      <c r="E194" s="110">
        <v>2.161</v>
      </c>
      <c r="F194" s="74">
        <v>2.3959999999999999</v>
      </c>
      <c r="G194" s="68"/>
      <c r="H194" s="70">
        <f t="shared" si="2"/>
        <v>0.21499999999999986</v>
      </c>
      <c r="J194" s="50"/>
      <c r="K194" s="44"/>
      <c r="L194" s="44"/>
      <c r="M194" s="44"/>
      <c r="N194" s="44"/>
      <c r="O194" s="44"/>
      <c r="P194" s="46"/>
    </row>
    <row r="195" spans="2:16">
      <c r="B195" s="61">
        <v>35331</v>
      </c>
      <c r="C195" s="110">
        <v>1.94</v>
      </c>
      <c r="D195" s="110">
        <v>2.1850000000000001</v>
      </c>
      <c r="E195" s="110">
        <v>1.81</v>
      </c>
      <c r="F195" s="74">
        <v>2.181</v>
      </c>
      <c r="G195" s="69"/>
      <c r="H195" s="70">
        <f t="shared" si="2"/>
        <v>0.21599999999999997</v>
      </c>
      <c r="J195" s="52"/>
      <c r="K195" s="49"/>
      <c r="L195" s="49"/>
      <c r="M195" s="49"/>
      <c r="N195" s="49"/>
      <c r="O195" s="49"/>
      <c r="P195" s="49"/>
    </row>
    <row r="196" spans="2:16">
      <c r="B196" s="61">
        <v>35324</v>
      </c>
      <c r="C196" s="110">
        <v>1.89</v>
      </c>
      <c r="D196" s="110">
        <v>2.1</v>
      </c>
      <c r="E196" s="110">
        <v>1.885</v>
      </c>
      <c r="F196" s="74">
        <v>1.9650000000000001</v>
      </c>
      <c r="G196" s="69"/>
      <c r="H196" s="70">
        <f t="shared" si="2"/>
        <v>0.10099999999999998</v>
      </c>
      <c r="J196" s="52"/>
      <c r="K196" s="49"/>
      <c r="L196" s="49"/>
      <c r="M196" s="49"/>
      <c r="N196" s="49"/>
      <c r="O196" s="49"/>
      <c r="P196" s="49"/>
    </row>
    <row r="197" spans="2:16">
      <c r="B197" s="61">
        <v>35317</v>
      </c>
      <c r="C197" s="110">
        <v>1.89</v>
      </c>
      <c r="D197" s="110">
        <v>1.91</v>
      </c>
      <c r="E197" s="110">
        <v>1.76</v>
      </c>
      <c r="F197" s="74">
        <v>1.8640000000000001</v>
      </c>
      <c r="G197" s="69"/>
      <c r="H197" s="70">
        <f t="shared" si="2"/>
        <v>1.0000000000001119E-3</v>
      </c>
      <c r="J197" s="52"/>
      <c r="K197" s="49"/>
      <c r="L197" s="49"/>
      <c r="M197" s="49"/>
      <c r="N197" s="49"/>
      <c r="O197" s="49"/>
      <c r="P197" s="49"/>
    </row>
    <row r="198" spans="2:16">
      <c r="B198" s="61">
        <v>35311</v>
      </c>
      <c r="C198" s="110">
        <v>1.87</v>
      </c>
      <c r="D198" s="110">
        <v>1.88</v>
      </c>
      <c r="E198" s="110">
        <v>1.74</v>
      </c>
      <c r="F198" s="74">
        <v>1.863</v>
      </c>
      <c r="G198" s="69"/>
      <c r="H198" s="70">
        <f t="shared" si="2"/>
        <v>4.0000000000000036E-3</v>
      </c>
      <c r="J198" s="52"/>
      <c r="K198" s="49"/>
      <c r="L198" s="49"/>
      <c r="M198" s="49"/>
      <c r="N198" s="49"/>
      <c r="O198" s="49"/>
      <c r="P198" s="49"/>
    </row>
    <row r="199" spans="2:16">
      <c r="B199" s="61">
        <v>35303</v>
      </c>
      <c r="C199" s="110">
        <v>1.98</v>
      </c>
      <c r="D199" s="110">
        <v>1.99</v>
      </c>
      <c r="E199" s="110">
        <v>1.82</v>
      </c>
      <c r="F199" s="74">
        <v>1.859</v>
      </c>
      <c r="G199" s="69"/>
      <c r="H199" s="70">
        <f t="shared" si="2"/>
        <v>-9.099999999999997E-2</v>
      </c>
      <c r="J199" s="52"/>
      <c r="K199" s="49"/>
      <c r="L199" s="49"/>
      <c r="M199" s="49"/>
      <c r="N199" s="49"/>
      <c r="O199" s="49"/>
      <c r="P199" s="49"/>
    </row>
    <row r="200" spans="2:16">
      <c r="B200" s="61">
        <v>35296</v>
      </c>
      <c r="C200" s="110">
        <v>2.14</v>
      </c>
      <c r="D200" s="110">
        <v>2.19</v>
      </c>
      <c r="E200" s="110">
        <v>1.9</v>
      </c>
      <c r="F200" s="74">
        <v>1.95</v>
      </c>
      <c r="G200" s="69"/>
      <c r="H200" s="70">
        <f t="shared" si="2"/>
        <v>-0.19000000000000017</v>
      </c>
      <c r="J200" s="52"/>
      <c r="K200" s="49"/>
      <c r="L200" s="49"/>
      <c r="M200" s="49"/>
      <c r="N200" s="49"/>
      <c r="O200" s="49"/>
      <c r="P200" s="49"/>
    </row>
    <row r="201" spans="2:16">
      <c r="B201" s="61">
        <v>35289</v>
      </c>
      <c r="C201" s="110">
        <v>2.0750000000000002</v>
      </c>
      <c r="D201" s="110">
        <v>2.15</v>
      </c>
      <c r="E201" s="110">
        <v>2.0209999999999999</v>
      </c>
      <c r="F201" s="74">
        <v>2.14</v>
      </c>
      <c r="G201" s="69"/>
      <c r="H201" s="70">
        <f t="shared" si="2"/>
        <v>3.6999999999999922E-2</v>
      </c>
      <c r="J201" s="52"/>
      <c r="K201" s="49"/>
      <c r="L201" s="49"/>
      <c r="M201" s="49"/>
      <c r="N201" s="49"/>
      <c r="O201" s="49"/>
      <c r="P201" s="49"/>
    </row>
    <row r="202" spans="2:16">
      <c r="B202" s="61">
        <v>35282</v>
      </c>
      <c r="C202" s="110">
        <v>2.2949999999999999</v>
      </c>
      <c r="D202" s="110">
        <v>2.3250000000000002</v>
      </c>
      <c r="E202" s="110">
        <v>1.9750000000000001</v>
      </c>
      <c r="F202" s="74">
        <v>2.1030000000000002</v>
      </c>
      <c r="G202" s="69"/>
      <c r="H202" s="70">
        <f t="shared" si="2"/>
        <v>-0.21199999999999974</v>
      </c>
      <c r="J202" s="52"/>
      <c r="K202" s="49"/>
      <c r="L202" s="49"/>
      <c r="M202" s="49"/>
      <c r="N202" s="49"/>
      <c r="O202" s="49"/>
      <c r="P202" s="49"/>
    </row>
    <row r="203" spans="2:16">
      <c r="B203" s="61">
        <v>35275</v>
      </c>
      <c r="C203" s="110">
        <v>2.12</v>
      </c>
      <c r="D203" s="110">
        <v>2.34</v>
      </c>
      <c r="E203" s="110">
        <v>1.9950000000000001</v>
      </c>
      <c r="F203" s="74">
        <v>2.3149999999999999</v>
      </c>
      <c r="G203" s="69"/>
      <c r="H203" s="70">
        <f t="shared" si="2"/>
        <v>0.12299999999999978</v>
      </c>
      <c r="J203" s="52"/>
      <c r="K203" s="49"/>
      <c r="L203" s="49"/>
      <c r="M203" s="49"/>
      <c r="N203" s="49"/>
      <c r="O203" s="49"/>
      <c r="P203" s="49"/>
    </row>
    <row r="204" spans="2:16">
      <c r="B204" s="61">
        <v>35268</v>
      </c>
      <c r="C204" s="110">
        <v>2.31</v>
      </c>
      <c r="D204" s="110">
        <v>2.5049999999999999</v>
      </c>
      <c r="E204" s="110">
        <v>2.16</v>
      </c>
      <c r="F204" s="74">
        <v>2.1920000000000002</v>
      </c>
      <c r="G204" s="69"/>
      <c r="H204" s="70">
        <f t="shared" si="2"/>
        <v>-0.16699999999999982</v>
      </c>
      <c r="J204" s="52"/>
      <c r="K204" s="49"/>
      <c r="L204" s="49"/>
      <c r="M204" s="49"/>
      <c r="N204" s="49"/>
      <c r="O204" s="49"/>
      <c r="P204" s="49"/>
    </row>
    <row r="205" spans="2:16">
      <c r="B205" s="61">
        <v>35261</v>
      </c>
      <c r="C205" s="110">
        <v>2.7749999999999999</v>
      </c>
      <c r="D205" s="110">
        <v>2.7949999999999999</v>
      </c>
      <c r="E205" s="110">
        <v>2.3450000000000002</v>
      </c>
      <c r="F205" s="74">
        <v>2.359</v>
      </c>
      <c r="G205" s="67"/>
      <c r="H205" s="70">
        <f t="shared" si="2"/>
        <v>-0.40200000000000014</v>
      </c>
      <c r="J205" s="30"/>
      <c r="K205" s="30"/>
      <c r="L205" s="30"/>
      <c r="M205" s="30"/>
      <c r="N205" s="30"/>
      <c r="O205" s="30"/>
      <c r="P205" s="30"/>
    </row>
    <row r="206" spans="2:16">
      <c r="B206" s="61">
        <v>35254</v>
      </c>
      <c r="C206" s="110">
        <v>2.92</v>
      </c>
      <c r="D206" s="110">
        <v>2.92</v>
      </c>
      <c r="E206" s="110">
        <v>2.65</v>
      </c>
      <c r="F206" s="74">
        <v>2.7610000000000001</v>
      </c>
      <c r="G206" s="67"/>
      <c r="H206" s="70">
        <f t="shared" ref="H206:H269" si="3">F206-F207</f>
        <v>-8.0000000000000071E-2</v>
      </c>
      <c r="J206" s="30"/>
      <c r="K206" s="30"/>
      <c r="L206" s="30"/>
      <c r="M206" s="30"/>
      <c r="N206" s="30"/>
      <c r="O206" s="30"/>
      <c r="P206" s="30"/>
    </row>
    <row r="207" spans="2:16">
      <c r="B207" s="72">
        <v>35247</v>
      </c>
      <c r="C207" s="108">
        <v>2.8</v>
      </c>
      <c r="D207" s="109">
        <v>2.8450000000000002</v>
      </c>
      <c r="E207" s="109">
        <v>2.7050000000000001</v>
      </c>
      <c r="F207" s="73">
        <v>2.8410000000000002</v>
      </c>
      <c r="G207" s="65"/>
      <c r="H207" s="70">
        <f t="shared" si="3"/>
        <v>-6.999999999999984E-2</v>
      </c>
      <c r="J207" s="39"/>
      <c r="K207" s="40"/>
      <c r="L207" s="41"/>
      <c r="M207" s="42"/>
      <c r="N207" s="42"/>
      <c r="O207" s="43"/>
      <c r="P207" s="43"/>
    </row>
    <row r="208" spans="2:16">
      <c r="B208" s="61">
        <v>35240</v>
      </c>
      <c r="C208" s="110">
        <v>2.64</v>
      </c>
      <c r="D208" s="110">
        <v>2.98</v>
      </c>
      <c r="E208" s="110">
        <v>2.62</v>
      </c>
      <c r="F208" s="74">
        <v>2.911</v>
      </c>
      <c r="G208" s="66"/>
      <c r="H208" s="70">
        <f t="shared" si="3"/>
        <v>0.27099999999999991</v>
      </c>
      <c r="J208" s="30"/>
      <c r="K208" s="44"/>
      <c r="L208" s="45"/>
      <c r="M208" s="46"/>
      <c r="N208" s="44"/>
      <c r="O208" s="47"/>
      <c r="P208" s="47"/>
    </row>
    <row r="209" spans="2:16">
      <c r="B209" s="61">
        <v>35233</v>
      </c>
      <c r="C209" s="110">
        <v>2.5099999999999998</v>
      </c>
      <c r="D209" s="110">
        <v>2.7</v>
      </c>
      <c r="E209" s="110">
        <v>2.4900000000000002</v>
      </c>
      <c r="F209" s="74">
        <v>2.64</v>
      </c>
      <c r="G209" s="67"/>
      <c r="H209" s="70">
        <f t="shared" si="3"/>
        <v>0.13100000000000023</v>
      </c>
      <c r="J209" s="48"/>
      <c r="K209" s="49"/>
      <c r="L209" s="49"/>
      <c r="M209" s="49"/>
      <c r="N209" s="49"/>
      <c r="O209" s="49"/>
      <c r="P209" s="30"/>
    </row>
    <row r="210" spans="2:16">
      <c r="B210" s="71">
        <v>35226</v>
      </c>
      <c r="C210" s="110">
        <v>2.4</v>
      </c>
      <c r="D210" s="110">
        <v>2.5150000000000001</v>
      </c>
      <c r="E210" s="110">
        <v>2.38</v>
      </c>
      <c r="F210" s="74">
        <v>2.5089999999999999</v>
      </c>
      <c r="G210" s="68"/>
      <c r="H210" s="70">
        <f t="shared" si="3"/>
        <v>0.11399999999999988</v>
      </c>
      <c r="J210" s="50"/>
      <c r="K210" s="44"/>
      <c r="L210" s="44"/>
      <c r="M210" s="44"/>
      <c r="N210" s="44"/>
      <c r="O210" s="44"/>
      <c r="P210" s="46"/>
    </row>
    <row r="211" spans="2:16">
      <c r="B211" s="61">
        <v>35219</v>
      </c>
      <c r="C211" s="110">
        <v>2.38</v>
      </c>
      <c r="D211" s="110">
        <v>2.42</v>
      </c>
      <c r="E211" s="110">
        <v>2.335</v>
      </c>
      <c r="F211" s="76">
        <v>2.395</v>
      </c>
      <c r="G211" s="67"/>
      <c r="H211" s="70">
        <f t="shared" si="3"/>
        <v>-1.1000000000000121E-2</v>
      </c>
      <c r="J211" s="52"/>
      <c r="K211" s="49"/>
      <c r="L211" s="49"/>
      <c r="M211" s="49"/>
      <c r="N211" s="49"/>
      <c r="O211" s="49"/>
      <c r="P211" s="49"/>
    </row>
    <row r="212" spans="2:16" ht="12" customHeight="1">
      <c r="B212" s="61">
        <v>35213</v>
      </c>
      <c r="C212" s="110">
        <v>2.375</v>
      </c>
      <c r="D212" s="110">
        <v>2.4550000000000001</v>
      </c>
      <c r="E212" s="110">
        <v>2.3650000000000002</v>
      </c>
      <c r="F212" s="76">
        <v>2.4060000000000001</v>
      </c>
      <c r="G212" s="67"/>
      <c r="H212" s="70">
        <f t="shared" si="3"/>
        <v>4.4999999999999929E-2</v>
      </c>
      <c r="J212" s="52"/>
      <c r="K212" s="49"/>
      <c r="L212" s="49"/>
      <c r="M212" s="49"/>
      <c r="N212" s="49"/>
      <c r="O212" s="49"/>
      <c r="P212" s="49"/>
    </row>
    <row r="213" spans="2:16">
      <c r="B213" s="61">
        <v>35205</v>
      </c>
      <c r="C213" s="110">
        <v>2.31</v>
      </c>
      <c r="D213" s="110">
        <v>2.37</v>
      </c>
      <c r="E213" s="110">
        <v>2.2850000000000001</v>
      </c>
      <c r="F213" s="76">
        <v>2.3610000000000002</v>
      </c>
      <c r="G213" s="67"/>
      <c r="H213" s="70">
        <f t="shared" si="3"/>
        <v>7.6999999999999957E-2</v>
      </c>
      <c r="J213" s="52"/>
      <c r="K213" s="49"/>
      <c r="L213" s="49"/>
      <c r="M213" s="49"/>
      <c r="N213" s="49"/>
      <c r="O213" s="49"/>
      <c r="P213" s="49"/>
    </row>
    <row r="214" spans="2:16">
      <c r="B214" s="61">
        <v>35198</v>
      </c>
      <c r="C214" s="110">
        <v>2.2250000000000001</v>
      </c>
      <c r="D214" s="110">
        <v>2.3199999999999998</v>
      </c>
      <c r="E214" s="110">
        <v>2.2200000000000002</v>
      </c>
      <c r="F214" s="76">
        <v>2.2840000000000003</v>
      </c>
      <c r="G214" s="67"/>
      <c r="H214" s="70">
        <f t="shared" si="3"/>
        <v>8.0000000000000071E-2</v>
      </c>
      <c r="J214" s="52"/>
      <c r="K214" s="49"/>
      <c r="L214" s="49"/>
      <c r="M214" s="49"/>
      <c r="N214" s="49"/>
      <c r="O214" s="49"/>
      <c r="P214" s="49"/>
    </row>
    <row r="215" spans="2:16">
      <c r="B215" s="61">
        <v>35191</v>
      </c>
      <c r="C215" s="110">
        <v>2.14</v>
      </c>
      <c r="D215" s="110">
        <v>2.2400000000000002</v>
      </c>
      <c r="E215" s="110">
        <v>2.13</v>
      </c>
      <c r="F215" s="76">
        <v>2.2040000000000002</v>
      </c>
      <c r="G215" s="67"/>
      <c r="H215" s="70">
        <f t="shared" si="3"/>
        <v>7.2999999999999954E-2</v>
      </c>
      <c r="J215" s="52"/>
      <c r="K215" s="49"/>
      <c r="L215" s="49"/>
      <c r="M215" s="49"/>
      <c r="N215" s="49"/>
      <c r="O215" s="49"/>
      <c r="P215" s="49"/>
    </row>
    <row r="216" spans="2:16">
      <c r="B216" s="61">
        <v>35184</v>
      </c>
      <c r="C216" s="110">
        <v>2.1749999999999998</v>
      </c>
      <c r="D216" s="110">
        <v>2.2450000000000001</v>
      </c>
      <c r="E216" s="110">
        <v>2.1150000000000002</v>
      </c>
      <c r="F216" s="76">
        <v>2.1310000000000002</v>
      </c>
      <c r="G216" s="67"/>
      <c r="H216" s="70">
        <f t="shared" si="3"/>
        <v>-7.5999999999999623E-2</v>
      </c>
      <c r="J216" s="52"/>
      <c r="K216" s="49"/>
      <c r="L216" s="49"/>
      <c r="M216" s="49"/>
      <c r="N216" s="49"/>
      <c r="O216" s="49"/>
      <c r="P216" s="49"/>
    </row>
    <row r="217" spans="2:16">
      <c r="B217" s="61">
        <v>35177</v>
      </c>
      <c r="C217" s="110">
        <v>2.34</v>
      </c>
      <c r="D217" s="110">
        <v>2.38</v>
      </c>
      <c r="E217" s="110">
        <v>2.1800000000000002</v>
      </c>
      <c r="F217" s="76">
        <v>2.2069999999999999</v>
      </c>
      <c r="G217" s="67"/>
      <c r="H217" s="70">
        <f t="shared" si="3"/>
        <v>-0.15400000000000036</v>
      </c>
      <c r="J217" s="52"/>
      <c r="K217" s="49"/>
      <c r="L217" s="49"/>
      <c r="M217" s="49"/>
      <c r="N217" s="49"/>
      <c r="O217" s="49"/>
      <c r="P217" s="49"/>
    </row>
    <row r="218" spans="2:16">
      <c r="B218" s="61">
        <v>35170</v>
      </c>
      <c r="C218" s="110">
        <v>2.41</v>
      </c>
      <c r="D218" s="110">
        <v>2.42</v>
      </c>
      <c r="E218" s="110">
        <v>2.2749999999999999</v>
      </c>
      <c r="F218" s="76">
        <v>2.3610000000000002</v>
      </c>
      <c r="G218" s="67"/>
      <c r="H218" s="70">
        <f t="shared" si="3"/>
        <v>-4.9999999999999822E-2</v>
      </c>
      <c r="J218" s="52"/>
      <c r="K218" s="49"/>
      <c r="L218" s="49"/>
      <c r="M218" s="49"/>
      <c r="N218" s="49"/>
      <c r="O218" s="49"/>
      <c r="P218" s="49"/>
    </row>
    <row r="219" spans="2:16">
      <c r="B219" s="61">
        <v>35163</v>
      </c>
      <c r="C219" s="110">
        <v>2.29</v>
      </c>
      <c r="D219" s="110">
        <v>2.4249999999999998</v>
      </c>
      <c r="E219" s="110">
        <v>2.2749999999999999</v>
      </c>
      <c r="F219" s="76">
        <v>2.411</v>
      </c>
      <c r="G219" s="67"/>
      <c r="H219" s="70">
        <f t="shared" si="3"/>
        <v>7.6000000000000068E-2</v>
      </c>
      <c r="J219" s="52"/>
      <c r="K219" s="49"/>
      <c r="L219" s="49"/>
      <c r="M219" s="49"/>
      <c r="N219" s="49"/>
      <c r="O219" s="49"/>
      <c r="P219" s="49"/>
    </row>
    <row r="220" spans="2:16">
      <c r="B220" s="61">
        <v>35156</v>
      </c>
      <c r="C220" s="110">
        <v>2.3050000000000002</v>
      </c>
      <c r="D220" s="110">
        <v>2.38</v>
      </c>
      <c r="E220" s="110">
        <v>2.23</v>
      </c>
      <c r="F220" s="76">
        <v>2.335</v>
      </c>
      <c r="G220" s="67"/>
      <c r="H220" s="70">
        <f t="shared" si="3"/>
        <v>-9.9999999999988987E-4</v>
      </c>
      <c r="J220" s="52"/>
      <c r="K220" s="49"/>
      <c r="L220" s="49"/>
      <c r="M220" s="49"/>
      <c r="N220" s="49"/>
      <c r="O220" s="49"/>
      <c r="P220" s="49"/>
    </row>
    <row r="221" spans="2:16">
      <c r="B221" s="61">
        <v>35149</v>
      </c>
      <c r="C221" s="110">
        <v>2.78</v>
      </c>
      <c r="D221" s="110">
        <v>2.88</v>
      </c>
      <c r="E221" s="110">
        <v>2.2250000000000001</v>
      </c>
      <c r="F221" s="76">
        <v>2.3359999999999999</v>
      </c>
      <c r="G221" s="67"/>
      <c r="H221" s="70">
        <f t="shared" si="3"/>
        <v>-0.52700000000000014</v>
      </c>
    </row>
    <row r="222" spans="2:16">
      <c r="B222" s="61">
        <v>35142</v>
      </c>
      <c r="C222" s="110">
        <v>2.38</v>
      </c>
      <c r="D222" s="110">
        <v>2.88</v>
      </c>
      <c r="E222" s="110">
        <v>2.38</v>
      </c>
      <c r="F222" s="76">
        <v>2.863</v>
      </c>
      <c r="G222" s="67"/>
      <c r="H222" s="70">
        <f t="shared" si="3"/>
        <v>0.5299999999999998</v>
      </c>
    </row>
    <row r="223" spans="2:16">
      <c r="B223" s="61">
        <v>35135</v>
      </c>
      <c r="C223" s="110">
        <v>2.085</v>
      </c>
      <c r="D223" s="110">
        <v>2.35</v>
      </c>
      <c r="E223" s="110">
        <v>2.08</v>
      </c>
      <c r="F223" s="76">
        <v>2.3330000000000002</v>
      </c>
      <c r="G223" s="67"/>
      <c r="H223" s="70">
        <f t="shared" si="3"/>
        <v>0.23799999999999999</v>
      </c>
      <c r="L223" s="35"/>
    </row>
    <row r="224" spans="2:16">
      <c r="B224" s="61">
        <v>35128</v>
      </c>
      <c r="C224" s="110">
        <v>2.23</v>
      </c>
      <c r="D224" s="110">
        <v>2.3050000000000002</v>
      </c>
      <c r="E224" s="110">
        <v>2.0699999999999998</v>
      </c>
      <c r="F224" s="76">
        <v>2.0950000000000002</v>
      </c>
      <c r="G224" s="67"/>
      <c r="H224" s="70">
        <f t="shared" si="3"/>
        <v>-6.0999999999999943E-2</v>
      </c>
      <c r="L224" s="35"/>
    </row>
    <row r="225" spans="2:12">
      <c r="B225" s="61">
        <v>35121</v>
      </c>
      <c r="C225" s="110">
        <v>2.37</v>
      </c>
      <c r="D225" s="110">
        <v>2.42</v>
      </c>
      <c r="E225" s="110">
        <v>2.125</v>
      </c>
      <c r="F225" s="76">
        <v>2.1560000000000001</v>
      </c>
      <c r="G225" s="67"/>
      <c r="H225" s="70">
        <f t="shared" si="3"/>
        <v>-0.58999999999999986</v>
      </c>
      <c r="J225" s="4"/>
    </row>
    <row r="226" spans="2:12">
      <c r="B226" s="61">
        <v>35115</v>
      </c>
      <c r="C226" s="110">
        <v>2.25</v>
      </c>
      <c r="D226" s="110">
        <v>2.9</v>
      </c>
      <c r="E226" s="110">
        <v>2.23</v>
      </c>
      <c r="F226" s="76">
        <v>2.746</v>
      </c>
      <c r="G226" s="67"/>
      <c r="H226" s="70">
        <f t="shared" si="3"/>
        <v>0.30500000000000016</v>
      </c>
      <c r="J226" s="4"/>
    </row>
    <row r="227" spans="2:12">
      <c r="B227" s="61">
        <v>35107</v>
      </c>
      <c r="C227" s="110">
        <v>2.4900000000000002</v>
      </c>
      <c r="D227" s="110">
        <v>2.69</v>
      </c>
      <c r="E227" s="110">
        <v>2.38</v>
      </c>
      <c r="F227" s="76">
        <v>2.4409999999999998</v>
      </c>
      <c r="G227" s="67"/>
      <c r="H227" s="70">
        <f t="shared" si="3"/>
        <v>-0.11000000000000032</v>
      </c>
      <c r="J227" s="4"/>
    </row>
    <row r="228" spans="2:12">
      <c r="B228" s="61">
        <v>35100</v>
      </c>
      <c r="C228" s="110">
        <v>2.35</v>
      </c>
      <c r="D228" s="110">
        <v>2.6349999999999998</v>
      </c>
      <c r="E228" s="110">
        <v>2.165</v>
      </c>
      <c r="F228" s="76">
        <v>2.5510000000000002</v>
      </c>
      <c r="G228" s="67"/>
      <c r="H228" s="70">
        <f t="shared" si="3"/>
        <v>8.4000000000000075E-2</v>
      </c>
      <c r="J228" s="4"/>
    </row>
    <row r="229" spans="2:12">
      <c r="B229" s="61">
        <v>35093</v>
      </c>
      <c r="C229" s="110">
        <v>2.23</v>
      </c>
      <c r="D229" s="110">
        <v>2.8</v>
      </c>
      <c r="E229" s="110">
        <v>2.2000000000000002</v>
      </c>
      <c r="F229" s="76">
        <v>2.4670000000000001</v>
      </c>
      <c r="G229" s="67"/>
      <c r="H229" s="70">
        <f t="shared" si="3"/>
        <v>0.34100000000000019</v>
      </c>
      <c r="J229" s="4"/>
      <c r="L229" s="4"/>
    </row>
    <row r="230" spans="2:12">
      <c r="B230" s="61">
        <v>35086</v>
      </c>
      <c r="C230" s="110">
        <v>2.0249999999999999</v>
      </c>
      <c r="D230" s="110">
        <v>2.72</v>
      </c>
      <c r="E230" s="110">
        <v>1.95</v>
      </c>
      <c r="F230" s="76">
        <v>2.1259999999999999</v>
      </c>
      <c r="G230" s="67"/>
      <c r="H230" s="70">
        <f t="shared" si="3"/>
        <v>-4.2000000000000259E-2</v>
      </c>
      <c r="J230" s="4"/>
      <c r="L230" s="4"/>
    </row>
    <row r="231" spans="2:12">
      <c r="B231" s="61">
        <v>35079</v>
      </c>
      <c r="C231" s="110">
        <v>2.15</v>
      </c>
      <c r="D231" s="110">
        <v>2.4300000000000002</v>
      </c>
      <c r="E231" s="110">
        <v>1.925</v>
      </c>
      <c r="F231" s="76">
        <v>2.1680000000000001</v>
      </c>
      <c r="G231" s="67"/>
      <c r="H231" s="70">
        <f t="shared" si="3"/>
        <v>-0.14900000000000002</v>
      </c>
      <c r="J231" s="4"/>
    </row>
    <row r="232" spans="2:12">
      <c r="B232" s="61">
        <v>35073</v>
      </c>
      <c r="C232" s="110">
        <v>2.95</v>
      </c>
      <c r="D232" s="110">
        <v>3</v>
      </c>
      <c r="E232" s="110">
        <v>2.21</v>
      </c>
      <c r="F232" s="76">
        <v>2.3170000000000002</v>
      </c>
      <c r="G232" s="67"/>
      <c r="H232" s="70">
        <f t="shared" si="3"/>
        <v>-0.59899999999999975</v>
      </c>
      <c r="J232" s="4"/>
    </row>
    <row r="233" spans="2:12">
      <c r="B233" s="61">
        <v>35066</v>
      </c>
      <c r="C233" s="110">
        <v>2.75</v>
      </c>
      <c r="D233" s="110">
        <v>3.1</v>
      </c>
      <c r="E233" s="110">
        <v>2.75</v>
      </c>
      <c r="F233" s="76">
        <v>2.9159999999999999</v>
      </c>
      <c r="G233" s="67"/>
      <c r="H233" s="70">
        <f t="shared" si="3"/>
        <v>0.29699999999999971</v>
      </c>
      <c r="J233" s="4"/>
    </row>
    <row r="234" spans="2:12">
      <c r="B234" s="61">
        <v>35059</v>
      </c>
      <c r="C234" s="110">
        <v>2.35</v>
      </c>
      <c r="D234" s="110">
        <v>2.99</v>
      </c>
      <c r="E234" s="110">
        <v>2.34</v>
      </c>
      <c r="F234" s="76">
        <v>2.6190000000000002</v>
      </c>
      <c r="G234" s="67"/>
      <c r="H234" s="70">
        <f t="shared" si="3"/>
        <v>0.25100000000000033</v>
      </c>
      <c r="J234" s="4"/>
    </row>
    <row r="235" spans="2:12">
      <c r="B235" s="61">
        <v>35051</v>
      </c>
      <c r="C235" s="110">
        <v>2.42</v>
      </c>
      <c r="D235" s="110">
        <v>3.74</v>
      </c>
      <c r="E235" s="110">
        <v>2.34</v>
      </c>
      <c r="F235" s="76">
        <v>2.3679999999999999</v>
      </c>
      <c r="G235" s="67"/>
      <c r="H235" s="70">
        <f t="shared" si="3"/>
        <v>4.0000000000000036E-3</v>
      </c>
      <c r="J235" s="4"/>
    </row>
    <row r="236" spans="2:12">
      <c r="B236" s="61">
        <v>35044</v>
      </c>
      <c r="C236" s="110">
        <v>2.2250000000000001</v>
      </c>
      <c r="D236" s="110">
        <v>2.3849999999999998</v>
      </c>
      <c r="E236" s="110">
        <v>2.1549999999999998</v>
      </c>
      <c r="F236" s="76">
        <v>2.3639999999999999</v>
      </c>
      <c r="G236" s="67"/>
      <c r="H236" s="70">
        <f t="shared" si="3"/>
        <v>0.14799999999999969</v>
      </c>
      <c r="J236" s="4"/>
    </row>
    <row r="237" spans="2:12">
      <c r="B237" s="61">
        <v>35037</v>
      </c>
      <c r="C237" s="110">
        <v>2.09</v>
      </c>
      <c r="D237" s="110">
        <v>2.2799999999999998</v>
      </c>
      <c r="E237" s="110">
        <v>2.085</v>
      </c>
      <c r="F237" s="76">
        <v>2.2160000000000002</v>
      </c>
      <c r="G237" s="67"/>
      <c r="H237" s="70">
        <f t="shared" si="3"/>
        <v>0.14700000000000024</v>
      </c>
      <c r="J237" s="4"/>
    </row>
    <row r="238" spans="2:12">
      <c r="B238" s="61">
        <v>35030</v>
      </c>
      <c r="C238" s="110">
        <v>2.0870000000000002</v>
      </c>
      <c r="D238" s="110">
        <v>2.12</v>
      </c>
      <c r="E238" s="110">
        <v>1.9750000000000001</v>
      </c>
      <c r="F238" s="76">
        <v>2.069</v>
      </c>
      <c r="G238" s="67"/>
      <c r="H238" s="70">
        <f t="shared" si="3"/>
        <v>-4.4000000000000039E-2</v>
      </c>
      <c r="J238" s="4"/>
    </row>
    <row r="239" spans="2:12">
      <c r="B239" s="61">
        <v>35023</v>
      </c>
      <c r="C239" s="110">
        <v>2.0499999999999998</v>
      </c>
      <c r="D239" s="110">
        <v>2.2850000000000001</v>
      </c>
      <c r="E239" s="110">
        <v>2.0499999999999998</v>
      </c>
      <c r="F239" s="76">
        <v>2.113</v>
      </c>
      <c r="G239" s="67"/>
      <c r="H239" s="70">
        <f t="shared" si="3"/>
        <v>8.8999999999999968E-2</v>
      </c>
      <c r="J239" s="4"/>
    </row>
    <row r="240" spans="2:12">
      <c r="B240" s="61">
        <v>35016</v>
      </c>
      <c r="C240" s="110">
        <v>1.923</v>
      </c>
      <c r="D240" s="110">
        <v>2.0299999999999998</v>
      </c>
      <c r="E240" s="110">
        <v>1.8860000000000001</v>
      </c>
      <c r="F240" s="76">
        <v>2.024</v>
      </c>
      <c r="G240" s="67"/>
      <c r="H240" s="70">
        <f t="shared" si="3"/>
        <v>0.123</v>
      </c>
      <c r="J240" s="4"/>
    </row>
    <row r="241" spans="2:10">
      <c r="B241" s="61">
        <v>35009</v>
      </c>
      <c r="C241" s="110">
        <v>1.833</v>
      </c>
      <c r="D241" s="110">
        <v>1.9040000000000001</v>
      </c>
      <c r="E241" s="110">
        <v>1.8180000000000001</v>
      </c>
      <c r="F241" s="76">
        <v>1.901</v>
      </c>
      <c r="G241" s="67"/>
      <c r="H241" s="70">
        <f t="shared" si="3"/>
        <v>6.800000000000006E-2</v>
      </c>
      <c r="J241" s="4"/>
    </row>
    <row r="242" spans="2:10">
      <c r="B242" s="61">
        <v>35002</v>
      </c>
      <c r="C242" s="110">
        <v>1.855</v>
      </c>
      <c r="D242" s="110">
        <v>1.87</v>
      </c>
      <c r="E242" s="110">
        <v>1.827</v>
      </c>
      <c r="F242" s="76">
        <v>1.833</v>
      </c>
      <c r="G242" s="67"/>
      <c r="H242" s="70">
        <f t="shared" si="3"/>
        <v>-6.0000000000000053E-3</v>
      </c>
      <c r="J242" s="4"/>
    </row>
    <row r="243" spans="2:10">
      <c r="B243" s="61">
        <v>34995</v>
      </c>
      <c r="C243" s="110">
        <v>1.7530000000000001</v>
      </c>
      <c r="D243" s="110">
        <v>1.8440000000000001</v>
      </c>
      <c r="E243" s="110">
        <v>1.736</v>
      </c>
      <c r="F243" s="76">
        <v>1.839</v>
      </c>
      <c r="G243" s="67"/>
      <c r="H243" s="70">
        <f t="shared" si="3"/>
        <v>8.4999999999999964E-2</v>
      </c>
      <c r="J243" s="4"/>
    </row>
    <row r="244" spans="2:10">
      <c r="B244" s="61">
        <v>34988</v>
      </c>
      <c r="C244" s="110">
        <v>1.7450000000000001</v>
      </c>
      <c r="D244" s="110">
        <v>1.7549999999999999</v>
      </c>
      <c r="E244" s="110">
        <v>1.6919999999999999</v>
      </c>
      <c r="F244" s="76">
        <v>1.754</v>
      </c>
      <c r="G244" s="67"/>
      <c r="H244" s="70">
        <f t="shared" si="3"/>
        <v>4.0000000000000036E-3</v>
      </c>
      <c r="J244" s="4"/>
    </row>
    <row r="245" spans="2:10">
      <c r="B245" s="61">
        <v>34981</v>
      </c>
      <c r="C245" s="110">
        <v>1.84</v>
      </c>
      <c r="D245" s="110">
        <v>1.85</v>
      </c>
      <c r="E245" s="110">
        <v>1.7150000000000001</v>
      </c>
      <c r="F245" s="76">
        <v>1.75</v>
      </c>
      <c r="G245" s="67"/>
      <c r="H245" s="70">
        <f t="shared" si="3"/>
        <v>-5.2000000000000046E-2</v>
      </c>
      <c r="J245" s="4"/>
    </row>
    <row r="246" spans="2:10">
      <c r="B246" s="61">
        <v>34974</v>
      </c>
      <c r="C246" s="110">
        <v>1.84</v>
      </c>
      <c r="D246" s="110">
        <v>1.915</v>
      </c>
      <c r="E246" s="110">
        <v>1.76</v>
      </c>
      <c r="F246" s="76">
        <v>1.802</v>
      </c>
      <c r="G246" s="67"/>
      <c r="H246" s="70">
        <f t="shared" si="3"/>
        <v>5.2000000000000046E-2</v>
      </c>
      <c r="J246" s="4"/>
    </row>
    <row r="247" spans="2:10">
      <c r="B247" s="61">
        <v>34967</v>
      </c>
      <c r="C247" s="110">
        <v>1.7450000000000001</v>
      </c>
      <c r="D247" s="110">
        <v>1.7890000000000001</v>
      </c>
      <c r="E247" s="110">
        <v>1.7150000000000001</v>
      </c>
      <c r="F247" s="76">
        <v>1.75</v>
      </c>
      <c r="G247" s="67"/>
      <c r="H247" s="70">
        <f t="shared" si="3"/>
        <v>0.10599999999999987</v>
      </c>
      <c r="J247" s="4"/>
    </row>
    <row r="248" spans="2:10">
      <c r="B248" s="61">
        <v>34960</v>
      </c>
      <c r="C248" s="110">
        <v>1.645</v>
      </c>
      <c r="D248" s="110">
        <v>1.6580000000000001</v>
      </c>
      <c r="E248" s="110">
        <v>1.571</v>
      </c>
      <c r="F248" s="76">
        <v>1.6440000000000001</v>
      </c>
      <c r="G248" s="67"/>
      <c r="H248" s="70">
        <f t="shared" si="3"/>
        <v>-1.4000000000000012E-2</v>
      </c>
      <c r="J248" s="4"/>
    </row>
    <row r="249" spans="2:10">
      <c r="B249" s="61">
        <v>34953</v>
      </c>
      <c r="C249" s="110">
        <v>1.635</v>
      </c>
      <c r="D249" s="110">
        <v>1.7230000000000001</v>
      </c>
      <c r="E249" s="110">
        <v>1.63</v>
      </c>
      <c r="F249" s="76">
        <v>1.6580000000000001</v>
      </c>
      <c r="G249" s="67"/>
      <c r="H249" s="70">
        <f t="shared" si="3"/>
        <v>1.6000000000000014E-2</v>
      </c>
      <c r="J249" s="4"/>
    </row>
    <row r="250" spans="2:10">
      <c r="B250" s="61">
        <v>34947</v>
      </c>
      <c r="C250" s="110">
        <v>1.76</v>
      </c>
      <c r="D250" s="110">
        <v>1.77</v>
      </c>
      <c r="E250" s="110">
        <v>1.6080000000000001</v>
      </c>
      <c r="F250" s="76">
        <v>1.6420000000000001</v>
      </c>
      <c r="G250" s="67"/>
      <c r="H250" s="70">
        <f t="shared" si="3"/>
        <v>-9.7999999999999865E-2</v>
      </c>
      <c r="J250" s="4"/>
    </row>
    <row r="251" spans="2:10">
      <c r="B251" s="61">
        <v>34939</v>
      </c>
      <c r="C251" s="110">
        <v>1.66</v>
      </c>
      <c r="D251" s="110">
        <v>1.7549999999999999</v>
      </c>
      <c r="E251" s="110">
        <v>1.641</v>
      </c>
      <c r="F251" s="76">
        <v>1.74</v>
      </c>
      <c r="G251" s="67"/>
      <c r="H251" s="70">
        <f t="shared" si="3"/>
        <v>4.6000000000000041E-2</v>
      </c>
      <c r="J251" s="4"/>
    </row>
    <row r="252" spans="2:10">
      <c r="B252" s="61">
        <v>34932</v>
      </c>
      <c r="C252" s="110">
        <v>1.59</v>
      </c>
      <c r="D252" s="110">
        <v>1.7</v>
      </c>
      <c r="E252" s="110">
        <v>1.53</v>
      </c>
      <c r="F252" s="76">
        <v>1.694</v>
      </c>
      <c r="G252" s="67"/>
      <c r="H252" s="70">
        <f t="shared" si="3"/>
        <v>0.11699999999999999</v>
      </c>
      <c r="J252" s="4"/>
    </row>
    <row r="253" spans="2:10">
      <c r="B253" s="61">
        <v>34925</v>
      </c>
      <c r="C253" s="110">
        <v>1.52</v>
      </c>
      <c r="D253" s="110">
        <v>1.593</v>
      </c>
      <c r="E253" s="110">
        <v>1.4970000000000001</v>
      </c>
      <c r="F253" s="76">
        <v>1.577</v>
      </c>
      <c r="G253" s="67"/>
      <c r="H253" s="70">
        <f t="shared" si="3"/>
        <v>7.3999999999999844E-2</v>
      </c>
      <c r="J253" s="4"/>
    </row>
    <row r="254" spans="2:10">
      <c r="B254" s="61">
        <v>34918</v>
      </c>
      <c r="C254" s="110">
        <v>1.43</v>
      </c>
      <c r="D254" s="110">
        <v>1.573</v>
      </c>
      <c r="E254" s="110">
        <v>1.425</v>
      </c>
      <c r="F254" s="76">
        <v>1.5030000000000001</v>
      </c>
      <c r="G254" s="67"/>
      <c r="H254" s="70">
        <f t="shared" si="3"/>
        <v>4.7000000000000153E-2</v>
      </c>
      <c r="J254" s="4"/>
    </row>
    <row r="255" spans="2:10">
      <c r="B255" s="61">
        <v>34911</v>
      </c>
      <c r="C255" s="110">
        <v>1.54</v>
      </c>
      <c r="D255" s="110">
        <v>1.615</v>
      </c>
      <c r="E255" s="110">
        <v>1.39</v>
      </c>
      <c r="F255" s="76">
        <v>1.456</v>
      </c>
      <c r="G255" s="67"/>
      <c r="H255" s="70">
        <f t="shared" si="3"/>
        <v>-6.7000000000000171E-2</v>
      </c>
      <c r="J255" s="4"/>
    </row>
    <row r="256" spans="2:10">
      <c r="B256" s="61">
        <v>34904</v>
      </c>
      <c r="C256" s="110">
        <v>1.45</v>
      </c>
      <c r="D256" s="110">
        <v>1.5349999999999999</v>
      </c>
      <c r="E256" s="110">
        <v>1.335</v>
      </c>
      <c r="F256" s="76">
        <v>1.5230000000000001</v>
      </c>
      <c r="G256" s="67"/>
      <c r="H256" s="70">
        <f t="shared" si="3"/>
        <v>8.5000000000000187E-2</v>
      </c>
      <c r="J256" s="4"/>
    </row>
    <row r="257" spans="2:10">
      <c r="B257" s="61">
        <v>34897</v>
      </c>
      <c r="C257" s="110">
        <v>1.4950000000000001</v>
      </c>
      <c r="D257" s="110">
        <v>1.5349999999999999</v>
      </c>
      <c r="E257" s="110">
        <v>1.431</v>
      </c>
      <c r="F257" s="76">
        <v>1.4379999999999999</v>
      </c>
      <c r="G257" s="67"/>
      <c r="H257" s="70">
        <f t="shared" si="3"/>
        <v>-7.4000000000000066E-2</v>
      </c>
      <c r="J257" s="4"/>
    </row>
    <row r="258" spans="2:10">
      <c r="B258" s="61">
        <v>34890</v>
      </c>
      <c r="C258" s="110">
        <v>1.5249999999999999</v>
      </c>
      <c r="D258" s="110">
        <v>1.605</v>
      </c>
      <c r="E258" s="110">
        <v>1.4810000000000001</v>
      </c>
      <c r="F258" s="76">
        <v>1.512</v>
      </c>
      <c r="G258" s="67"/>
      <c r="H258" s="70">
        <f t="shared" si="3"/>
        <v>1.2000000000000011E-2</v>
      </c>
      <c r="J258" s="4"/>
    </row>
    <row r="259" spans="2:10">
      <c r="B259" s="61">
        <v>34885</v>
      </c>
      <c r="C259" s="110">
        <v>1.52</v>
      </c>
      <c r="D259" s="110">
        <v>1.52</v>
      </c>
      <c r="E259" s="110">
        <v>1.45</v>
      </c>
      <c r="F259" s="76">
        <v>1.5</v>
      </c>
      <c r="G259" s="67"/>
      <c r="H259" s="70">
        <f t="shared" si="3"/>
        <v>-3.0000000000000027E-2</v>
      </c>
      <c r="J259" s="4"/>
    </row>
    <row r="260" spans="2:10">
      <c r="B260" s="61">
        <v>34876</v>
      </c>
      <c r="C260" s="110">
        <v>1.56</v>
      </c>
      <c r="D260" s="110">
        <v>1.59</v>
      </c>
      <c r="E260" s="110">
        <v>1.4950000000000001</v>
      </c>
      <c r="F260" s="76">
        <v>1.53</v>
      </c>
      <c r="G260" s="67"/>
      <c r="H260" s="70">
        <f t="shared" si="3"/>
        <v>-2.0000000000000018E-3</v>
      </c>
      <c r="J260" s="4"/>
    </row>
    <row r="261" spans="2:10">
      <c r="B261" s="61">
        <v>34869</v>
      </c>
      <c r="C261" s="110">
        <v>1.6480000000000001</v>
      </c>
      <c r="D261" s="110">
        <v>1.66</v>
      </c>
      <c r="E261" s="110">
        <v>1.5</v>
      </c>
      <c r="F261" s="76">
        <v>1.532</v>
      </c>
      <c r="G261" s="67"/>
      <c r="H261" s="70">
        <f t="shared" si="3"/>
        <v>-9.6000000000000085E-2</v>
      </c>
      <c r="J261" s="4"/>
    </row>
    <row r="262" spans="2:10">
      <c r="B262" s="61">
        <v>34862</v>
      </c>
      <c r="C262" s="110">
        <v>1.69</v>
      </c>
      <c r="D262" s="110">
        <v>1.72</v>
      </c>
      <c r="E262" s="110">
        <v>1.601</v>
      </c>
      <c r="F262" s="76">
        <v>1.6280000000000001</v>
      </c>
      <c r="G262" s="67"/>
      <c r="H262" s="70">
        <f t="shared" si="3"/>
        <v>-7.5999999999999845E-2</v>
      </c>
      <c r="J262" s="4"/>
    </row>
    <row r="263" spans="2:10">
      <c r="B263" s="61">
        <v>34855</v>
      </c>
      <c r="C263" s="110">
        <v>1.7</v>
      </c>
      <c r="D263" s="110">
        <v>1.7350000000000001</v>
      </c>
      <c r="E263" s="110">
        <v>1.67</v>
      </c>
      <c r="F263" s="76">
        <v>1.704</v>
      </c>
      <c r="G263" s="67"/>
      <c r="H263" s="70">
        <f t="shared" si="3"/>
        <v>1.6000000000000014E-2</v>
      </c>
      <c r="J263" s="4"/>
    </row>
    <row r="264" spans="2:10">
      <c r="B264" s="61">
        <v>34849</v>
      </c>
      <c r="C264" s="110">
        <v>1.7649999999999999</v>
      </c>
      <c r="D264" s="110">
        <v>1.7649999999999999</v>
      </c>
      <c r="E264" s="110">
        <v>1.681</v>
      </c>
      <c r="F264" s="76">
        <v>1.6879999999999999</v>
      </c>
      <c r="G264" s="67"/>
      <c r="H264" s="70">
        <f t="shared" si="3"/>
        <v>-8.1000000000000183E-2</v>
      </c>
      <c r="J264" s="4"/>
    </row>
    <row r="265" spans="2:10">
      <c r="B265" s="61">
        <v>34841</v>
      </c>
      <c r="C265" s="110">
        <v>1.7350000000000001</v>
      </c>
      <c r="D265" s="110">
        <v>1.82</v>
      </c>
      <c r="E265" s="110">
        <v>1.716</v>
      </c>
      <c r="F265" s="76">
        <v>1.7690000000000001</v>
      </c>
      <c r="G265" s="67"/>
      <c r="H265" s="70">
        <f t="shared" si="3"/>
        <v>2.8000000000000025E-2</v>
      </c>
      <c r="J265" s="4"/>
    </row>
    <row r="266" spans="2:10">
      <c r="B266" s="61">
        <v>34834</v>
      </c>
      <c r="C266" s="110">
        <v>1.68</v>
      </c>
      <c r="D266" s="110">
        <v>1.7549999999999999</v>
      </c>
      <c r="E266" s="110">
        <v>1.677</v>
      </c>
      <c r="F266" s="76">
        <v>1.7410000000000001</v>
      </c>
      <c r="G266" s="67"/>
      <c r="H266" s="70">
        <f t="shared" si="3"/>
        <v>7.8999999999999959E-2</v>
      </c>
      <c r="J266" s="4"/>
    </row>
    <row r="267" spans="2:10">
      <c r="B267" s="61">
        <v>34827</v>
      </c>
      <c r="C267" s="110">
        <v>1.66</v>
      </c>
      <c r="D267" s="110">
        <v>1.694</v>
      </c>
      <c r="E267" s="110">
        <v>1.645</v>
      </c>
      <c r="F267" s="76">
        <v>1.6620000000000001</v>
      </c>
      <c r="G267" s="67"/>
      <c r="H267" s="70">
        <f t="shared" si="3"/>
        <v>1.1000000000000121E-2</v>
      </c>
      <c r="J267" s="4"/>
    </row>
    <row r="268" spans="2:10">
      <c r="B268" s="61">
        <v>34820</v>
      </c>
      <c r="C268" s="110">
        <v>1.67</v>
      </c>
      <c r="D268" s="110">
        <v>1.7150000000000001</v>
      </c>
      <c r="E268" s="110">
        <v>1.635</v>
      </c>
      <c r="F268" s="76">
        <v>1.651</v>
      </c>
      <c r="G268" s="67"/>
      <c r="H268" s="70">
        <f t="shared" si="3"/>
        <v>-1.1000000000000121E-2</v>
      </c>
      <c r="J268" s="4"/>
    </row>
    <row r="269" spans="2:10">
      <c r="B269" s="61">
        <v>34813</v>
      </c>
      <c r="C269" s="110">
        <v>1.71</v>
      </c>
      <c r="D269" s="110">
        <v>1.73</v>
      </c>
      <c r="E269" s="110">
        <v>1.6420000000000001</v>
      </c>
      <c r="F269" s="76">
        <v>1.6620000000000001</v>
      </c>
      <c r="G269" s="67"/>
      <c r="H269" s="70">
        <f t="shared" si="3"/>
        <v>-9.9999999999997868E-3</v>
      </c>
      <c r="J269" s="4"/>
    </row>
    <row r="270" spans="2:10">
      <c r="B270" s="61">
        <v>34806</v>
      </c>
      <c r="C270" s="110">
        <v>1.625</v>
      </c>
      <c r="D270" s="110">
        <v>1.7450000000000001</v>
      </c>
      <c r="E270" s="110">
        <v>1.625</v>
      </c>
      <c r="F270" s="76">
        <v>1.6719999999999999</v>
      </c>
      <c r="G270" s="67"/>
      <c r="H270" s="70">
        <f t="shared" ref="H270:H313" si="4">F270-F271</f>
        <v>5.2999999999999936E-2</v>
      </c>
      <c r="J270" s="4"/>
    </row>
    <row r="271" spans="2:10">
      <c r="B271" s="61">
        <v>34799</v>
      </c>
      <c r="C271" s="110">
        <v>1.625</v>
      </c>
      <c r="D271" s="110">
        <v>1.64</v>
      </c>
      <c r="E271" s="110">
        <v>1.585</v>
      </c>
      <c r="F271" s="76">
        <v>1.619</v>
      </c>
      <c r="G271" s="67"/>
      <c r="H271" s="70">
        <f t="shared" si="4"/>
        <v>-4.0000000000000036E-3</v>
      </c>
      <c r="J271" s="4"/>
    </row>
    <row r="272" spans="2:10">
      <c r="B272" s="61">
        <v>34792</v>
      </c>
      <c r="C272" s="110">
        <v>1.7</v>
      </c>
      <c r="D272" s="110">
        <v>1.71</v>
      </c>
      <c r="E272" s="110">
        <v>1.61</v>
      </c>
      <c r="F272" s="76">
        <v>1.623</v>
      </c>
      <c r="G272" s="67"/>
      <c r="H272" s="70">
        <f t="shared" si="4"/>
        <v>-6.2000000000000055E-2</v>
      </c>
      <c r="J272" s="4"/>
    </row>
    <row r="273" spans="2:10">
      <c r="B273" s="61">
        <v>34785</v>
      </c>
      <c r="C273" s="110">
        <v>1.635</v>
      </c>
      <c r="D273" s="110">
        <v>1.7250000000000001</v>
      </c>
      <c r="E273" s="110">
        <v>1.625</v>
      </c>
      <c r="F273" s="76">
        <v>1.6850000000000001</v>
      </c>
      <c r="G273" s="67"/>
      <c r="H273" s="70">
        <f t="shared" si="4"/>
        <v>1.6850000000000001</v>
      </c>
      <c r="J273" s="4"/>
    </row>
    <row r="274" spans="2:10">
      <c r="B274" s="61"/>
      <c r="C274" s="76"/>
      <c r="D274" s="76"/>
      <c r="E274" s="76"/>
      <c r="F274" s="76"/>
      <c r="G274" s="67"/>
      <c r="H274" s="70">
        <f t="shared" si="4"/>
        <v>0</v>
      </c>
      <c r="J274" s="4"/>
    </row>
    <row r="275" spans="2:10">
      <c r="B275" s="61"/>
      <c r="C275" s="76"/>
      <c r="D275" s="76"/>
      <c r="E275" s="76"/>
      <c r="F275" s="76"/>
      <c r="G275" s="67"/>
      <c r="H275" s="70">
        <f t="shared" si="4"/>
        <v>0</v>
      </c>
      <c r="J275" s="4"/>
    </row>
    <row r="276" spans="2:10">
      <c r="B276" s="61"/>
      <c r="C276" s="76"/>
      <c r="D276" s="76"/>
      <c r="E276" s="76"/>
      <c r="F276" s="76"/>
      <c r="G276" s="67"/>
      <c r="H276" s="70">
        <f t="shared" si="4"/>
        <v>0</v>
      </c>
      <c r="J276" s="4"/>
    </row>
    <row r="277" spans="2:10">
      <c r="B277" s="61"/>
      <c r="C277" s="76"/>
      <c r="D277" s="76"/>
      <c r="E277" s="76"/>
      <c r="F277" s="76"/>
      <c r="G277" s="67"/>
      <c r="H277" s="70">
        <f t="shared" si="4"/>
        <v>0</v>
      </c>
      <c r="J277" s="4"/>
    </row>
    <row r="278" spans="2:10">
      <c r="B278" s="61"/>
      <c r="C278" s="76"/>
      <c r="D278" s="76"/>
      <c r="E278" s="76"/>
      <c r="F278" s="76"/>
      <c r="G278" s="67"/>
      <c r="H278" s="70">
        <f t="shared" si="4"/>
        <v>0</v>
      </c>
      <c r="J278" s="4"/>
    </row>
    <row r="279" spans="2:10">
      <c r="B279" s="61"/>
      <c r="C279" s="76"/>
      <c r="D279" s="76"/>
      <c r="E279" s="76"/>
      <c r="F279" s="76"/>
      <c r="G279" s="67"/>
      <c r="H279" s="70">
        <f t="shared" si="4"/>
        <v>0</v>
      </c>
    </row>
    <row r="280" spans="2:10">
      <c r="B280" s="61"/>
      <c r="C280" s="76"/>
      <c r="D280" s="76"/>
      <c r="E280" s="76"/>
      <c r="F280" s="76"/>
      <c r="G280" s="67"/>
      <c r="H280" s="70">
        <f t="shared" si="4"/>
        <v>0</v>
      </c>
    </row>
    <row r="281" spans="2:10">
      <c r="B281" s="61"/>
      <c r="C281" s="76"/>
      <c r="D281" s="76"/>
      <c r="E281" s="76"/>
      <c r="F281" s="76"/>
      <c r="G281" s="67"/>
      <c r="H281" s="70">
        <f t="shared" si="4"/>
        <v>0</v>
      </c>
    </row>
    <row r="282" spans="2:10">
      <c r="B282" s="61"/>
      <c r="C282" s="76"/>
      <c r="D282" s="76"/>
      <c r="E282" s="76"/>
      <c r="F282" s="76"/>
      <c r="G282" s="67"/>
      <c r="H282" s="70">
        <f t="shared" si="4"/>
        <v>0</v>
      </c>
    </row>
    <row r="283" spans="2:10">
      <c r="B283" s="61"/>
      <c r="C283" s="76"/>
      <c r="D283" s="76"/>
      <c r="E283" s="76"/>
      <c r="F283" s="76"/>
      <c r="G283" s="67"/>
      <c r="H283" s="70">
        <f t="shared" si="4"/>
        <v>0</v>
      </c>
    </row>
    <row r="284" spans="2:10">
      <c r="B284" s="61"/>
      <c r="C284" s="76"/>
      <c r="D284" s="76"/>
      <c r="E284" s="76"/>
      <c r="F284" s="76"/>
      <c r="G284" s="67"/>
      <c r="H284" s="70">
        <f t="shared" si="4"/>
        <v>0</v>
      </c>
    </row>
    <row r="285" spans="2:10">
      <c r="B285" s="61"/>
      <c r="C285" s="76"/>
      <c r="D285" s="76"/>
      <c r="E285" s="76"/>
      <c r="F285" s="76"/>
      <c r="G285" s="67"/>
      <c r="H285" s="70">
        <f t="shared" si="4"/>
        <v>0</v>
      </c>
    </row>
    <row r="286" spans="2:10">
      <c r="B286" s="61"/>
      <c r="C286" s="76"/>
      <c r="D286" s="76"/>
      <c r="E286" s="76"/>
      <c r="F286" s="76"/>
      <c r="G286" s="67"/>
      <c r="H286" s="70">
        <f t="shared" si="4"/>
        <v>0</v>
      </c>
    </row>
    <row r="287" spans="2:10">
      <c r="B287" s="61"/>
      <c r="C287" s="76"/>
      <c r="D287" s="76"/>
      <c r="E287" s="76"/>
      <c r="F287" s="76"/>
      <c r="G287" s="67"/>
      <c r="H287" s="70">
        <f t="shared" si="4"/>
        <v>0</v>
      </c>
    </row>
    <row r="288" spans="2:10">
      <c r="B288" s="61"/>
      <c r="C288" s="76"/>
      <c r="D288" s="76"/>
      <c r="E288" s="76"/>
      <c r="F288" s="76"/>
      <c r="G288" s="67"/>
      <c r="H288" s="70">
        <f t="shared" si="4"/>
        <v>0</v>
      </c>
    </row>
    <row r="289" spans="2:8">
      <c r="B289" s="61"/>
      <c r="C289" s="76"/>
      <c r="D289" s="76"/>
      <c r="E289" s="76"/>
      <c r="F289" s="76"/>
      <c r="G289" s="67"/>
      <c r="H289" s="70">
        <f t="shared" si="4"/>
        <v>0</v>
      </c>
    </row>
    <row r="290" spans="2:8">
      <c r="B290" s="61"/>
      <c r="C290" s="76"/>
      <c r="D290" s="76"/>
      <c r="E290" s="76"/>
      <c r="F290" s="76"/>
      <c r="G290" s="67"/>
      <c r="H290" s="70">
        <f t="shared" si="4"/>
        <v>0</v>
      </c>
    </row>
    <row r="291" spans="2:8">
      <c r="B291" s="61"/>
      <c r="C291" s="76"/>
      <c r="D291" s="76"/>
      <c r="E291" s="76"/>
      <c r="F291" s="76"/>
      <c r="G291" s="67"/>
      <c r="H291" s="70">
        <f t="shared" si="4"/>
        <v>0</v>
      </c>
    </row>
    <row r="292" spans="2:8">
      <c r="B292" s="61"/>
      <c r="C292" s="76"/>
      <c r="D292" s="76"/>
      <c r="E292" s="76"/>
      <c r="F292" s="76"/>
      <c r="G292" s="67"/>
      <c r="H292" s="70">
        <f t="shared" si="4"/>
        <v>0</v>
      </c>
    </row>
    <row r="293" spans="2:8">
      <c r="B293" s="61"/>
      <c r="C293" s="76"/>
      <c r="D293" s="76"/>
      <c r="E293" s="76"/>
      <c r="F293" s="76"/>
      <c r="G293" s="67"/>
      <c r="H293" s="70">
        <f t="shared" si="4"/>
        <v>0</v>
      </c>
    </row>
    <row r="294" spans="2:8">
      <c r="B294" s="61"/>
      <c r="C294" s="76"/>
      <c r="D294" s="76"/>
      <c r="E294" s="76"/>
      <c r="F294" s="76"/>
      <c r="G294" s="67"/>
      <c r="H294" s="70">
        <f t="shared" si="4"/>
        <v>0</v>
      </c>
    </row>
    <row r="295" spans="2:8">
      <c r="B295" s="61"/>
      <c r="C295" s="76"/>
      <c r="D295" s="76"/>
      <c r="E295" s="76"/>
      <c r="F295" s="76"/>
      <c r="G295" s="67"/>
      <c r="H295" s="70">
        <f t="shared" si="4"/>
        <v>0</v>
      </c>
    </row>
    <row r="296" spans="2:8">
      <c r="B296" s="61"/>
      <c r="C296" s="74"/>
      <c r="D296" s="74"/>
      <c r="E296" s="74"/>
      <c r="F296" s="74"/>
      <c r="G296" s="67"/>
      <c r="H296" s="70">
        <f t="shared" si="4"/>
        <v>0</v>
      </c>
    </row>
    <row r="297" spans="2:8">
      <c r="B297" s="61"/>
      <c r="C297" s="74"/>
      <c r="D297" s="74"/>
      <c r="E297" s="74"/>
      <c r="F297" s="74"/>
      <c r="G297" s="67"/>
      <c r="H297" s="70">
        <f t="shared" si="4"/>
        <v>0</v>
      </c>
    </row>
    <row r="298" spans="2:8">
      <c r="B298" s="61"/>
      <c r="C298" s="74"/>
      <c r="D298" s="74"/>
      <c r="E298" s="74"/>
      <c r="F298" s="74"/>
      <c r="G298" s="67"/>
      <c r="H298" s="70">
        <f t="shared" si="4"/>
        <v>0</v>
      </c>
    </row>
    <row r="299" spans="2:8">
      <c r="B299" s="61"/>
      <c r="C299" s="74"/>
      <c r="D299" s="74"/>
      <c r="E299" s="74"/>
      <c r="F299" s="74"/>
      <c r="G299" s="67"/>
      <c r="H299" s="70">
        <f t="shared" si="4"/>
        <v>0</v>
      </c>
    </row>
    <row r="300" spans="2:8">
      <c r="B300" s="61"/>
      <c r="C300" s="74"/>
      <c r="D300" s="74"/>
      <c r="E300" s="74"/>
      <c r="F300" s="74"/>
      <c r="G300" s="67"/>
      <c r="H300" s="70">
        <f t="shared" si="4"/>
        <v>0</v>
      </c>
    </row>
    <row r="301" spans="2:8">
      <c r="B301" s="61"/>
      <c r="C301" s="74"/>
      <c r="D301" s="74"/>
      <c r="E301" s="74"/>
      <c r="F301" s="74"/>
      <c r="G301" s="67"/>
      <c r="H301" s="70">
        <f t="shared" si="4"/>
        <v>0</v>
      </c>
    </row>
    <row r="302" spans="2:8">
      <c r="B302" s="61"/>
      <c r="C302" s="74"/>
      <c r="D302" s="74"/>
      <c r="E302" s="74"/>
      <c r="F302" s="74"/>
      <c r="G302" s="67"/>
      <c r="H302" s="70">
        <f t="shared" si="4"/>
        <v>0</v>
      </c>
    </row>
    <row r="303" spans="2:8">
      <c r="B303" s="61"/>
      <c r="C303" s="74"/>
      <c r="D303" s="74"/>
      <c r="E303" s="74"/>
      <c r="F303" s="74"/>
      <c r="G303" s="67"/>
      <c r="H303" s="70">
        <f t="shared" si="4"/>
        <v>0</v>
      </c>
    </row>
    <row r="304" spans="2:8">
      <c r="B304" s="61"/>
      <c r="C304" s="74"/>
      <c r="D304" s="74"/>
      <c r="E304" s="74"/>
      <c r="F304" s="74"/>
      <c r="G304" s="67"/>
      <c r="H304" s="70">
        <f t="shared" si="4"/>
        <v>0</v>
      </c>
    </row>
    <row r="305" spans="2:8">
      <c r="B305" s="61"/>
      <c r="C305" s="74"/>
      <c r="D305" s="74"/>
      <c r="E305" s="74"/>
      <c r="F305" s="74"/>
      <c r="G305" s="67"/>
      <c r="H305" s="70">
        <f t="shared" si="4"/>
        <v>0</v>
      </c>
    </row>
    <row r="306" spans="2:8">
      <c r="B306" s="61"/>
      <c r="C306" s="74"/>
      <c r="D306" s="74"/>
      <c r="E306" s="74"/>
      <c r="F306" s="74"/>
      <c r="G306" s="67"/>
      <c r="H306" s="70">
        <f t="shared" si="4"/>
        <v>0</v>
      </c>
    </row>
    <row r="307" spans="2:8">
      <c r="B307" s="61"/>
      <c r="C307" s="74"/>
      <c r="D307" s="74"/>
      <c r="E307" s="74"/>
      <c r="F307" s="74"/>
      <c r="G307" s="67"/>
      <c r="H307" s="70">
        <f t="shared" si="4"/>
        <v>0</v>
      </c>
    </row>
    <row r="308" spans="2:8">
      <c r="B308" s="61"/>
      <c r="C308" s="74"/>
      <c r="D308" s="74"/>
      <c r="E308" s="74"/>
      <c r="F308" s="74"/>
      <c r="G308" s="67"/>
      <c r="H308" s="70">
        <f t="shared" si="4"/>
        <v>0</v>
      </c>
    </row>
    <row r="309" spans="2:8">
      <c r="B309" s="61"/>
      <c r="C309" s="74"/>
      <c r="D309" s="74"/>
      <c r="E309" s="74"/>
      <c r="F309" s="74"/>
      <c r="G309" s="67"/>
      <c r="H309" s="70">
        <f t="shared" si="4"/>
        <v>0</v>
      </c>
    </row>
    <row r="310" spans="2:8">
      <c r="B310" s="61"/>
      <c r="C310" s="74"/>
      <c r="D310" s="74"/>
      <c r="E310" s="74"/>
      <c r="F310" s="74"/>
      <c r="G310" s="67"/>
      <c r="H310" s="70">
        <f t="shared" si="4"/>
        <v>0</v>
      </c>
    </row>
    <row r="311" spans="2:8">
      <c r="B311" s="61"/>
      <c r="C311" s="74"/>
      <c r="D311" s="74"/>
      <c r="E311" s="74"/>
      <c r="F311" s="74"/>
      <c r="G311" s="67"/>
      <c r="H311" s="70">
        <f t="shared" si="4"/>
        <v>0</v>
      </c>
    </row>
    <row r="312" spans="2:8">
      <c r="B312" s="61"/>
      <c r="C312" s="74"/>
      <c r="D312" s="74"/>
      <c r="E312" s="74"/>
      <c r="F312" s="74"/>
      <c r="G312" s="67"/>
      <c r="H312" s="70">
        <f t="shared" si="4"/>
        <v>0</v>
      </c>
    </row>
    <row r="313" spans="2:8">
      <c r="B313" s="61"/>
      <c r="C313" s="74"/>
      <c r="D313" s="74"/>
      <c r="E313" s="74"/>
      <c r="F313" s="74"/>
      <c r="G313" s="67"/>
      <c r="H313" s="70">
        <f t="shared" si="4"/>
        <v>0</v>
      </c>
    </row>
    <row r="314" spans="2:8">
      <c r="B314" s="17"/>
    </row>
    <row r="315" spans="2:8">
      <c r="B315" s="17"/>
    </row>
    <row r="316" spans="2:8">
      <c r="B316" s="17"/>
    </row>
    <row r="317" spans="2:8">
      <c r="B317" s="17"/>
    </row>
    <row r="318" spans="2:8">
      <c r="B318" s="17"/>
    </row>
    <row r="319" spans="2:8">
      <c r="B319" s="17"/>
    </row>
    <row r="320" spans="2:8">
      <c r="B320" s="17"/>
    </row>
    <row r="321" spans="2:2">
      <c r="B321" s="17"/>
    </row>
    <row r="322" spans="2:2">
      <c r="B322" s="17"/>
    </row>
    <row r="323" spans="2:2">
      <c r="B323" s="17"/>
    </row>
    <row r="324" spans="2:2">
      <c r="B324" s="17"/>
    </row>
    <row r="325" spans="2:2">
      <c r="B325" s="17"/>
    </row>
    <row r="326" spans="2:2">
      <c r="B326" s="17"/>
    </row>
    <row r="327" spans="2:2">
      <c r="B327" s="17"/>
    </row>
    <row r="328" spans="2:2">
      <c r="B328" s="17"/>
    </row>
    <row r="329" spans="2:2">
      <c r="B329" s="17"/>
    </row>
    <row r="330" spans="2:2">
      <c r="B330" s="17"/>
    </row>
    <row r="331" spans="2:2">
      <c r="B331" s="17"/>
    </row>
    <row r="332" spans="2:2">
      <c r="B332" s="17"/>
    </row>
    <row r="333" spans="2:2">
      <c r="B333" s="17"/>
    </row>
    <row r="334" spans="2:2">
      <c r="B334" s="17"/>
    </row>
    <row r="335" spans="2:2">
      <c r="B335" s="17"/>
    </row>
    <row r="336" spans="2:2">
      <c r="B336" s="17"/>
    </row>
    <row r="337" spans="2:2">
      <c r="B337" s="17"/>
    </row>
    <row r="338" spans="2:2">
      <c r="B338" s="17"/>
    </row>
    <row r="339" spans="2:2">
      <c r="B339" s="17"/>
    </row>
    <row r="340" spans="2:2">
      <c r="B340" s="17"/>
    </row>
    <row r="341" spans="2:2">
      <c r="B341" s="17"/>
    </row>
    <row r="342" spans="2:2">
      <c r="B342" s="17"/>
    </row>
    <row r="343" spans="2:2">
      <c r="B343" s="17"/>
    </row>
    <row r="344" spans="2:2">
      <c r="B344" s="17"/>
    </row>
    <row r="345" spans="2:2">
      <c r="B345" s="17"/>
    </row>
    <row r="346" spans="2:2">
      <c r="B346" s="17"/>
    </row>
    <row r="347" spans="2:2">
      <c r="B347" s="17"/>
    </row>
    <row r="348" spans="2:2">
      <c r="B348" s="17"/>
    </row>
    <row r="349" spans="2:2">
      <c r="B349" s="17"/>
    </row>
    <row r="350" spans="2:2">
      <c r="B350" s="17"/>
    </row>
    <row r="351" spans="2:2">
      <c r="B351" s="17"/>
    </row>
    <row r="352" spans="2:2">
      <c r="B352" s="17"/>
    </row>
    <row r="353" spans="2:2">
      <c r="B353" s="17"/>
    </row>
    <row r="354" spans="2:2">
      <c r="B354" s="17"/>
    </row>
    <row r="355" spans="2:2">
      <c r="B355" s="17"/>
    </row>
    <row r="356" spans="2:2">
      <c r="B356" s="17"/>
    </row>
    <row r="357" spans="2:2">
      <c r="B357" s="17"/>
    </row>
    <row r="358" spans="2:2">
      <c r="B358" s="17"/>
    </row>
    <row r="359" spans="2:2">
      <c r="B359" s="17"/>
    </row>
    <row r="360" spans="2:2">
      <c r="B360" s="17"/>
    </row>
    <row r="361" spans="2:2">
      <c r="B361" s="17"/>
    </row>
    <row r="362" spans="2:2">
      <c r="B362" s="17"/>
    </row>
    <row r="363" spans="2:2">
      <c r="B363" s="17"/>
    </row>
    <row r="364" spans="2:2">
      <c r="B364" s="17"/>
    </row>
    <row r="365" spans="2:2">
      <c r="B365" s="17"/>
    </row>
    <row r="366" spans="2:2">
      <c r="B366" s="17"/>
    </row>
    <row r="367" spans="2:2">
      <c r="B367" s="17"/>
    </row>
    <row r="368" spans="2:2">
      <c r="B368" s="17"/>
    </row>
    <row r="369" spans="2:5">
      <c r="B369" s="17"/>
    </row>
    <row r="370" spans="2:5">
      <c r="B370" s="17"/>
      <c r="E370" s="2"/>
    </row>
    <row r="371" spans="2:5">
      <c r="B371" s="17"/>
      <c r="E371" s="2"/>
    </row>
    <row r="372" spans="2:5">
      <c r="B372" s="17"/>
      <c r="E372" s="2"/>
    </row>
    <row r="373" spans="2:5">
      <c r="B373" s="17"/>
      <c r="E373" s="2"/>
    </row>
    <row r="374" spans="2:5">
      <c r="B374" s="17"/>
      <c r="E374" s="2"/>
    </row>
    <row r="375" spans="2:5">
      <c r="B375" s="17"/>
      <c r="E375" s="2"/>
    </row>
    <row r="376" spans="2:5">
      <c r="B376" s="17"/>
      <c r="E376" s="2"/>
    </row>
    <row r="377" spans="2:5">
      <c r="B377" s="17"/>
      <c r="E377" s="2"/>
    </row>
    <row r="378" spans="2:5">
      <c r="B378" s="17"/>
      <c r="E378" s="2"/>
    </row>
    <row r="379" spans="2:5">
      <c r="B379" s="17"/>
      <c r="E379" s="2"/>
    </row>
    <row r="380" spans="2:5">
      <c r="B380" s="17"/>
      <c r="E380" s="2"/>
    </row>
    <row r="381" spans="2:5">
      <c r="B381" s="17"/>
      <c r="E381" s="2"/>
    </row>
    <row r="382" spans="2:5">
      <c r="B382" s="17"/>
      <c r="E382" s="2"/>
    </row>
    <row r="383" spans="2:5">
      <c r="B383" s="17"/>
      <c r="E383" s="2"/>
    </row>
    <row r="384" spans="2:5">
      <c r="B384" s="17"/>
      <c r="E384" s="2"/>
    </row>
    <row r="385" spans="2:5">
      <c r="B385" s="17"/>
      <c r="E385" s="2"/>
    </row>
    <row r="386" spans="2:5">
      <c r="B386" s="17"/>
      <c r="E386" s="2"/>
    </row>
    <row r="387" spans="2:5">
      <c r="B387" s="17"/>
      <c r="E387" s="2"/>
    </row>
    <row r="388" spans="2:5">
      <c r="B388" s="17"/>
      <c r="E388" s="2"/>
    </row>
    <row r="389" spans="2:5">
      <c r="B389" s="17"/>
      <c r="E389" s="2"/>
    </row>
    <row r="390" spans="2:5">
      <c r="B390" s="17"/>
      <c r="E390" s="2"/>
    </row>
    <row r="391" spans="2:5">
      <c r="B391" s="17"/>
      <c r="E391" s="2"/>
    </row>
    <row r="392" spans="2:5">
      <c r="B392" s="17"/>
      <c r="E392" s="2"/>
    </row>
    <row r="393" spans="2:5">
      <c r="B393" s="17"/>
      <c r="E393" s="2"/>
    </row>
    <row r="394" spans="2:5">
      <c r="B394" s="17"/>
      <c r="E394" s="2"/>
    </row>
    <row r="395" spans="2:5">
      <c r="B395" s="17"/>
      <c r="E395" s="2"/>
    </row>
    <row r="396" spans="2:5">
      <c r="B396" s="17"/>
      <c r="E396" s="2"/>
    </row>
    <row r="397" spans="2:5">
      <c r="B397" s="17"/>
      <c r="E397" s="2"/>
    </row>
    <row r="398" spans="2:5">
      <c r="B398" s="17"/>
      <c r="E398" s="2"/>
    </row>
    <row r="399" spans="2:5">
      <c r="B399" s="17"/>
      <c r="E399" s="2"/>
    </row>
    <row r="400" spans="2:5">
      <c r="B400" s="17"/>
      <c r="E400" s="2"/>
    </row>
    <row r="401" spans="2:5">
      <c r="B401" s="17"/>
      <c r="E401" s="2"/>
    </row>
    <row r="402" spans="2:5">
      <c r="B402" s="17"/>
      <c r="E402" s="2"/>
    </row>
    <row r="403" spans="2:5">
      <c r="B403" s="17"/>
      <c r="E403" s="2"/>
    </row>
    <row r="404" spans="2:5">
      <c r="B404" s="17"/>
      <c r="E404" s="2"/>
    </row>
    <row r="405" spans="2:5">
      <c r="B405" s="17"/>
      <c r="E405" s="2"/>
    </row>
    <row r="406" spans="2:5">
      <c r="B406" s="17"/>
      <c r="E406" s="2"/>
    </row>
    <row r="407" spans="2:5">
      <c r="B407" s="17"/>
      <c r="E407" s="2"/>
    </row>
    <row r="408" spans="2:5">
      <c r="B408" s="17"/>
      <c r="E408" s="2"/>
    </row>
    <row r="409" spans="2:5">
      <c r="B409" s="17"/>
      <c r="E409" s="2"/>
    </row>
    <row r="410" spans="2:5">
      <c r="B410" s="17"/>
      <c r="E410" s="2"/>
    </row>
    <row r="411" spans="2:5">
      <c r="B411" s="17"/>
      <c r="E411" s="2"/>
    </row>
    <row r="412" spans="2:5">
      <c r="B412" s="17"/>
      <c r="E412" s="2"/>
    </row>
    <row r="413" spans="2:5">
      <c r="B413" s="17"/>
      <c r="E413" s="2"/>
    </row>
    <row r="414" spans="2:5">
      <c r="B414" s="17"/>
      <c r="E414" s="2"/>
    </row>
    <row r="415" spans="2:5">
      <c r="B415" s="17"/>
      <c r="E415" s="2"/>
    </row>
    <row r="416" spans="2:5">
      <c r="B416" s="17"/>
      <c r="E416" s="2"/>
    </row>
    <row r="417" spans="2:5">
      <c r="B417" s="17"/>
      <c r="E417" s="2"/>
    </row>
    <row r="418" spans="2:5">
      <c r="B418" s="17"/>
      <c r="E418" s="2"/>
    </row>
    <row r="419" spans="2:5">
      <c r="B419" s="17"/>
      <c r="E419" s="2"/>
    </row>
    <row r="420" spans="2:5">
      <c r="B420" s="17"/>
      <c r="E420" s="2"/>
    </row>
    <row r="421" spans="2:5">
      <c r="B421" s="17"/>
      <c r="E421" s="2"/>
    </row>
    <row r="422" spans="2:5">
      <c r="B422" s="17"/>
      <c r="E422" s="2"/>
    </row>
    <row r="423" spans="2:5">
      <c r="B423" s="17"/>
      <c r="E423" s="2"/>
    </row>
    <row r="424" spans="2:5">
      <c r="B424" s="17"/>
      <c r="E424" s="2"/>
    </row>
    <row r="425" spans="2:5">
      <c r="B425" s="17"/>
      <c r="E425" s="2"/>
    </row>
    <row r="426" spans="2:5">
      <c r="B426" s="17"/>
      <c r="E426" s="2"/>
    </row>
    <row r="427" spans="2:5">
      <c r="B427" s="17"/>
      <c r="E427" s="2"/>
    </row>
    <row r="428" spans="2:5">
      <c r="B428" s="17"/>
      <c r="E428" s="2"/>
    </row>
    <row r="429" spans="2:5">
      <c r="B429" s="17"/>
      <c r="E429" s="2"/>
    </row>
    <row r="430" spans="2:5">
      <c r="B430" s="17"/>
      <c r="E430" s="2"/>
    </row>
    <row r="431" spans="2:5">
      <c r="B431" s="17"/>
      <c r="E431" s="2"/>
    </row>
    <row r="432" spans="2:5">
      <c r="B432" s="17"/>
      <c r="E432" s="2"/>
    </row>
    <row r="433" spans="2:5">
      <c r="B433" s="17"/>
      <c r="E433" s="2"/>
    </row>
    <row r="434" spans="2:5">
      <c r="B434" s="17"/>
      <c r="E434" s="2"/>
    </row>
    <row r="435" spans="2:5">
      <c r="B435" s="17"/>
      <c r="E435" s="2"/>
    </row>
    <row r="436" spans="2:5">
      <c r="B436" s="17"/>
      <c r="E436" s="2"/>
    </row>
    <row r="437" spans="2:5">
      <c r="B437" s="17"/>
      <c r="E437" s="2"/>
    </row>
    <row r="438" spans="2:5">
      <c r="B438" s="17"/>
      <c r="E438" s="2"/>
    </row>
    <row r="439" spans="2:5">
      <c r="B439" s="17"/>
      <c r="E439" s="2"/>
    </row>
    <row r="440" spans="2:5">
      <c r="B440" s="17"/>
      <c r="E440" s="2"/>
    </row>
    <row r="441" spans="2:5">
      <c r="B441" s="17"/>
      <c r="E441" s="2"/>
    </row>
    <row r="442" spans="2:5">
      <c r="B442" s="17"/>
      <c r="E442" s="2"/>
    </row>
    <row r="443" spans="2:5">
      <c r="B443" s="17"/>
      <c r="E443" s="2"/>
    </row>
    <row r="444" spans="2:5">
      <c r="B444" s="17"/>
      <c r="E444" s="2"/>
    </row>
    <row r="445" spans="2:5">
      <c r="B445" s="17"/>
      <c r="E445" s="2"/>
    </row>
    <row r="446" spans="2:5">
      <c r="B446" s="17"/>
      <c r="E446" s="2"/>
    </row>
    <row r="447" spans="2:5">
      <c r="B447" s="17"/>
      <c r="E447" s="2"/>
    </row>
    <row r="448" spans="2:5">
      <c r="B448" s="17"/>
      <c r="E448" s="2"/>
    </row>
    <row r="449" spans="2:5">
      <c r="B449" s="17"/>
      <c r="E449" s="2"/>
    </row>
    <row r="450" spans="2:5">
      <c r="B450" s="17"/>
      <c r="E450" s="2"/>
    </row>
    <row r="451" spans="2:5">
      <c r="B451" s="17"/>
      <c r="E451" s="2"/>
    </row>
    <row r="452" spans="2:5">
      <c r="B452" s="17"/>
      <c r="E452" s="2"/>
    </row>
    <row r="453" spans="2:5">
      <c r="B453" s="17"/>
      <c r="E453" s="2"/>
    </row>
    <row r="454" spans="2:5">
      <c r="B454" s="17"/>
      <c r="E454" s="2"/>
    </row>
    <row r="455" spans="2:5">
      <c r="B455" s="17"/>
      <c r="E455" s="2"/>
    </row>
    <row r="456" spans="2:5">
      <c r="B456" s="17"/>
      <c r="E456" s="2"/>
    </row>
    <row r="457" spans="2:5">
      <c r="B457" s="17"/>
      <c r="E457" s="2"/>
    </row>
    <row r="458" spans="2:5">
      <c r="B458" s="17"/>
      <c r="E458" s="2"/>
    </row>
    <row r="459" spans="2:5">
      <c r="B459" s="17"/>
      <c r="E459" s="2"/>
    </row>
    <row r="460" spans="2:5">
      <c r="B460" s="17"/>
      <c r="E460" s="2"/>
    </row>
    <row r="461" spans="2:5">
      <c r="B461" s="17"/>
      <c r="E461" s="2"/>
    </row>
    <row r="462" spans="2:5">
      <c r="B462" s="17"/>
      <c r="E462" s="2"/>
    </row>
    <row r="463" spans="2:5">
      <c r="B463" s="17"/>
      <c r="E463" s="2"/>
    </row>
    <row r="464" spans="2:5">
      <c r="B464" s="17"/>
      <c r="E464" s="2"/>
    </row>
    <row r="465" spans="2:5">
      <c r="B465" s="17"/>
      <c r="E465" s="2"/>
    </row>
    <row r="466" spans="2:5">
      <c r="B466" s="17"/>
      <c r="E466" s="2"/>
    </row>
    <row r="467" spans="2:5">
      <c r="B467" s="17"/>
      <c r="E467" s="2"/>
    </row>
    <row r="468" spans="2:5">
      <c r="B468" s="17"/>
      <c r="E468" s="2"/>
    </row>
    <row r="469" spans="2:5">
      <c r="B469" s="17"/>
      <c r="E469" s="2"/>
    </row>
    <row r="470" spans="2:5">
      <c r="B470" s="17"/>
      <c r="E470" s="2"/>
    </row>
    <row r="471" spans="2:5">
      <c r="B471" s="17"/>
      <c r="E471" s="2"/>
    </row>
    <row r="472" spans="2:5">
      <c r="B472" s="17"/>
      <c r="E472" s="2"/>
    </row>
    <row r="473" spans="2:5">
      <c r="B473" s="17"/>
      <c r="E473" s="2"/>
    </row>
    <row r="474" spans="2:5">
      <c r="B474" s="17"/>
      <c r="E474" s="2"/>
    </row>
    <row r="475" spans="2:5">
      <c r="B475" s="17"/>
      <c r="E475" s="2"/>
    </row>
    <row r="476" spans="2:5">
      <c r="B476" s="17"/>
      <c r="E476" s="2"/>
    </row>
    <row r="477" spans="2:5">
      <c r="B477" s="17"/>
      <c r="E477" s="2"/>
    </row>
    <row r="478" spans="2:5">
      <c r="B478" s="17"/>
      <c r="E478" s="2"/>
    </row>
    <row r="479" spans="2:5">
      <c r="B479" s="17"/>
      <c r="E479" s="2"/>
    </row>
    <row r="480" spans="2:5">
      <c r="B480" s="17"/>
      <c r="E480" s="2"/>
    </row>
    <row r="481" spans="2:5">
      <c r="B481" s="17"/>
      <c r="E481" s="2"/>
    </row>
    <row r="482" spans="2:5">
      <c r="B482" s="17"/>
      <c r="E482" s="2"/>
    </row>
    <row r="483" spans="2:5">
      <c r="B483" s="17"/>
      <c r="E483" s="2"/>
    </row>
    <row r="484" spans="2:5">
      <c r="B484" s="17"/>
      <c r="E484" s="2"/>
    </row>
    <row r="485" spans="2:5">
      <c r="B485" s="17"/>
      <c r="E485" s="2"/>
    </row>
    <row r="486" spans="2:5">
      <c r="B486" s="17"/>
      <c r="E486" s="2"/>
    </row>
    <row r="487" spans="2:5">
      <c r="B487" s="17"/>
      <c r="E487" s="2"/>
    </row>
    <row r="488" spans="2:5">
      <c r="B488" s="17"/>
      <c r="E488" s="2"/>
    </row>
    <row r="489" spans="2:5">
      <c r="B489" s="17"/>
      <c r="E489" s="2"/>
    </row>
    <row r="490" spans="2:5">
      <c r="B490" s="17"/>
      <c r="E490" s="2"/>
    </row>
    <row r="491" spans="2:5">
      <c r="B491" s="17"/>
      <c r="E491" s="2"/>
    </row>
    <row r="492" spans="2:5">
      <c r="B492" s="17"/>
      <c r="E492" s="2"/>
    </row>
    <row r="493" spans="2:5">
      <c r="B493" s="17"/>
      <c r="E493" s="2"/>
    </row>
    <row r="494" spans="2:5">
      <c r="B494" s="17"/>
      <c r="E494" s="2"/>
    </row>
    <row r="495" spans="2:5">
      <c r="B495" s="17"/>
      <c r="E495" s="2"/>
    </row>
    <row r="496" spans="2:5">
      <c r="B496" s="17"/>
      <c r="E496" s="2"/>
    </row>
    <row r="497" spans="2:5">
      <c r="B497" s="17"/>
      <c r="E497" s="2"/>
    </row>
    <row r="498" spans="2:5">
      <c r="B498" s="17"/>
      <c r="E498" s="2"/>
    </row>
    <row r="499" spans="2:5">
      <c r="B499" s="17"/>
      <c r="E499" s="2"/>
    </row>
    <row r="500" spans="2:5">
      <c r="B500" s="17"/>
      <c r="E500" s="2"/>
    </row>
    <row r="501" spans="2:5">
      <c r="B501" s="17"/>
      <c r="E501" s="2"/>
    </row>
    <row r="502" spans="2:5">
      <c r="B502" s="17"/>
      <c r="E502" s="2"/>
    </row>
    <row r="503" spans="2:5">
      <c r="B503" s="17"/>
      <c r="E503" s="2"/>
    </row>
    <row r="504" spans="2:5">
      <c r="B504" s="17"/>
      <c r="E504" s="2"/>
    </row>
    <row r="505" spans="2:5">
      <c r="B505" s="17"/>
      <c r="E505" s="2"/>
    </row>
    <row r="506" spans="2:5">
      <c r="B506" s="17"/>
      <c r="E506" s="2"/>
    </row>
    <row r="507" spans="2:5">
      <c r="B507" s="17"/>
      <c r="E507" s="2"/>
    </row>
    <row r="508" spans="2:5">
      <c r="B508" s="17"/>
      <c r="E508" s="2"/>
    </row>
    <row r="509" spans="2:5">
      <c r="B509" s="17"/>
      <c r="E509" s="2"/>
    </row>
    <row r="510" spans="2:5">
      <c r="B510" s="17"/>
      <c r="E510" s="2"/>
    </row>
    <row r="511" spans="2:5">
      <c r="B511" s="17"/>
      <c r="E511" s="2"/>
    </row>
    <row r="512" spans="2:5">
      <c r="B512" s="17"/>
      <c r="E512" s="2"/>
    </row>
    <row r="513" spans="2:5">
      <c r="B513" s="17"/>
      <c r="E513" s="2"/>
    </row>
    <row r="514" spans="2:5">
      <c r="B514" s="17"/>
      <c r="E514" s="2"/>
    </row>
    <row r="515" spans="2:5">
      <c r="B515" s="17"/>
      <c r="E515" s="2"/>
    </row>
    <row r="516" spans="2:5">
      <c r="B516" s="17"/>
      <c r="E516" s="2"/>
    </row>
    <row r="517" spans="2:5">
      <c r="B517" s="17"/>
      <c r="E517" s="2"/>
    </row>
    <row r="518" spans="2:5">
      <c r="B518" s="17"/>
      <c r="E518" s="2"/>
    </row>
    <row r="519" spans="2:5">
      <c r="B519" s="17"/>
      <c r="E519" s="2"/>
    </row>
    <row r="520" spans="2:5">
      <c r="B520" s="17"/>
      <c r="E520" s="2"/>
    </row>
    <row r="521" spans="2:5">
      <c r="B521" s="17"/>
      <c r="E521" s="2"/>
    </row>
    <row r="522" spans="2:5">
      <c r="B522" s="17"/>
      <c r="E522" s="2"/>
    </row>
    <row r="523" spans="2:5">
      <c r="B523" s="17"/>
      <c r="E523" s="2"/>
    </row>
    <row r="524" spans="2:5">
      <c r="B524" s="17"/>
      <c r="E524" s="2"/>
    </row>
    <row r="525" spans="2:5">
      <c r="B525" s="17"/>
      <c r="E525" s="2"/>
    </row>
    <row r="526" spans="2:5">
      <c r="B526" s="17"/>
      <c r="E526" s="2"/>
    </row>
    <row r="527" spans="2:5">
      <c r="B527" s="17"/>
      <c r="E527" s="2"/>
    </row>
    <row r="528" spans="2:5">
      <c r="B528" s="17"/>
      <c r="E528" s="2"/>
    </row>
    <row r="529" spans="2:5">
      <c r="B529" s="17"/>
      <c r="E529" s="2"/>
    </row>
    <row r="530" spans="2:5">
      <c r="B530" s="17"/>
      <c r="E530" s="2"/>
    </row>
    <row r="531" spans="2:5">
      <c r="B531" s="17"/>
      <c r="E531" s="2"/>
    </row>
    <row r="532" spans="2:5">
      <c r="B532" s="17"/>
      <c r="E532" s="2"/>
    </row>
    <row r="533" spans="2:5">
      <c r="B533" s="17"/>
      <c r="E533" s="2"/>
    </row>
    <row r="534" spans="2:5">
      <c r="B534" s="17"/>
      <c r="E534" s="2"/>
    </row>
    <row r="535" spans="2:5">
      <c r="B535" s="17"/>
      <c r="E535" s="2"/>
    </row>
    <row r="536" spans="2:5">
      <c r="B536" s="17"/>
      <c r="E536" s="2"/>
    </row>
    <row r="537" spans="2:5">
      <c r="B537" s="17"/>
      <c r="E537" s="2"/>
    </row>
    <row r="538" spans="2:5">
      <c r="B538" s="17"/>
      <c r="E538" s="2"/>
    </row>
    <row r="539" spans="2:5">
      <c r="B539" s="17"/>
      <c r="E539" s="2"/>
    </row>
    <row r="540" spans="2:5">
      <c r="B540" s="17"/>
      <c r="E540" s="2"/>
    </row>
    <row r="541" spans="2:5">
      <c r="B541" s="17"/>
      <c r="E541" s="2"/>
    </row>
    <row r="542" spans="2:5">
      <c r="B542" s="17"/>
      <c r="E542" s="2"/>
    </row>
    <row r="543" spans="2:5">
      <c r="B543" s="17"/>
      <c r="E543" s="2"/>
    </row>
    <row r="544" spans="2:5">
      <c r="B544" s="17"/>
      <c r="E544" s="2"/>
    </row>
    <row r="545" spans="2:5">
      <c r="B545" s="17"/>
      <c r="E545" s="2"/>
    </row>
    <row r="546" spans="2:5">
      <c r="B546" s="17"/>
      <c r="E546" s="2"/>
    </row>
    <row r="547" spans="2:5">
      <c r="B547" s="17"/>
      <c r="E547" s="2"/>
    </row>
    <row r="548" spans="2:5">
      <c r="B548" s="17"/>
      <c r="E548" s="2"/>
    </row>
    <row r="549" spans="2:5">
      <c r="B549" s="17"/>
      <c r="E549" s="2"/>
    </row>
    <row r="550" spans="2:5">
      <c r="B550" s="17"/>
      <c r="E550" s="2"/>
    </row>
    <row r="551" spans="2:5">
      <c r="B551" s="17"/>
      <c r="E551" s="2"/>
    </row>
    <row r="552" spans="2:5">
      <c r="B552" s="17"/>
      <c r="E552" s="2"/>
    </row>
    <row r="553" spans="2:5">
      <c r="B553" s="17"/>
      <c r="E553" s="2"/>
    </row>
    <row r="554" spans="2:5">
      <c r="B554" s="17"/>
      <c r="E554" s="2"/>
    </row>
    <row r="555" spans="2:5">
      <c r="B555" s="17"/>
      <c r="E555" s="2"/>
    </row>
    <row r="556" spans="2:5">
      <c r="B556" s="17"/>
      <c r="E556" s="2"/>
    </row>
    <row r="557" spans="2:5">
      <c r="B557" s="17"/>
      <c r="E557" s="2"/>
    </row>
    <row r="558" spans="2:5">
      <c r="B558" s="17"/>
      <c r="E558" s="2"/>
    </row>
    <row r="559" spans="2:5">
      <c r="B559" s="17"/>
      <c r="E559" s="2"/>
    </row>
    <row r="560" spans="2:5">
      <c r="B560" s="17"/>
      <c r="E560" s="2"/>
    </row>
    <row r="561" spans="2:5">
      <c r="B561" s="17"/>
      <c r="E561" s="2"/>
    </row>
    <row r="562" spans="2:5">
      <c r="B562" s="17"/>
      <c r="E562" s="2"/>
    </row>
    <row r="563" spans="2:5">
      <c r="B563" s="17"/>
      <c r="E563" s="2"/>
    </row>
    <row r="564" spans="2:5">
      <c r="B564" s="17"/>
      <c r="E564" s="2"/>
    </row>
    <row r="565" spans="2:5">
      <c r="B565" s="17"/>
      <c r="E565" s="2"/>
    </row>
    <row r="566" spans="2:5">
      <c r="B566" s="17"/>
      <c r="E566" s="2"/>
    </row>
    <row r="567" spans="2:5">
      <c r="B567" s="17"/>
      <c r="E567" s="2"/>
    </row>
    <row r="568" spans="2:5">
      <c r="B568" s="17"/>
      <c r="E568" s="2"/>
    </row>
    <row r="569" spans="2:5">
      <c r="B569" s="17"/>
      <c r="E569" s="2"/>
    </row>
    <row r="570" spans="2:5">
      <c r="B570" s="17"/>
      <c r="E570" s="2"/>
    </row>
    <row r="571" spans="2:5">
      <c r="B571" s="17"/>
      <c r="E571" s="2"/>
    </row>
    <row r="572" spans="2:5">
      <c r="B572" s="17"/>
      <c r="E572" s="2"/>
    </row>
    <row r="573" spans="2:5">
      <c r="B573" s="17"/>
      <c r="E573" s="2"/>
    </row>
    <row r="574" spans="2:5">
      <c r="B574" s="17"/>
      <c r="E574" s="2"/>
    </row>
    <row r="575" spans="2:5">
      <c r="B575" s="17"/>
      <c r="E575" s="2"/>
    </row>
    <row r="576" spans="2:5">
      <c r="B576" s="17"/>
      <c r="E576" s="2"/>
    </row>
    <row r="577" spans="2:5">
      <c r="B577" s="17"/>
      <c r="E577" s="2"/>
    </row>
    <row r="578" spans="2:5">
      <c r="B578" s="17"/>
      <c r="E578" s="2"/>
    </row>
    <row r="579" spans="2:5">
      <c r="B579" s="17"/>
      <c r="E579" s="2"/>
    </row>
    <row r="580" spans="2:5">
      <c r="B580" s="17"/>
      <c r="E580" s="2"/>
    </row>
    <row r="581" spans="2:5">
      <c r="B581" s="17"/>
      <c r="E581" s="2"/>
    </row>
    <row r="582" spans="2:5">
      <c r="B582" s="17"/>
      <c r="E582" s="2"/>
    </row>
    <row r="583" spans="2:5">
      <c r="B583" s="17"/>
      <c r="E583" s="2"/>
    </row>
    <row r="584" spans="2:5">
      <c r="B584" s="17"/>
      <c r="E584" s="2"/>
    </row>
    <row r="585" spans="2:5">
      <c r="B585" s="17"/>
      <c r="E585" s="2"/>
    </row>
    <row r="586" spans="2:5">
      <c r="B586" s="17"/>
      <c r="E586" s="2"/>
    </row>
    <row r="587" spans="2:5">
      <c r="B587" s="17"/>
      <c r="E587" s="2"/>
    </row>
    <row r="588" spans="2:5">
      <c r="B588" s="17"/>
      <c r="E588" s="2"/>
    </row>
    <row r="589" spans="2:5">
      <c r="B589" s="17"/>
      <c r="E589" s="2"/>
    </row>
    <row r="590" spans="2:5">
      <c r="B590" s="17"/>
      <c r="E590" s="2"/>
    </row>
    <row r="591" spans="2:5">
      <c r="B591" s="17"/>
      <c r="E591" s="2"/>
    </row>
    <row r="592" spans="2:5">
      <c r="B592" s="17"/>
      <c r="E592" s="2"/>
    </row>
    <row r="593" spans="2:5">
      <c r="B593" s="17"/>
      <c r="E593" s="2"/>
    </row>
    <row r="594" spans="2:5">
      <c r="B594" s="17"/>
      <c r="E594" s="2"/>
    </row>
    <row r="595" spans="2:5">
      <c r="B595" s="17"/>
      <c r="E595" s="2"/>
    </row>
    <row r="596" spans="2:5">
      <c r="B596" s="17"/>
      <c r="E596" s="2"/>
    </row>
    <row r="597" spans="2:5">
      <c r="B597" s="17"/>
      <c r="E597" s="2"/>
    </row>
    <row r="598" spans="2:5">
      <c r="B598" s="17"/>
      <c r="E598" s="2"/>
    </row>
    <row r="599" spans="2:5">
      <c r="B599" s="17"/>
      <c r="E599" s="2"/>
    </row>
    <row r="600" spans="2:5">
      <c r="B600" s="17"/>
      <c r="E600" s="2"/>
    </row>
    <row r="601" spans="2:5">
      <c r="B601" s="17"/>
      <c r="E601" s="2"/>
    </row>
    <row r="602" spans="2:5">
      <c r="B602" s="17"/>
      <c r="E602" s="2"/>
    </row>
    <row r="603" spans="2:5">
      <c r="B603" s="17"/>
      <c r="E603" s="2"/>
    </row>
    <row r="604" spans="2:5">
      <c r="B604" s="17"/>
      <c r="E604" s="2"/>
    </row>
    <row r="605" spans="2:5">
      <c r="B605" s="17"/>
      <c r="E605" s="2"/>
    </row>
    <row r="606" spans="2:5">
      <c r="B606" s="17"/>
      <c r="E606" s="2"/>
    </row>
    <row r="607" spans="2:5">
      <c r="B607" s="17"/>
      <c r="E607" s="2"/>
    </row>
    <row r="608" spans="2:5">
      <c r="B608" s="17"/>
      <c r="E608" s="2"/>
    </row>
    <row r="609" spans="2:5">
      <c r="B609" s="17"/>
      <c r="E609" s="2"/>
    </row>
    <row r="610" spans="2:5">
      <c r="B610" s="17"/>
      <c r="E610" s="2"/>
    </row>
    <row r="611" spans="2:5">
      <c r="B611" s="17"/>
      <c r="E611" s="2"/>
    </row>
    <row r="612" spans="2:5">
      <c r="B612" s="17"/>
      <c r="E612" s="2"/>
    </row>
    <row r="613" spans="2:5">
      <c r="B613" s="17"/>
      <c r="E613" s="2"/>
    </row>
    <row r="614" spans="2:5">
      <c r="B614" s="17"/>
      <c r="E614" s="2"/>
    </row>
    <row r="615" spans="2:5">
      <c r="B615" s="17"/>
      <c r="E615" s="2"/>
    </row>
    <row r="616" spans="2:5">
      <c r="B616" s="17"/>
      <c r="E616" s="2"/>
    </row>
    <row r="617" spans="2:5">
      <c r="B617" s="17"/>
      <c r="E617" s="2"/>
    </row>
    <row r="618" spans="2:5">
      <c r="B618" s="17"/>
      <c r="E618" s="2"/>
    </row>
    <row r="619" spans="2:5">
      <c r="B619" s="17"/>
      <c r="E619" s="2"/>
    </row>
    <row r="620" spans="2:5">
      <c r="B620" s="17"/>
      <c r="E620" s="2"/>
    </row>
    <row r="621" spans="2:5">
      <c r="B621" s="17"/>
      <c r="E621" s="2"/>
    </row>
    <row r="622" spans="2:5">
      <c r="B622" s="17"/>
      <c r="E622" s="2"/>
    </row>
    <row r="623" spans="2:5">
      <c r="B623" s="17"/>
      <c r="E623" s="2"/>
    </row>
    <row r="624" spans="2:5">
      <c r="B624" s="17"/>
      <c r="E624" s="2"/>
    </row>
    <row r="625" spans="2:5">
      <c r="B625" s="17"/>
      <c r="E625" s="2"/>
    </row>
    <row r="626" spans="2:5">
      <c r="B626" s="17"/>
      <c r="E626" s="2"/>
    </row>
    <row r="627" spans="2:5">
      <c r="B627" s="17"/>
      <c r="E627" s="2"/>
    </row>
    <row r="628" spans="2:5">
      <c r="B628" s="17"/>
      <c r="E628" s="2"/>
    </row>
    <row r="629" spans="2:5">
      <c r="B629" s="17"/>
      <c r="E629" s="2"/>
    </row>
    <row r="630" spans="2:5">
      <c r="B630" s="17"/>
      <c r="E630" s="2"/>
    </row>
    <row r="631" spans="2:5">
      <c r="B631" s="17"/>
      <c r="E631" s="2"/>
    </row>
    <row r="632" spans="2:5">
      <c r="B632" s="17"/>
      <c r="E632" s="2"/>
    </row>
    <row r="633" spans="2:5">
      <c r="B633" s="17"/>
      <c r="E633" s="2"/>
    </row>
    <row r="634" spans="2:5">
      <c r="B634" s="17"/>
      <c r="E634" s="2"/>
    </row>
    <row r="635" spans="2:5">
      <c r="B635" s="17"/>
      <c r="E635" s="2"/>
    </row>
    <row r="636" spans="2:5">
      <c r="B636" s="17"/>
      <c r="E636" s="2"/>
    </row>
    <row r="637" spans="2:5">
      <c r="B637" s="17"/>
      <c r="E637" s="2"/>
    </row>
    <row r="638" spans="2:5">
      <c r="B638" s="17"/>
      <c r="E638" s="2"/>
    </row>
    <row r="639" spans="2:5">
      <c r="B639" s="17"/>
      <c r="E639" s="2"/>
    </row>
    <row r="640" spans="2:5">
      <c r="B640" s="17"/>
      <c r="E640" s="2"/>
    </row>
    <row r="641" spans="2:5">
      <c r="B641" s="17"/>
      <c r="E641" s="2"/>
    </row>
    <row r="642" spans="2:5">
      <c r="B642" s="17"/>
      <c r="E642" s="2"/>
    </row>
    <row r="643" spans="2:5">
      <c r="B643" s="17"/>
      <c r="E643" s="2"/>
    </row>
    <row r="644" spans="2:5">
      <c r="B644" s="17"/>
      <c r="E644" s="2"/>
    </row>
    <row r="645" spans="2:5">
      <c r="B645" s="17"/>
      <c r="E645" s="2"/>
    </row>
    <row r="646" spans="2:5">
      <c r="B646" s="17"/>
      <c r="E646" s="2"/>
    </row>
    <row r="647" spans="2:5">
      <c r="B647" s="17"/>
      <c r="E647" s="2"/>
    </row>
    <row r="648" spans="2:5">
      <c r="B648" s="17"/>
      <c r="E648" s="2"/>
    </row>
    <row r="649" spans="2:5">
      <c r="B649" s="17"/>
      <c r="E649" s="2"/>
    </row>
    <row r="650" spans="2:5">
      <c r="B650" s="17"/>
      <c r="E650" s="2"/>
    </row>
    <row r="651" spans="2:5">
      <c r="B651" s="17"/>
      <c r="E651" s="2"/>
    </row>
    <row r="652" spans="2:5">
      <c r="B652" s="17"/>
      <c r="E652" s="2"/>
    </row>
    <row r="653" spans="2:5">
      <c r="B653" s="17"/>
      <c r="E653" s="2"/>
    </row>
    <row r="654" spans="2:5">
      <c r="B654" s="17"/>
      <c r="E654" s="2"/>
    </row>
    <row r="655" spans="2:5">
      <c r="B655" s="17"/>
      <c r="E655" s="2"/>
    </row>
    <row r="656" spans="2:5">
      <c r="B656" s="17"/>
      <c r="E656" s="2"/>
    </row>
    <row r="657" spans="2:5">
      <c r="B657" s="17"/>
      <c r="E657" s="2"/>
    </row>
    <row r="658" spans="2:5">
      <c r="B658" s="17"/>
      <c r="E658" s="2"/>
    </row>
    <row r="659" spans="2:5">
      <c r="B659" s="17"/>
      <c r="E659" s="2"/>
    </row>
    <row r="660" spans="2:5">
      <c r="B660" s="17"/>
      <c r="E660" s="2"/>
    </row>
    <row r="661" spans="2:5">
      <c r="B661" s="17"/>
      <c r="E661" s="2"/>
    </row>
    <row r="662" spans="2:5">
      <c r="B662" s="17"/>
      <c r="E662" s="2"/>
    </row>
    <row r="663" spans="2:5">
      <c r="B663" s="17"/>
      <c r="E663" s="2"/>
    </row>
    <row r="664" spans="2:5">
      <c r="B664" s="17"/>
      <c r="E664" s="2"/>
    </row>
    <row r="665" spans="2:5">
      <c r="B665" s="17"/>
      <c r="E665" s="2"/>
    </row>
    <row r="666" spans="2:5">
      <c r="B666" s="17"/>
      <c r="E666" s="2"/>
    </row>
    <row r="667" spans="2:5">
      <c r="B667" s="17"/>
      <c r="E667" s="2"/>
    </row>
    <row r="668" spans="2:5">
      <c r="B668" s="17"/>
      <c r="E668" s="2"/>
    </row>
    <row r="669" spans="2:5">
      <c r="B669" s="17"/>
      <c r="E669" s="2"/>
    </row>
    <row r="670" spans="2:5">
      <c r="B670" s="17"/>
      <c r="E670" s="2"/>
    </row>
    <row r="671" spans="2:5">
      <c r="B671" s="17"/>
      <c r="E671" s="2"/>
    </row>
    <row r="672" spans="2:5">
      <c r="B672" s="17"/>
      <c r="E672" s="2"/>
    </row>
    <row r="673" spans="2:5">
      <c r="B673" s="17"/>
      <c r="E673" s="2"/>
    </row>
    <row r="674" spans="2:5">
      <c r="B674" s="17"/>
      <c r="E674" s="2"/>
    </row>
    <row r="675" spans="2:5">
      <c r="B675" s="17"/>
      <c r="E675" s="2"/>
    </row>
    <row r="676" spans="2:5">
      <c r="B676" s="17"/>
      <c r="E676" s="2"/>
    </row>
    <row r="677" spans="2:5">
      <c r="B677" s="17"/>
      <c r="E677" s="2"/>
    </row>
    <row r="678" spans="2:5">
      <c r="B678" s="17"/>
      <c r="E678" s="2"/>
    </row>
    <row r="679" spans="2:5">
      <c r="B679" s="17"/>
      <c r="E679" s="2"/>
    </row>
    <row r="680" spans="2:5">
      <c r="B680" s="17"/>
      <c r="E680" s="2"/>
    </row>
    <row r="681" spans="2:5">
      <c r="B681" s="17"/>
      <c r="E681" s="2"/>
    </row>
    <row r="682" spans="2:5">
      <c r="B682" s="17"/>
      <c r="E682" s="2"/>
    </row>
    <row r="683" spans="2:5">
      <c r="B683" s="17"/>
      <c r="E683" s="2"/>
    </row>
    <row r="684" spans="2:5">
      <c r="B684" s="17"/>
      <c r="E684" s="2"/>
    </row>
    <row r="685" spans="2:5">
      <c r="B685" s="17"/>
      <c r="E685" s="2"/>
    </row>
    <row r="686" spans="2:5">
      <c r="B686" s="17"/>
      <c r="E686" s="2"/>
    </row>
    <row r="687" spans="2:5">
      <c r="B687" s="17"/>
    </row>
    <row r="688" spans="2:5">
      <c r="B688" s="17"/>
    </row>
    <row r="689" spans="2:2">
      <c r="B689" s="17"/>
    </row>
    <row r="690" spans="2:2">
      <c r="B690" s="17"/>
    </row>
    <row r="691" spans="2:2">
      <c r="B691" s="17"/>
    </row>
    <row r="692" spans="2:2">
      <c r="B692" s="17"/>
    </row>
    <row r="693" spans="2:2">
      <c r="B693" s="17"/>
    </row>
    <row r="694" spans="2:2">
      <c r="B694" s="17"/>
    </row>
    <row r="695" spans="2:2">
      <c r="B695" s="17"/>
    </row>
    <row r="696" spans="2:2">
      <c r="B696" s="17"/>
    </row>
    <row r="697" spans="2:2">
      <c r="B697" s="17"/>
    </row>
    <row r="698" spans="2:2">
      <c r="B698" s="17"/>
    </row>
    <row r="699" spans="2:2">
      <c r="B699" s="17"/>
    </row>
    <row r="700" spans="2:2">
      <c r="B700" s="17"/>
    </row>
    <row r="701" spans="2:2">
      <c r="B701" s="17"/>
    </row>
    <row r="702" spans="2:2">
      <c r="B702" s="17"/>
    </row>
    <row r="703" spans="2:2">
      <c r="B703" s="17"/>
    </row>
    <row r="704" spans="2:2">
      <c r="B704" s="17"/>
    </row>
    <row r="705" spans="2:2">
      <c r="B705" s="17"/>
    </row>
    <row r="706" spans="2:2">
      <c r="B706" s="17"/>
    </row>
    <row r="707" spans="2:2">
      <c r="B707" s="17"/>
    </row>
    <row r="708" spans="2:2">
      <c r="B708" s="17"/>
    </row>
    <row r="709" spans="2:2">
      <c r="B709" s="17"/>
    </row>
    <row r="710" spans="2:2">
      <c r="B710" s="17"/>
    </row>
    <row r="711" spans="2:2">
      <c r="B711" s="17"/>
    </row>
    <row r="712" spans="2:2">
      <c r="B712" s="17"/>
    </row>
    <row r="713" spans="2:2">
      <c r="B713" s="17"/>
    </row>
    <row r="714" spans="2:2">
      <c r="B714" s="17"/>
    </row>
    <row r="715" spans="2:2">
      <c r="B715" s="17"/>
    </row>
    <row r="716" spans="2:2">
      <c r="B716" s="17"/>
    </row>
    <row r="717" spans="2:2">
      <c r="B717" s="17"/>
    </row>
    <row r="718" spans="2:2">
      <c r="B718" s="17"/>
    </row>
    <row r="719" spans="2:2">
      <c r="B719" s="17"/>
    </row>
    <row r="720" spans="2:2">
      <c r="B720" s="17"/>
    </row>
    <row r="721" spans="2:2">
      <c r="B721" s="17"/>
    </row>
    <row r="722" spans="2:2">
      <c r="B722" s="17"/>
    </row>
    <row r="723" spans="2:2">
      <c r="B723" s="17"/>
    </row>
    <row r="724" spans="2:2">
      <c r="B724" s="17"/>
    </row>
    <row r="725" spans="2:2">
      <c r="B725" s="17"/>
    </row>
    <row r="726" spans="2:2">
      <c r="B726" s="17"/>
    </row>
    <row r="727" spans="2:2">
      <c r="B727" s="17"/>
    </row>
    <row r="728" spans="2:2">
      <c r="B728" s="17"/>
    </row>
    <row r="729" spans="2:2">
      <c r="B729" s="17"/>
    </row>
    <row r="730" spans="2:2">
      <c r="B730" s="17"/>
    </row>
    <row r="731" spans="2:2">
      <c r="B731" s="17"/>
    </row>
    <row r="732" spans="2:2">
      <c r="B732" s="17"/>
    </row>
    <row r="733" spans="2:2">
      <c r="B733" s="17"/>
    </row>
    <row r="734" spans="2:2">
      <c r="B734" s="17"/>
    </row>
    <row r="735" spans="2:2">
      <c r="B735" s="17"/>
    </row>
    <row r="736" spans="2:2">
      <c r="B736" s="17"/>
    </row>
    <row r="737" spans="2:2">
      <c r="B737" s="17"/>
    </row>
    <row r="738" spans="2:2">
      <c r="B738" s="17"/>
    </row>
    <row r="739" spans="2:2">
      <c r="B739" s="17"/>
    </row>
    <row r="740" spans="2:2">
      <c r="B740" s="17"/>
    </row>
    <row r="741" spans="2:2">
      <c r="B741" s="17"/>
    </row>
    <row r="742" spans="2:2">
      <c r="B742" s="17"/>
    </row>
    <row r="743" spans="2:2">
      <c r="B743" s="17"/>
    </row>
    <row r="744" spans="2:2">
      <c r="B744" s="17"/>
    </row>
    <row r="745" spans="2:2">
      <c r="B745" s="17"/>
    </row>
    <row r="746" spans="2:2">
      <c r="B746" s="17"/>
    </row>
    <row r="747" spans="2:2">
      <c r="B747" s="17"/>
    </row>
    <row r="748" spans="2:2">
      <c r="B748" s="17"/>
    </row>
    <row r="749" spans="2:2">
      <c r="B749" s="17"/>
    </row>
    <row r="750" spans="2:2">
      <c r="B750" s="17"/>
    </row>
    <row r="751" spans="2:2">
      <c r="B751" s="17"/>
    </row>
    <row r="752" spans="2:2">
      <c r="B752" s="17"/>
    </row>
    <row r="753" spans="2:2">
      <c r="B753" s="17"/>
    </row>
    <row r="754" spans="2:2">
      <c r="B754" s="17"/>
    </row>
    <row r="755" spans="2:2">
      <c r="B755" s="17"/>
    </row>
    <row r="756" spans="2:2">
      <c r="B756" s="17"/>
    </row>
    <row r="757" spans="2:2">
      <c r="B757" s="17"/>
    </row>
    <row r="758" spans="2:2">
      <c r="B758" s="17"/>
    </row>
    <row r="759" spans="2:2">
      <c r="B759" s="17"/>
    </row>
    <row r="760" spans="2:2">
      <c r="B760" s="17"/>
    </row>
    <row r="761" spans="2:2">
      <c r="B761" s="17"/>
    </row>
    <row r="762" spans="2:2">
      <c r="B762" s="17"/>
    </row>
    <row r="763" spans="2:2">
      <c r="B763" s="17"/>
    </row>
    <row r="764" spans="2:2">
      <c r="B764" s="17"/>
    </row>
    <row r="765" spans="2:2">
      <c r="B765" s="17"/>
    </row>
    <row r="766" spans="2:2">
      <c r="B766" s="17"/>
    </row>
    <row r="767" spans="2:2">
      <c r="B767" s="17"/>
    </row>
    <row r="768" spans="2:2">
      <c r="B768" s="17"/>
    </row>
    <row r="769" spans="2:2">
      <c r="B769" s="17"/>
    </row>
    <row r="770" spans="2:2">
      <c r="B770" s="17"/>
    </row>
    <row r="771" spans="2:2">
      <c r="B771" s="17"/>
    </row>
    <row r="772" spans="2:2">
      <c r="B772" s="17"/>
    </row>
    <row r="773" spans="2:2">
      <c r="B773" s="17"/>
    </row>
    <row r="774" spans="2:2">
      <c r="B774" s="17"/>
    </row>
    <row r="775" spans="2:2">
      <c r="B775" s="17"/>
    </row>
    <row r="776" spans="2:2">
      <c r="B776" s="17"/>
    </row>
    <row r="777" spans="2:2">
      <c r="B777" s="17"/>
    </row>
    <row r="778" spans="2:2">
      <c r="B778" s="17"/>
    </row>
    <row r="779" spans="2:2">
      <c r="B779" s="17"/>
    </row>
    <row r="780" spans="2:2">
      <c r="B780" s="17"/>
    </row>
    <row r="781" spans="2:2">
      <c r="B781" s="17"/>
    </row>
    <row r="782" spans="2:2">
      <c r="B782" s="17"/>
    </row>
    <row r="783" spans="2:2">
      <c r="B783" s="17"/>
    </row>
    <row r="784" spans="2:2">
      <c r="B784" s="17"/>
    </row>
    <row r="785" spans="2:2">
      <c r="B785" s="17"/>
    </row>
    <row r="786" spans="2:2">
      <c r="B786" s="17"/>
    </row>
    <row r="787" spans="2:2">
      <c r="B787" s="17"/>
    </row>
    <row r="788" spans="2:2">
      <c r="B788" s="17"/>
    </row>
    <row r="789" spans="2:2">
      <c r="B789" s="17"/>
    </row>
    <row r="790" spans="2:2">
      <c r="B790" s="17"/>
    </row>
    <row r="791" spans="2:2">
      <c r="B791" s="17"/>
    </row>
    <row r="792" spans="2:2">
      <c r="B792" s="17"/>
    </row>
    <row r="793" spans="2:2">
      <c r="B793" s="17"/>
    </row>
    <row r="794" spans="2:2">
      <c r="B794" s="17"/>
    </row>
    <row r="795" spans="2:2">
      <c r="B795" s="17"/>
    </row>
    <row r="796" spans="2:2">
      <c r="B796" s="17"/>
    </row>
    <row r="797" spans="2:2">
      <c r="B797" s="17"/>
    </row>
    <row r="798" spans="2:2">
      <c r="B798" s="17"/>
    </row>
    <row r="799" spans="2:2">
      <c r="B799" s="17"/>
    </row>
    <row r="800" spans="2:2">
      <c r="B800" s="17"/>
    </row>
    <row r="801" spans="2:2">
      <c r="B801" s="17"/>
    </row>
    <row r="802" spans="2:2">
      <c r="B802" s="17"/>
    </row>
    <row r="803" spans="2:2">
      <c r="B803" s="17"/>
    </row>
    <row r="804" spans="2:2">
      <c r="B804" s="17"/>
    </row>
    <row r="805" spans="2:2">
      <c r="B805" s="17"/>
    </row>
    <row r="806" spans="2:2">
      <c r="B806" s="17"/>
    </row>
    <row r="807" spans="2:2">
      <c r="B807" s="17"/>
    </row>
    <row r="808" spans="2:2">
      <c r="B808" s="17"/>
    </row>
    <row r="809" spans="2:2">
      <c r="B809" s="17"/>
    </row>
    <row r="810" spans="2:2">
      <c r="B810" s="17"/>
    </row>
    <row r="811" spans="2:2">
      <c r="B811" s="17"/>
    </row>
    <row r="812" spans="2:2">
      <c r="B812" s="17"/>
    </row>
    <row r="813" spans="2:2">
      <c r="B813" s="17"/>
    </row>
    <row r="814" spans="2:2">
      <c r="B814" s="17"/>
    </row>
    <row r="815" spans="2:2">
      <c r="B815" s="17"/>
    </row>
    <row r="816" spans="2:2">
      <c r="B816" s="17"/>
    </row>
    <row r="817" spans="2:2">
      <c r="B817" s="17"/>
    </row>
    <row r="818" spans="2:2">
      <c r="B818" s="17"/>
    </row>
    <row r="819" spans="2:2">
      <c r="B819" s="17"/>
    </row>
    <row r="820" spans="2:2">
      <c r="B820" s="17"/>
    </row>
    <row r="821" spans="2:2">
      <c r="B821" s="17"/>
    </row>
    <row r="822" spans="2:2">
      <c r="B822" s="17"/>
    </row>
    <row r="823" spans="2:2">
      <c r="B823" s="17"/>
    </row>
    <row r="824" spans="2:2">
      <c r="B824" s="17"/>
    </row>
    <row r="825" spans="2:2">
      <c r="B825" s="17"/>
    </row>
    <row r="826" spans="2:2">
      <c r="B826" s="17"/>
    </row>
    <row r="827" spans="2:2">
      <c r="B827" s="17"/>
    </row>
    <row r="828" spans="2:2">
      <c r="B828" s="17"/>
    </row>
    <row r="829" spans="2:2">
      <c r="B829" s="17"/>
    </row>
    <row r="830" spans="2:2">
      <c r="B830" s="17"/>
    </row>
    <row r="831" spans="2:2">
      <c r="B831" s="17"/>
    </row>
    <row r="832" spans="2:2">
      <c r="B832" s="17"/>
    </row>
    <row r="833" spans="2:2">
      <c r="B833" s="17"/>
    </row>
    <row r="834" spans="2:2">
      <c r="B834" s="17"/>
    </row>
    <row r="835" spans="2:2">
      <c r="B835" s="17"/>
    </row>
    <row r="836" spans="2:2">
      <c r="B836" s="17"/>
    </row>
    <row r="837" spans="2:2">
      <c r="B837" s="17"/>
    </row>
    <row r="838" spans="2:2">
      <c r="B838" s="17"/>
    </row>
    <row r="839" spans="2:2">
      <c r="B839" s="17"/>
    </row>
    <row r="840" spans="2:2">
      <c r="B840" s="17"/>
    </row>
    <row r="841" spans="2:2">
      <c r="B841" s="17"/>
    </row>
    <row r="842" spans="2:2">
      <c r="B842" s="17"/>
    </row>
    <row r="843" spans="2:2">
      <c r="B843" s="17"/>
    </row>
    <row r="844" spans="2:2">
      <c r="B844" s="17"/>
    </row>
    <row r="845" spans="2:2">
      <c r="B845" s="17"/>
    </row>
    <row r="846" spans="2:2">
      <c r="B846" s="17"/>
    </row>
    <row r="847" spans="2:2">
      <c r="B847" s="17"/>
    </row>
    <row r="848" spans="2:2">
      <c r="B848" s="17"/>
    </row>
    <row r="849" spans="2:2">
      <c r="B849" s="17"/>
    </row>
    <row r="850" spans="2:2">
      <c r="B850" s="17"/>
    </row>
    <row r="851" spans="2:2">
      <c r="B851" s="17"/>
    </row>
    <row r="852" spans="2:2">
      <c r="B852" s="17"/>
    </row>
    <row r="853" spans="2:2">
      <c r="B853" s="17"/>
    </row>
    <row r="854" spans="2:2">
      <c r="B854" s="17"/>
    </row>
    <row r="855" spans="2:2">
      <c r="B855" s="17"/>
    </row>
    <row r="856" spans="2:2">
      <c r="B856" s="17"/>
    </row>
    <row r="857" spans="2:2">
      <c r="B857" s="17"/>
    </row>
    <row r="858" spans="2:2">
      <c r="B858" s="17"/>
    </row>
    <row r="859" spans="2:2">
      <c r="B859" s="17"/>
    </row>
    <row r="860" spans="2:2">
      <c r="B860" s="17"/>
    </row>
    <row r="861" spans="2:2">
      <c r="B861" s="17"/>
    </row>
    <row r="862" spans="2:2">
      <c r="B862" s="17"/>
    </row>
    <row r="863" spans="2:2">
      <c r="B863" s="17"/>
    </row>
    <row r="864" spans="2:2">
      <c r="B864" s="17"/>
    </row>
    <row r="865" spans="2:2">
      <c r="B865" s="17"/>
    </row>
    <row r="866" spans="2:2">
      <c r="B866" s="17"/>
    </row>
    <row r="867" spans="2:2">
      <c r="B867" s="17"/>
    </row>
    <row r="868" spans="2:2">
      <c r="B868" s="17"/>
    </row>
    <row r="869" spans="2:2">
      <c r="B869" s="17"/>
    </row>
    <row r="870" spans="2:2">
      <c r="B870" s="17"/>
    </row>
    <row r="871" spans="2:2">
      <c r="B871" s="17"/>
    </row>
    <row r="872" spans="2:2">
      <c r="B872" s="17"/>
    </row>
    <row r="873" spans="2:2">
      <c r="B873" s="17"/>
    </row>
    <row r="874" spans="2:2">
      <c r="B874" s="17"/>
    </row>
    <row r="875" spans="2:2">
      <c r="B875" s="17"/>
    </row>
    <row r="876" spans="2:2">
      <c r="B876" s="17"/>
    </row>
    <row r="877" spans="2:2">
      <c r="B877" s="17"/>
    </row>
    <row r="878" spans="2:2">
      <c r="B878" s="17"/>
    </row>
    <row r="879" spans="2:2">
      <c r="B879" s="17"/>
    </row>
    <row r="880" spans="2:2">
      <c r="B880" s="17"/>
    </row>
    <row r="881" spans="2:2">
      <c r="B881" s="17"/>
    </row>
    <row r="882" spans="2:2">
      <c r="B882" s="17"/>
    </row>
    <row r="883" spans="2:2">
      <c r="B883" s="17"/>
    </row>
    <row r="884" spans="2:2">
      <c r="B884" s="17"/>
    </row>
    <row r="885" spans="2:2">
      <c r="B885" s="17"/>
    </row>
    <row r="886" spans="2:2">
      <c r="B886" s="17"/>
    </row>
    <row r="887" spans="2:2">
      <c r="B887" s="17"/>
    </row>
    <row r="888" spans="2:2">
      <c r="B888" s="17"/>
    </row>
    <row r="889" spans="2:2">
      <c r="B889" s="17"/>
    </row>
    <row r="890" spans="2:2">
      <c r="B890" s="17"/>
    </row>
    <row r="891" spans="2:2">
      <c r="B891" s="17"/>
    </row>
    <row r="892" spans="2:2">
      <c r="B892" s="17"/>
    </row>
    <row r="893" spans="2:2">
      <c r="B893" s="17"/>
    </row>
    <row r="894" spans="2:2">
      <c r="B894" s="17"/>
    </row>
    <row r="895" spans="2:2">
      <c r="B895" s="17"/>
    </row>
    <row r="896" spans="2:2">
      <c r="B896" s="17"/>
    </row>
    <row r="897" spans="2:2">
      <c r="B897" s="17"/>
    </row>
    <row r="898" spans="2:2">
      <c r="B898" s="17"/>
    </row>
    <row r="899" spans="2:2">
      <c r="B899" s="17"/>
    </row>
    <row r="900" spans="2:2">
      <c r="B900" s="17"/>
    </row>
    <row r="901" spans="2:2">
      <c r="B901" s="17"/>
    </row>
    <row r="902" spans="2:2">
      <c r="B902" s="17"/>
    </row>
    <row r="903" spans="2:2">
      <c r="B903" s="17"/>
    </row>
    <row r="904" spans="2:2">
      <c r="B904" s="17"/>
    </row>
    <row r="905" spans="2:2">
      <c r="B905" s="17"/>
    </row>
    <row r="906" spans="2:2">
      <c r="B906" s="17"/>
    </row>
    <row r="907" spans="2:2">
      <c r="B907" s="17"/>
    </row>
    <row r="908" spans="2:2">
      <c r="B908" s="17"/>
    </row>
    <row r="909" spans="2:2">
      <c r="B909" s="17"/>
    </row>
    <row r="910" spans="2:2">
      <c r="B910" s="17"/>
    </row>
    <row r="911" spans="2:2">
      <c r="B911" s="17"/>
    </row>
    <row r="912" spans="2:2">
      <c r="B912" s="17"/>
    </row>
    <row r="913" spans="2:2">
      <c r="B913" s="17"/>
    </row>
    <row r="914" spans="2:2">
      <c r="B914" s="17"/>
    </row>
    <row r="915" spans="2:2">
      <c r="B915" s="17"/>
    </row>
    <row r="916" spans="2:2">
      <c r="B916" s="17"/>
    </row>
    <row r="917" spans="2:2">
      <c r="B917" s="17"/>
    </row>
    <row r="918" spans="2:2">
      <c r="B918" s="17"/>
    </row>
    <row r="919" spans="2:2">
      <c r="B919" s="17"/>
    </row>
    <row r="920" spans="2:2">
      <c r="B920" s="17"/>
    </row>
    <row r="921" spans="2:2">
      <c r="B921" s="17"/>
    </row>
    <row r="922" spans="2:2">
      <c r="B922" s="17"/>
    </row>
    <row r="923" spans="2:2">
      <c r="B923" s="17"/>
    </row>
    <row r="924" spans="2:2">
      <c r="B924" s="17"/>
    </row>
    <row r="925" spans="2:2">
      <c r="B925" s="17"/>
    </row>
    <row r="926" spans="2:2">
      <c r="B926" s="17"/>
    </row>
    <row r="927" spans="2:2">
      <c r="B927" s="17"/>
    </row>
    <row r="928" spans="2:2">
      <c r="B928" s="17"/>
    </row>
    <row r="929" spans="2:2">
      <c r="B929" s="17"/>
    </row>
    <row r="930" spans="2:2">
      <c r="B930" s="17"/>
    </row>
    <row r="931" spans="2:2">
      <c r="B931" s="17"/>
    </row>
    <row r="932" spans="2:2">
      <c r="B932" s="17"/>
    </row>
    <row r="933" spans="2:2">
      <c r="B933" s="17"/>
    </row>
    <row r="934" spans="2:2">
      <c r="B934" s="17"/>
    </row>
    <row r="935" spans="2:2">
      <c r="B935" s="17"/>
    </row>
    <row r="936" spans="2:2">
      <c r="B936" s="17"/>
    </row>
    <row r="937" spans="2:2">
      <c r="B937" s="17"/>
    </row>
    <row r="938" spans="2:2">
      <c r="B938" s="17"/>
    </row>
    <row r="939" spans="2:2">
      <c r="B939" s="17"/>
    </row>
    <row r="940" spans="2:2">
      <c r="B940" s="17"/>
    </row>
    <row r="941" spans="2:2">
      <c r="B941" s="17"/>
    </row>
    <row r="942" spans="2:2">
      <c r="B942" s="17"/>
    </row>
    <row r="943" spans="2:2">
      <c r="B943" s="17"/>
    </row>
    <row r="944" spans="2:2">
      <c r="B944" s="17"/>
    </row>
    <row r="945" spans="2:2">
      <c r="B945" s="17"/>
    </row>
  </sheetData>
  <phoneticPr fontId="54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G383"/>
  <sheetViews>
    <sheetView workbookViewId="0">
      <pane xSplit="1" ySplit="7" topLeftCell="T8" activePane="bottomRight" state="frozen"/>
      <selection pane="topRight" activeCell="B1" sqref="B1"/>
      <selection pane="bottomLeft" activeCell="A8" sqref="A8"/>
      <selection pane="bottomRight" sqref="A1:IV65536"/>
    </sheetView>
  </sheetViews>
  <sheetFormatPr defaultColWidth="9.109375" defaultRowHeight="13.2"/>
  <cols>
    <col min="1" max="1" width="13" style="244" customWidth="1"/>
    <col min="2" max="2" width="8.33203125" style="244" customWidth="1"/>
    <col min="3" max="3" width="10.33203125" style="244" customWidth="1"/>
    <col min="4" max="4" width="9" style="244" customWidth="1"/>
    <col min="5" max="5" width="8.33203125" style="244" customWidth="1"/>
    <col min="6" max="6" width="5.6640625" style="244" customWidth="1"/>
    <col min="7" max="7" width="7.44140625" style="244" customWidth="1"/>
    <col min="8" max="8" width="7.33203125" style="244" customWidth="1"/>
    <col min="9" max="9" width="6.88671875" style="244" customWidth="1"/>
    <col min="10" max="11" width="8.109375" style="244" customWidth="1"/>
    <col min="12" max="12" width="7.33203125" style="244" customWidth="1"/>
    <col min="13" max="13" width="7.44140625" style="244" customWidth="1"/>
    <col min="14" max="14" width="6" style="244" customWidth="1"/>
    <col min="15" max="15" width="6.88671875" style="244" customWidth="1"/>
    <col min="16" max="16" width="9" style="244" customWidth="1"/>
    <col min="17" max="17" width="7.44140625" style="244" customWidth="1"/>
    <col min="18" max="18" width="12.44140625" style="230" customWidth="1"/>
    <col min="19" max="19" width="8.5546875" style="244" customWidth="1"/>
    <col min="20" max="20" width="9.109375" style="244"/>
    <col min="21" max="21" width="9.44140625" style="244" customWidth="1"/>
    <col min="22" max="22" width="9.6640625" style="244" customWidth="1"/>
    <col min="23" max="23" width="8.88671875" style="244" customWidth="1"/>
    <col min="24" max="24" width="7.109375" style="244" customWidth="1"/>
    <col min="25" max="26" width="9.109375" style="244"/>
    <col min="27" max="27" width="10" style="539" customWidth="1"/>
    <col min="28" max="28" width="10" style="244" customWidth="1"/>
    <col min="29" max="32" width="9.109375" style="244"/>
    <col min="33" max="33" width="7.88671875" style="540" customWidth="1"/>
    <col min="34" max="34" width="10.5546875" style="244" customWidth="1"/>
    <col min="35" max="35" width="12.109375" style="244" customWidth="1"/>
    <col min="36" max="36" width="10.5546875" style="244" customWidth="1"/>
    <col min="37" max="37" width="12.5546875" style="244" customWidth="1"/>
    <col min="38" max="38" width="6.33203125" style="244" customWidth="1"/>
    <col min="39" max="39" width="10.6640625" style="244" customWidth="1"/>
    <col min="40" max="44" width="9.109375" style="244"/>
    <col min="45" max="45" width="4.6640625" style="244" customWidth="1"/>
    <col min="46" max="46" width="9.109375" style="541"/>
    <col min="47" max="47" width="4.5546875" style="244" customWidth="1"/>
    <col min="48" max="48" width="9.109375" style="244"/>
    <col min="49" max="50" width="4.6640625" style="244" customWidth="1"/>
    <col min="51" max="51" width="9.109375" style="244"/>
    <col min="52" max="54" width="10" style="542" customWidth="1"/>
    <col min="55" max="16384" width="9.109375" style="244"/>
  </cols>
  <sheetData>
    <row r="1" spans="1:85" ht="13.8" thickBot="1">
      <c r="A1" s="220">
        <v>37139</v>
      </c>
      <c r="B1" s="221" t="s">
        <v>161</v>
      </c>
      <c r="C1" s="222"/>
      <c r="D1" s="223"/>
      <c r="E1" s="224"/>
      <c r="F1" s="225"/>
      <c r="G1" s="223"/>
      <c r="H1" s="223"/>
      <c r="I1" s="226"/>
      <c r="J1" s="227" t="s">
        <v>162</v>
      </c>
      <c r="K1" s="223"/>
      <c r="L1" s="223"/>
      <c r="M1" s="228"/>
      <c r="N1" s="229"/>
      <c r="O1" s="226"/>
      <c r="P1" s="229"/>
      <c r="Q1" s="226"/>
      <c r="S1" s="231" t="s">
        <v>160</v>
      </c>
      <c r="T1" s="232">
        <v>7.15</v>
      </c>
      <c r="U1" s="228"/>
      <c r="V1" s="223"/>
      <c r="W1" s="224"/>
      <c r="X1" s="233"/>
      <c r="Y1" s="223"/>
      <c r="Z1" s="226"/>
      <c r="AA1" s="234"/>
      <c r="AB1" s="226"/>
      <c r="AC1" s="229"/>
      <c r="AD1" s="228"/>
      <c r="AE1" s="228">
        <v>1.4450000000000001</v>
      </c>
      <c r="AF1" s="223">
        <v>1.37</v>
      </c>
      <c r="AG1" s="235"/>
      <c r="AH1" s="236"/>
      <c r="AI1" s="237">
        <v>3.180000000000005E-2</v>
      </c>
      <c r="AJ1" s="223"/>
      <c r="AK1" s="223"/>
      <c r="AL1" s="223"/>
      <c r="AM1" s="238"/>
      <c r="AN1" s="238"/>
      <c r="AO1" s="238"/>
      <c r="AP1" s="238"/>
      <c r="AQ1" s="238"/>
      <c r="AR1" s="238"/>
      <c r="AS1" s="238"/>
      <c r="AT1" s="238"/>
      <c r="AU1" s="238"/>
      <c r="AV1" s="239" t="s">
        <v>270</v>
      </c>
      <c r="AW1" s="240" t="s">
        <v>163</v>
      </c>
      <c r="AX1" s="240"/>
      <c r="AY1" s="240"/>
      <c r="AZ1" s="241"/>
      <c r="BA1" s="241"/>
      <c r="BB1" s="241"/>
      <c r="BC1" s="238"/>
      <c r="BD1" s="238"/>
      <c r="BE1" s="238"/>
      <c r="BF1" s="238"/>
      <c r="BG1" s="238"/>
      <c r="BH1" s="238"/>
      <c r="BI1" s="238"/>
      <c r="BJ1" s="238"/>
      <c r="BK1" s="238"/>
      <c r="BL1" s="242"/>
      <c r="BM1" s="243"/>
      <c r="BN1" s="243"/>
      <c r="BO1" s="243"/>
      <c r="BP1" s="243"/>
      <c r="BQ1" s="243"/>
      <c r="BR1" s="238"/>
      <c r="BS1" s="238"/>
      <c r="BT1" s="238"/>
      <c r="BU1" s="238"/>
      <c r="BV1" s="238"/>
      <c r="BW1" s="238"/>
      <c r="BX1" s="238"/>
      <c r="BY1" s="238"/>
      <c r="BZ1" s="238"/>
      <c r="CA1" s="238"/>
      <c r="CB1" s="238"/>
      <c r="CC1" s="238"/>
      <c r="CD1" s="238"/>
      <c r="CE1" s="238"/>
      <c r="CF1" s="238"/>
    </row>
    <row r="2" spans="1:85">
      <c r="A2" s="245"/>
      <c r="B2" s="245"/>
      <c r="C2" s="246"/>
      <c r="D2" s="223"/>
      <c r="E2" s="224"/>
      <c r="F2" s="225"/>
      <c r="G2" s="223"/>
      <c r="H2" s="223"/>
      <c r="I2" s="226"/>
      <c r="J2" s="247" t="s">
        <v>164</v>
      </c>
      <c r="K2" s="223"/>
      <c r="L2" s="223"/>
      <c r="M2" s="228"/>
      <c r="N2" s="223"/>
      <c r="O2" s="248"/>
      <c r="P2" s="249" t="s">
        <v>165</v>
      </c>
      <c r="Q2" s="250">
        <v>0.46449999999999997</v>
      </c>
      <c r="S2" s="223"/>
      <c r="T2" s="251" t="s">
        <v>166</v>
      </c>
      <c r="U2" s="228"/>
      <c r="V2" s="223">
        <v>-2.5000000000000001E-3</v>
      </c>
      <c r="W2" s="224"/>
      <c r="X2" s="233"/>
      <c r="Y2" s="223">
        <v>2.9787499999999998</v>
      </c>
      <c r="Z2" s="226">
        <v>2.9837500000000001</v>
      </c>
      <c r="AA2" s="252"/>
      <c r="AB2" s="226">
        <v>1.4999999999999999E-2</v>
      </c>
      <c r="AC2" s="229"/>
      <c r="AD2" s="253"/>
      <c r="AE2" s="228">
        <v>4.5250000000000004</v>
      </c>
      <c r="AF2" s="223">
        <v>4.5549999999999997</v>
      </c>
      <c r="AG2" s="235"/>
      <c r="AH2" s="254"/>
      <c r="AI2" s="237">
        <v>1.9000000000000128E-2</v>
      </c>
      <c r="AJ2" s="223"/>
      <c r="AK2" s="223"/>
      <c r="AL2" s="255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41"/>
      <c r="BA2" s="241"/>
      <c r="BB2" s="241"/>
      <c r="BC2" s="238"/>
      <c r="BD2" s="238"/>
      <c r="BE2" s="238"/>
      <c r="BF2" s="238"/>
      <c r="BG2" s="238"/>
      <c r="BH2" s="238"/>
      <c r="BI2" s="238"/>
      <c r="BJ2" s="238"/>
      <c r="BK2" s="238"/>
      <c r="BL2" s="243"/>
      <c r="BM2" s="256"/>
      <c r="BN2" s="257"/>
      <c r="BO2" s="257"/>
      <c r="BP2" s="257"/>
      <c r="BQ2" s="258"/>
      <c r="BR2" s="238"/>
      <c r="BS2" s="238"/>
      <c r="BT2" s="238"/>
      <c r="BU2" s="238"/>
      <c r="BV2" s="238"/>
      <c r="BW2" s="238"/>
      <c r="BX2" s="238"/>
      <c r="BY2" s="238"/>
      <c r="BZ2" s="238"/>
      <c r="CA2" s="238"/>
      <c r="CB2" s="238"/>
      <c r="CC2" s="238"/>
      <c r="CD2" s="238"/>
      <c r="CE2" s="238"/>
      <c r="CF2" s="238"/>
    </row>
    <row r="3" spans="1:85" ht="12.75" customHeight="1">
      <c r="A3" s="245"/>
      <c r="B3" s="245"/>
      <c r="C3" s="245"/>
      <c r="D3" s="223"/>
      <c r="E3" s="223"/>
      <c r="F3" s="226"/>
      <c r="G3" s="223"/>
      <c r="H3" s="259"/>
      <c r="I3" s="226"/>
      <c r="J3" s="260" t="s">
        <v>167</v>
      </c>
      <c r="K3" s="223"/>
      <c r="L3" s="223"/>
      <c r="M3" s="261"/>
      <c r="N3" s="223"/>
      <c r="O3" s="238"/>
      <c r="P3" s="262" t="s">
        <v>168</v>
      </c>
      <c r="Q3" s="263">
        <v>0.34535714285714286</v>
      </c>
      <c r="S3" s="259" t="s">
        <v>169</v>
      </c>
      <c r="T3" s="264">
        <v>0</v>
      </c>
      <c r="U3" s="265">
        <v>37012</v>
      </c>
      <c r="V3" s="223" t="s">
        <v>170</v>
      </c>
      <c r="W3" s="229"/>
      <c r="X3" s="233"/>
      <c r="Y3" s="266"/>
      <c r="Z3" s="226"/>
      <c r="AA3" s="267"/>
      <c r="AB3" s="228">
        <v>-2.3525906128550256E-2</v>
      </c>
      <c r="AC3" s="229"/>
      <c r="AD3" s="228"/>
      <c r="AE3" s="226">
        <v>5.0250000000000004</v>
      </c>
      <c r="AF3" s="223">
        <v>5.0549999999999997</v>
      </c>
      <c r="AG3" s="235"/>
      <c r="AH3" s="268"/>
      <c r="AI3" s="237">
        <v>1.2299999999999756E-2</v>
      </c>
      <c r="AJ3"/>
      <c r="AK3">
        <v>-13946.346508791621</v>
      </c>
      <c r="AL3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41"/>
      <c r="BA3" s="269"/>
      <c r="BB3" s="269"/>
      <c r="BC3" s="238"/>
      <c r="BD3" s="238"/>
      <c r="BE3" s="238"/>
      <c r="BF3" s="238"/>
      <c r="BG3" s="238"/>
      <c r="BH3" s="238"/>
      <c r="BI3" s="238"/>
      <c r="BJ3" s="238"/>
      <c r="BK3" s="238"/>
      <c r="BL3" s="243"/>
      <c r="BM3" s="256"/>
      <c r="BN3" s="257"/>
      <c r="BO3" s="257"/>
      <c r="BP3" s="257"/>
      <c r="BQ3" s="25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/>
      <c r="CE3" s="238"/>
      <c r="CF3" s="238"/>
    </row>
    <row r="4" spans="1:85">
      <c r="A4" s="270" t="s">
        <v>171</v>
      </c>
      <c r="B4" s="271"/>
      <c r="C4" s="272" t="s">
        <v>172</v>
      </c>
      <c r="D4" s="273"/>
      <c r="E4" s="273"/>
      <c r="F4" s="271"/>
      <c r="G4" s="273"/>
      <c r="H4" s="273"/>
      <c r="I4" s="271"/>
      <c r="J4" s="273"/>
      <c r="K4" s="273"/>
      <c r="L4" s="273"/>
      <c r="M4" s="271"/>
      <c r="N4" s="273"/>
      <c r="O4" s="238"/>
      <c r="P4"/>
      <c r="Q4" s="274"/>
      <c r="S4" s="259" t="s">
        <v>173</v>
      </c>
      <c r="T4" s="275">
        <v>0</v>
      </c>
      <c r="U4" s="271"/>
      <c r="V4" s="273"/>
      <c r="W4" s="273"/>
      <c r="X4" s="233"/>
      <c r="Y4" s="273">
        <v>150</v>
      </c>
      <c r="Z4" s="271"/>
      <c r="AA4" s="276"/>
      <c r="AB4" s="271"/>
      <c r="AC4" s="273"/>
      <c r="AD4" s="271"/>
      <c r="AE4" s="271">
        <v>1.3049999999999999</v>
      </c>
      <c r="AF4" s="273">
        <v>1.32</v>
      </c>
      <c r="AG4" s="235"/>
      <c r="AH4" s="273"/>
      <c r="AI4" s="271"/>
      <c r="AJ4" s="273"/>
      <c r="AK4" s="273"/>
      <c r="AL4" s="273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>
        <v>0.25</v>
      </c>
      <c r="AZ4" s="241"/>
      <c r="BA4" s="269"/>
      <c r="BB4" s="269"/>
      <c r="BC4" s="238"/>
      <c r="BD4" s="238"/>
      <c r="BE4" s="238"/>
      <c r="BF4" s="238"/>
      <c r="BG4" s="238"/>
      <c r="BH4" s="238"/>
      <c r="BI4" s="238"/>
      <c r="BJ4" s="238"/>
      <c r="BK4" s="238"/>
      <c r="BL4" s="243"/>
      <c r="BM4" s="256"/>
      <c r="BN4" s="257"/>
      <c r="BO4" s="257"/>
      <c r="BP4" s="257"/>
      <c r="BQ4" s="25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238"/>
      <c r="CC4" s="238"/>
      <c r="CD4" s="238"/>
      <c r="CE4" s="238"/>
      <c r="CF4" s="238"/>
    </row>
    <row r="5" spans="1:85">
      <c r="A5" s="270" t="s">
        <v>174</v>
      </c>
      <c r="B5" s="228"/>
      <c r="C5" s="277">
        <v>0.20979999999999999</v>
      </c>
      <c r="D5" s="278"/>
      <c r="E5" s="224"/>
      <c r="F5" s="225"/>
      <c r="G5" s="278"/>
      <c r="H5" s="223"/>
      <c r="I5" s="279" t="s">
        <v>175</v>
      </c>
      <c r="J5" s="224"/>
      <c r="K5" s="278">
        <v>1.6E-2</v>
      </c>
      <c r="L5" s="280"/>
      <c r="M5" s="281" t="s">
        <v>176</v>
      </c>
      <c r="N5" s="282"/>
      <c r="O5" s="283">
        <v>0.4345</v>
      </c>
      <c r="P5" s="284" t="s">
        <v>177</v>
      </c>
      <c r="Q5" s="285">
        <v>-1.4999999999999999E-2</v>
      </c>
      <c r="S5" s="286" t="s">
        <v>178</v>
      </c>
      <c r="T5" s="287">
        <v>0.83800000000000008</v>
      </c>
      <c r="U5" s="228"/>
      <c r="V5" s="280" t="s">
        <v>179</v>
      </c>
      <c r="W5" s="229"/>
      <c r="X5" s="233">
        <v>38442</v>
      </c>
      <c r="Y5" s="288">
        <v>38292</v>
      </c>
      <c r="Z5" s="226"/>
      <c r="AA5" s="289">
        <v>3.27</v>
      </c>
      <c r="AB5" s="290" t="s">
        <v>179</v>
      </c>
      <c r="AC5" s="291" t="s">
        <v>180</v>
      </c>
      <c r="AD5" s="292">
        <v>2.4449999999999998</v>
      </c>
      <c r="AE5" s="226">
        <v>0.2</v>
      </c>
      <c r="AF5" s="223">
        <v>0.2</v>
      </c>
      <c r="AG5" s="235"/>
      <c r="AH5" s="236"/>
      <c r="AI5" s="226"/>
      <c r="AJ5" s="223"/>
      <c r="AK5" s="223"/>
      <c r="AL5" s="255"/>
      <c r="AM5" s="238"/>
      <c r="AN5" s="238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41"/>
      <c r="BA5" s="241"/>
      <c r="BB5" s="241"/>
      <c r="BC5" s="238"/>
      <c r="BD5" s="238"/>
      <c r="BE5" s="238"/>
      <c r="BF5" s="238"/>
      <c r="BG5" s="238"/>
      <c r="BH5" s="293"/>
      <c r="BI5" s="238"/>
      <c r="BJ5" s="238"/>
      <c r="BK5" s="238"/>
      <c r="BL5" s="243"/>
      <c r="BM5" s="256"/>
      <c r="BN5" s="257"/>
      <c r="BO5" s="257"/>
      <c r="BP5" s="257"/>
      <c r="BQ5" s="258"/>
      <c r="BR5" s="238"/>
      <c r="BS5" s="238"/>
      <c r="BT5" s="238"/>
      <c r="BU5" s="238"/>
      <c r="BV5" s="238"/>
      <c r="BW5" s="238"/>
      <c r="BX5" s="238"/>
      <c r="BY5" s="238"/>
      <c r="BZ5" s="238"/>
      <c r="CA5" s="238"/>
      <c r="CB5" s="238"/>
      <c r="CC5" s="238"/>
      <c r="CD5" s="238"/>
      <c r="CE5" s="238"/>
      <c r="CF5" s="238"/>
    </row>
    <row r="6" spans="1:85">
      <c r="A6" s="226"/>
      <c r="B6" s="294"/>
      <c r="C6" s="295">
        <v>0.01</v>
      </c>
      <c r="D6"/>
      <c r="E6"/>
      <c r="F6" s="80"/>
      <c r="G6" s="259"/>
      <c r="H6" s="259"/>
      <c r="I6" s="286"/>
      <c r="J6" s="296"/>
      <c r="K6" s="259"/>
      <c r="L6" s="259"/>
      <c r="M6" s="286"/>
      <c r="N6" s="259"/>
      <c r="O6" s="286">
        <v>0.09</v>
      </c>
      <c r="P6" s="297" t="s">
        <v>181</v>
      </c>
      <c r="Q6" s="298">
        <v>-7.4999999999999997E-3</v>
      </c>
      <c r="S6" s="259" t="s">
        <v>182</v>
      </c>
      <c r="T6" s="299">
        <v>0.59357142857142864</v>
      </c>
      <c r="U6" s="228"/>
      <c r="V6" s="223"/>
      <c r="W6" s="229"/>
      <c r="X6" s="233"/>
      <c r="Y6" s="259"/>
      <c r="Z6" s="286"/>
      <c r="AA6" s="267"/>
      <c r="AB6" s="300">
        <v>-0.3690450975206031</v>
      </c>
      <c r="AC6" s="288"/>
      <c r="AD6" s="292"/>
      <c r="AE6" s="226"/>
      <c r="AF6" s="223"/>
      <c r="AG6" s="235"/>
      <c r="AH6" s="223" t="s">
        <v>183</v>
      </c>
      <c r="AI6" s="226"/>
      <c r="AJ6" s="223"/>
      <c r="AK6" s="223"/>
      <c r="AL6" s="255"/>
      <c r="AM6" s="238"/>
      <c r="AN6" s="238"/>
      <c r="AO6" s="238"/>
      <c r="AP6" s="238"/>
      <c r="AQ6" s="238"/>
      <c r="AR6" s="238"/>
      <c r="AS6" s="238"/>
      <c r="AT6" s="238"/>
      <c r="AU6" s="238"/>
      <c r="AV6" s="301" t="s">
        <v>184</v>
      </c>
      <c r="AW6" s="238" t="s">
        <v>266</v>
      </c>
      <c r="AX6" s="238"/>
      <c r="AY6" s="238"/>
      <c r="AZ6" s="241"/>
      <c r="BA6" s="302"/>
      <c r="BB6" s="302"/>
      <c r="BC6" s="238"/>
      <c r="BD6" s="238"/>
      <c r="BE6" s="238"/>
      <c r="BF6" s="238"/>
      <c r="BG6" s="238"/>
      <c r="BH6" s="238"/>
      <c r="BI6" s="238"/>
      <c r="BJ6" s="238"/>
      <c r="BK6" s="238"/>
      <c r="BL6" s="243"/>
      <c r="BM6" s="256"/>
      <c r="BN6" s="257"/>
      <c r="BO6" s="257"/>
      <c r="BP6" s="257"/>
      <c r="BQ6" s="25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8"/>
      <c r="CC6" s="238"/>
      <c r="CD6" s="238"/>
      <c r="CE6" s="238"/>
      <c r="CF6" s="238"/>
    </row>
    <row r="7" spans="1:85">
      <c r="A7" s="226" t="s">
        <v>185</v>
      </c>
      <c r="B7" s="290" t="s">
        <v>186</v>
      </c>
      <c r="C7" s="290" t="s">
        <v>187</v>
      </c>
      <c r="D7" s="280" t="s">
        <v>188</v>
      </c>
      <c r="E7" s="280" t="s">
        <v>189</v>
      </c>
      <c r="F7" s="290" t="s">
        <v>190</v>
      </c>
      <c r="G7" s="280" t="s">
        <v>191</v>
      </c>
      <c r="H7" s="280" t="s">
        <v>192</v>
      </c>
      <c r="I7" s="290" t="s">
        <v>193</v>
      </c>
      <c r="J7" s="280" t="s">
        <v>194</v>
      </c>
      <c r="K7" s="280" t="s">
        <v>195</v>
      </c>
      <c r="L7" s="280" t="s">
        <v>196</v>
      </c>
      <c r="M7" s="290" t="s">
        <v>197</v>
      </c>
      <c r="N7" s="280" t="s">
        <v>198</v>
      </c>
      <c r="O7" s="290" t="s">
        <v>199</v>
      </c>
      <c r="P7" s="280" t="s">
        <v>200</v>
      </c>
      <c r="Q7" s="290" t="s">
        <v>201</v>
      </c>
      <c r="R7" s="303" t="s">
        <v>202</v>
      </c>
      <c r="S7" s="304" t="s">
        <v>203</v>
      </c>
      <c r="T7" s="280" t="s">
        <v>204</v>
      </c>
      <c r="U7" s="290" t="s">
        <v>205</v>
      </c>
      <c r="V7" s="280" t="s">
        <v>206</v>
      </c>
      <c r="W7" s="280" t="s">
        <v>207</v>
      </c>
      <c r="X7" s="290" t="s">
        <v>208</v>
      </c>
      <c r="Y7" s="233"/>
      <c r="Z7" s="290" t="s">
        <v>209</v>
      </c>
      <c r="AA7" s="305" t="s">
        <v>210</v>
      </c>
      <c r="AB7" s="290" t="s">
        <v>211</v>
      </c>
      <c r="AC7" s="280" t="s">
        <v>212</v>
      </c>
      <c r="AD7" s="290" t="s">
        <v>213</v>
      </c>
      <c r="AE7" s="290" t="s">
        <v>214</v>
      </c>
      <c r="AF7" s="280" t="s">
        <v>215</v>
      </c>
      <c r="AG7" s="290" t="s">
        <v>216</v>
      </c>
      <c r="AH7" s="306" t="s">
        <v>217</v>
      </c>
      <c r="AI7" s="290" t="s">
        <v>218</v>
      </c>
      <c r="AJ7" s="280" t="s">
        <v>219</v>
      </c>
      <c r="AK7" s="280" t="s">
        <v>220</v>
      </c>
      <c r="AL7" s="280" t="s">
        <v>221</v>
      </c>
      <c r="AM7" s="290" t="s">
        <v>222</v>
      </c>
      <c r="AN7" s="307" t="s">
        <v>223</v>
      </c>
      <c r="AO7" s="238" t="s">
        <v>224</v>
      </c>
      <c r="AP7" s="238"/>
      <c r="AQ7" s="238" t="s">
        <v>225</v>
      </c>
      <c r="AR7" s="238" t="s">
        <v>226</v>
      </c>
      <c r="AS7" s="238"/>
      <c r="AT7" s="238" t="s">
        <v>201</v>
      </c>
      <c r="AU7" s="238"/>
      <c r="AV7" s="301" t="s">
        <v>227</v>
      </c>
      <c r="AW7" s="238" t="s">
        <v>227</v>
      </c>
      <c r="AX7" s="308" t="s">
        <v>228</v>
      </c>
      <c r="AY7" s="308"/>
      <c r="AZ7" s="309" t="s">
        <v>229</v>
      </c>
      <c r="BA7" s="309" t="s">
        <v>230</v>
      </c>
      <c r="BB7" s="309" t="s">
        <v>231</v>
      </c>
      <c r="BC7" s="238"/>
      <c r="BD7" s="238" t="s">
        <v>267</v>
      </c>
      <c r="BE7" s="238" t="s">
        <v>268</v>
      </c>
      <c r="BF7" s="238"/>
      <c r="BG7" s="238" t="s">
        <v>269</v>
      </c>
      <c r="BH7" s="293"/>
      <c r="BI7" s="308"/>
      <c r="BJ7" s="238"/>
      <c r="BK7" s="238"/>
      <c r="BL7" s="243"/>
      <c r="BM7" s="256"/>
      <c r="BN7" s="257"/>
      <c r="BO7" s="257"/>
      <c r="BP7" s="257"/>
      <c r="BQ7" s="25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8"/>
      <c r="CC7" s="238"/>
      <c r="CD7" s="238"/>
      <c r="CE7" s="238"/>
      <c r="CF7" s="238"/>
    </row>
    <row r="8" spans="1:85">
      <c r="A8" s="226">
        <v>1</v>
      </c>
      <c r="B8" s="225">
        <v>2</v>
      </c>
      <c r="C8" s="225">
        <v>3</v>
      </c>
      <c r="D8" s="224"/>
      <c r="E8" s="223"/>
      <c r="F8" s="226"/>
      <c r="G8" s="224"/>
      <c r="H8" s="224"/>
      <c r="I8" s="225"/>
      <c r="J8" s="224"/>
      <c r="K8" s="224"/>
      <c r="L8" s="223"/>
      <c r="M8" s="228"/>
      <c r="N8" s="229">
        <v>0.56666666666666676</v>
      </c>
      <c r="O8" s="228">
        <v>0.34</v>
      </c>
      <c r="P8" s="229">
        <v>-1.4999999999999999E-2</v>
      </c>
      <c r="Q8" s="290"/>
      <c r="R8" s="310" t="s">
        <v>232</v>
      </c>
      <c r="S8" s="311">
        <v>0.05</v>
      </c>
      <c r="T8" s="223"/>
      <c r="U8" s="261"/>
      <c r="V8" s="224"/>
      <c r="W8" s="229"/>
      <c r="X8" s="228"/>
      <c r="Y8" s="224"/>
      <c r="Z8" s="228">
        <v>0.11541666666666665</v>
      </c>
      <c r="AA8" s="267">
        <v>0.2</v>
      </c>
      <c r="AB8" s="312"/>
      <c r="AC8" s="223"/>
      <c r="AD8" s="226"/>
      <c r="AE8" s="226"/>
      <c r="AF8" s="223"/>
      <c r="AG8" s="226"/>
      <c r="AH8" s="313"/>
      <c r="AI8" s="225"/>
      <c r="AJ8" s="224"/>
      <c r="AK8" s="223"/>
      <c r="AL8" s="229"/>
      <c r="AM8" s="314"/>
      <c r="AN8" s="308"/>
      <c r="AO8" s="315" t="s">
        <v>233</v>
      </c>
      <c r="AP8" s="308"/>
      <c r="AQ8" s="308" t="s">
        <v>184</v>
      </c>
      <c r="AR8" s="308" t="s">
        <v>234</v>
      </c>
      <c r="AS8" s="308"/>
      <c r="AT8" s="308"/>
      <c r="AU8" s="308"/>
      <c r="AV8" s="308"/>
      <c r="AW8" s="308"/>
      <c r="AX8" s="308"/>
      <c r="AY8" s="308"/>
      <c r="AZ8" s="241"/>
      <c r="BA8" s="241"/>
      <c r="BB8" s="241"/>
      <c r="BC8" s="238"/>
      <c r="BD8" s="238"/>
      <c r="BE8" s="238"/>
      <c r="BF8" s="238"/>
      <c r="BG8" s="238"/>
      <c r="BH8" s="293"/>
      <c r="BI8" s="293"/>
      <c r="BJ8" s="308"/>
      <c r="BK8" s="238"/>
      <c r="BL8" s="293"/>
      <c r="BM8" s="243"/>
      <c r="BN8" s="256"/>
      <c r="BO8" s="257"/>
      <c r="BP8" s="257"/>
      <c r="BQ8" s="257"/>
      <c r="BR8" s="258"/>
      <c r="BS8" s="238"/>
      <c r="BT8" s="238"/>
      <c r="BU8" s="238"/>
      <c r="BV8" s="238"/>
      <c r="BW8" s="238"/>
      <c r="BX8" s="238"/>
      <c r="BY8" s="238"/>
      <c r="BZ8" s="238"/>
      <c r="CA8" s="238"/>
      <c r="CB8" s="238"/>
      <c r="CC8" s="238"/>
      <c r="CD8" s="238"/>
      <c r="CE8" s="238"/>
      <c r="CF8" s="238"/>
      <c r="CG8" s="238"/>
    </row>
    <row r="9" spans="1:85">
      <c r="A9" s="226"/>
      <c r="B9" s="226">
        <v>-2.75E-2</v>
      </c>
      <c r="C9" s="225">
        <v>0.01</v>
      </c>
      <c r="D9" s="278"/>
      <c r="E9" s="223"/>
      <c r="F9" s="226"/>
      <c r="G9" s="279"/>
      <c r="H9" s="279"/>
      <c r="I9" s="279"/>
      <c r="J9" s="228"/>
      <c r="K9" s="279"/>
      <c r="L9" s="278"/>
      <c r="M9" s="228"/>
      <c r="N9" s="228">
        <v>8.2000000000000003E-2</v>
      </c>
      <c r="O9" s="226">
        <v>0.17699999999999999</v>
      </c>
      <c r="P9" s="316">
        <v>0.16200000000000001</v>
      </c>
      <c r="Q9" s="226"/>
      <c r="R9" s="317" t="s">
        <v>235</v>
      </c>
      <c r="S9" s="311">
        <v>0</v>
      </c>
      <c r="T9" s="223"/>
      <c r="U9" s="226"/>
      <c r="V9" s="223"/>
      <c r="W9" s="226"/>
      <c r="X9" s="226"/>
      <c r="Y9" s="318"/>
      <c r="Z9" s="228"/>
      <c r="AA9" s="267">
        <v>-5.0000000000000001E-3</v>
      </c>
      <c r="AB9" s="312">
        <v>3.1900399999999998</v>
      </c>
      <c r="AC9" s="226"/>
      <c r="AD9" s="226"/>
      <c r="AE9" s="226"/>
      <c r="AF9" s="226"/>
      <c r="AG9" s="226"/>
      <c r="AH9" s="235"/>
      <c r="AI9" s="226"/>
      <c r="AJ9" s="226"/>
      <c r="AK9" s="226"/>
      <c r="AL9" s="226"/>
      <c r="AM9" s="314"/>
      <c r="AN9" s="238"/>
      <c r="AO9" s="80"/>
      <c r="AP9" s="238"/>
      <c r="AQ9" s="308" t="s">
        <v>226</v>
      </c>
      <c r="AR9" s="308" t="s">
        <v>236</v>
      </c>
      <c r="AS9" s="238"/>
      <c r="AT9" s="238"/>
      <c r="AU9" s="238"/>
      <c r="AV9" s="238"/>
      <c r="AW9" s="238"/>
      <c r="AX9" s="238"/>
      <c r="AY9" s="238">
        <v>0.05</v>
      </c>
      <c r="AZ9" s="241"/>
      <c r="BA9" s="241"/>
      <c r="BB9" s="241"/>
      <c r="BC9" s="238"/>
      <c r="BD9" s="238"/>
      <c r="BE9" s="238"/>
      <c r="BF9" s="308"/>
      <c r="BG9" s="238"/>
      <c r="BH9" s="319"/>
      <c r="BI9" s="320"/>
      <c r="BJ9" s="30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238"/>
      <c r="CC9" s="238"/>
      <c r="CD9" s="238"/>
      <c r="CE9" s="238"/>
      <c r="CF9" s="238"/>
      <c r="CG9" s="238"/>
    </row>
    <row r="10" spans="1:85" hidden="1">
      <c r="A10" s="321"/>
      <c r="B10" s="322">
        <v>1</v>
      </c>
      <c r="C10" s="323">
        <v>2</v>
      </c>
      <c r="D10" s="324">
        <v>3</v>
      </c>
      <c r="E10" s="324">
        <v>4</v>
      </c>
      <c r="F10" s="325">
        <v>5</v>
      </c>
      <c r="G10" s="326">
        <v>6</v>
      </c>
      <c r="H10" s="326">
        <v>7</v>
      </c>
      <c r="I10" s="327">
        <v>8</v>
      </c>
      <c r="J10" s="326">
        <v>9</v>
      </c>
      <c r="K10" s="326">
        <v>10</v>
      </c>
      <c r="L10" s="326">
        <v>11</v>
      </c>
      <c r="M10" s="328">
        <v>12</v>
      </c>
      <c r="N10" s="326">
        <v>13</v>
      </c>
      <c r="O10" s="327">
        <v>14</v>
      </c>
      <c r="P10" s="329">
        <v>15</v>
      </c>
      <c r="Q10" s="330">
        <v>16</v>
      </c>
      <c r="R10" s="230">
        <v>17</v>
      </c>
      <c r="S10" s="331">
        <v>18</v>
      </c>
      <c r="T10" s="332">
        <v>19</v>
      </c>
      <c r="U10" s="333">
        <v>20</v>
      </c>
      <c r="V10" s="334">
        <v>21</v>
      </c>
      <c r="W10" s="334">
        <v>22</v>
      </c>
      <c r="X10" s="335">
        <v>23</v>
      </c>
      <c r="Y10" s="336">
        <v>24</v>
      </c>
      <c r="Z10" s="337">
        <v>25</v>
      </c>
      <c r="AA10" s="338">
        <v>26</v>
      </c>
      <c r="AB10" s="339">
        <v>27</v>
      </c>
      <c r="AC10" s="340">
        <v>28</v>
      </c>
      <c r="AD10" s="335">
        <v>29</v>
      </c>
      <c r="AE10" s="341">
        <v>30</v>
      </c>
      <c r="AF10" s="342">
        <v>31</v>
      </c>
      <c r="AG10" s="343">
        <v>32</v>
      </c>
      <c r="AH10" s="344">
        <v>33</v>
      </c>
      <c r="AI10" s="345">
        <v>34</v>
      </c>
      <c r="AJ10" s="346">
        <v>35</v>
      </c>
      <c r="AK10" s="346">
        <v>36</v>
      </c>
      <c r="AL10" s="347">
        <v>37</v>
      </c>
      <c r="AM10" s="348">
        <v>38</v>
      </c>
      <c r="AN10" s="349">
        <v>39</v>
      </c>
      <c r="AO10" s="350">
        <v>40</v>
      </c>
      <c r="AP10" s="351">
        <v>41</v>
      </c>
      <c r="AQ10" s="349">
        <v>42</v>
      </c>
      <c r="AR10" s="352">
        <v>43</v>
      </c>
      <c r="AS10" s="238">
        <v>44</v>
      </c>
      <c r="AT10" s="238">
        <v>45</v>
      </c>
      <c r="AU10" s="238">
        <v>46</v>
      </c>
      <c r="AV10" s="353">
        <v>47</v>
      </c>
      <c r="AW10" s="238">
        <v>48</v>
      </c>
      <c r="AX10" s="354">
        <v>49</v>
      </c>
      <c r="AY10" s="354">
        <v>50</v>
      </c>
      <c r="AZ10" s="241">
        <v>51</v>
      </c>
      <c r="BA10" s="241">
        <v>52</v>
      </c>
      <c r="BB10" s="241">
        <v>53</v>
      </c>
      <c r="BC10" s="319">
        <v>54</v>
      </c>
      <c r="BD10" s="355">
        <v>55</v>
      </c>
      <c r="BE10" s="238">
        <v>56</v>
      </c>
      <c r="BF10" s="319">
        <v>57</v>
      </c>
      <c r="BG10" s="238">
        <v>58</v>
      </c>
      <c r="BH10" s="293">
        <v>59</v>
      </c>
      <c r="BI10" s="293">
        <v>60</v>
      </c>
      <c r="BJ10" s="238">
        <v>61</v>
      </c>
      <c r="BK10" s="293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8"/>
      <c r="CD10" s="238"/>
      <c r="CE10" s="238"/>
      <c r="CF10" s="238"/>
      <c r="CG10" s="238"/>
    </row>
    <row r="11" spans="1:85" hidden="1">
      <c r="A11" s="356">
        <v>36251</v>
      </c>
      <c r="B11" s="357">
        <v>1.8520000000000001</v>
      </c>
      <c r="C11" s="358">
        <v>-0.27171384777961216</v>
      </c>
      <c r="D11" s="359">
        <v>-0.13186551572471061</v>
      </c>
      <c r="E11" s="359">
        <v>-0.41156217983451415</v>
      </c>
      <c r="F11" s="360">
        <v>0</v>
      </c>
      <c r="G11" s="361">
        <v>0.13300000000000001</v>
      </c>
      <c r="H11" s="361">
        <v>0.128</v>
      </c>
      <c r="I11" s="362">
        <v>0.128</v>
      </c>
      <c r="J11" s="361">
        <v>5.7999999999999996E-2</v>
      </c>
      <c r="K11" s="361">
        <v>0.13550000000000001</v>
      </c>
      <c r="L11" s="361">
        <v>0.29799999999999999</v>
      </c>
      <c r="M11" s="363">
        <v>-0.312</v>
      </c>
      <c r="N11" s="326">
        <v>0</v>
      </c>
      <c r="O11" s="362">
        <v>-0.20199999999999999</v>
      </c>
      <c r="P11" s="283">
        <v>-0.33200000000000029</v>
      </c>
      <c r="Q11" s="364">
        <v>0.13</v>
      </c>
      <c r="R11" s="230">
        <v>0</v>
      </c>
      <c r="S11" s="365">
        <v>0.45750000000000002</v>
      </c>
      <c r="T11" s="366"/>
      <c r="U11" s="367"/>
      <c r="V11" s="225">
        <v>1.5802861522203882</v>
      </c>
      <c r="W11" s="225">
        <v>1.7201344842752897</v>
      </c>
      <c r="X11" s="368">
        <v>1.4404378201654862</v>
      </c>
      <c r="Y11" s="290"/>
      <c r="Z11" s="369">
        <v>0.2</v>
      </c>
      <c r="AA11" s="370">
        <v>-0.2</v>
      </c>
      <c r="AB11" s="371">
        <v>2.2576999999999998</v>
      </c>
      <c r="AC11" s="312">
        <v>2.46</v>
      </c>
      <c r="AD11" s="368">
        <v>2.06</v>
      </c>
      <c r="AE11" s="372">
        <v>1.51</v>
      </c>
      <c r="AF11" s="373">
        <v>1.5420000000000003</v>
      </c>
      <c r="AG11" s="374">
        <v>1.6420000000000003</v>
      </c>
      <c r="AH11" s="235"/>
      <c r="AI11" s="375">
        <v>1.44665</v>
      </c>
      <c r="AJ11" s="376">
        <v>4.820808572015501E-2</v>
      </c>
      <c r="AK11" s="376">
        <v>5.1410255700000011E-2</v>
      </c>
      <c r="AL11" s="354">
        <v>1</v>
      </c>
      <c r="AM11" s="377">
        <v>1</v>
      </c>
      <c r="AN11" s="353">
        <v>0</v>
      </c>
      <c r="AO11" s="378">
        <v>0.124</v>
      </c>
      <c r="AP11" s="238"/>
      <c r="AQ11" s="353">
        <v>-1.9978009884906509</v>
      </c>
      <c r="AR11" s="379">
        <v>-1.7260871407110387</v>
      </c>
      <c r="AS11" s="238"/>
      <c r="AT11" s="238"/>
      <c r="AU11" s="238"/>
      <c r="AV11" s="353">
        <v>5.0000000000000001E-3</v>
      </c>
      <c r="AW11" s="274"/>
      <c r="AX11" s="233"/>
      <c r="AY11" s="354"/>
      <c r="AZ11" s="241"/>
      <c r="BA11" s="241"/>
      <c r="BB11" s="241"/>
      <c r="BC11" s="319"/>
      <c r="BD11" s="355"/>
      <c r="BE11" s="238"/>
      <c r="BF11" s="319"/>
      <c r="BG11" s="238"/>
      <c r="BH11" s="293"/>
      <c r="BI11" s="293"/>
      <c r="BJ11" s="238"/>
      <c r="BK11" s="319"/>
      <c r="BL11" s="238"/>
      <c r="BM11" s="238"/>
      <c r="BN11" s="256"/>
      <c r="BO11" s="256"/>
      <c r="BP11" s="293"/>
      <c r="BQ11" s="238"/>
      <c r="BR11" s="293"/>
      <c r="BS11" s="238"/>
      <c r="BT11" s="238"/>
      <c r="BU11" s="238"/>
      <c r="BV11" s="238"/>
      <c r="BW11" s="238"/>
      <c r="BX11" s="238"/>
      <c r="BY11" s="238"/>
      <c r="BZ11" s="238"/>
      <c r="CA11" s="238"/>
      <c r="CB11" s="238"/>
      <c r="CC11" s="238"/>
      <c r="CD11" s="238"/>
      <c r="CE11" s="238"/>
      <c r="CF11" s="238"/>
      <c r="CG11" s="238"/>
    </row>
    <row r="12" spans="1:85" s="411" customFormat="1" hidden="1">
      <c r="A12" s="380">
        <v>36281</v>
      </c>
      <c r="B12" s="357">
        <v>2.3480000000000003</v>
      </c>
      <c r="C12" s="381">
        <v>-0.45576916608520102</v>
      </c>
      <c r="D12" s="382">
        <v>-0.41930999780167899</v>
      </c>
      <c r="E12" s="382">
        <v>-0.5469170867940063</v>
      </c>
      <c r="F12" s="383">
        <v>0</v>
      </c>
      <c r="G12" s="384">
        <v>0.09</v>
      </c>
      <c r="H12" s="384">
        <v>0.115</v>
      </c>
      <c r="I12" s="385">
        <v>0.1</v>
      </c>
      <c r="J12" s="384">
        <v>3.2000000000000001E-2</v>
      </c>
      <c r="K12" s="384">
        <v>7.2000000000000008E-2</v>
      </c>
      <c r="L12" s="384">
        <v>0.21199999999999999</v>
      </c>
      <c r="M12" s="386">
        <v>-0.34800000000000003</v>
      </c>
      <c r="N12" s="326">
        <v>0</v>
      </c>
      <c r="O12" s="385">
        <v>-0.25800000000000001</v>
      </c>
      <c r="P12" s="387">
        <v>-0.39800000000000035</v>
      </c>
      <c r="Q12" s="388">
        <v>0.17</v>
      </c>
      <c r="R12" s="389">
        <v>0.01</v>
      </c>
      <c r="S12" s="365">
        <v>0.55567500000000003</v>
      </c>
      <c r="T12" s="390"/>
      <c r="U12" s="391">
        <v>0.59750000000000003</v>
      </c>
      <c r="V12" s="392">
        <v>1.8922308339147993</v>
      </c>
      <c r="W12" s="392">
        <v>1.9286900021983213</v>
      </c>
      <c r="X12" s="393">
        <v>1.801082913205994</v>
      </c>
      <c r="Y12" s="394"/>
      <c r="Z12" s="395">
        <v>0.05</v>
      </c>
      <c r="AA12" s="370">
        <v>-0.125</v>
      </c>
      <c r="AB12" s="371">
        <v>2.5950000000000002</v>
      </c>
      <c r="AC12" s="396">
        <v>2.645</v>
      </c>
      <c r="AD12" s="393">
        <v>2.4700000000000002</v>
      </c>
      <c r="AE12" s="372">
        <v>1.95</v>
      </c>
      <c r="AF12" s="397">
        <v>2</v>
      </c>
      <c r="AG12" s="398">
        <v>2.09</v>
      </c>
      <c r="AH12" s="235"/>
      <c r="AI12" s="399">
        <v>1.4742500000000001</v>
      </c>
      <c r="AJ12" s="400">
        <v>4.6997604201600006E-2</v>
      </c>
      <c r="AK12" s="400">
        <v>5.0578951468342015E-2</v>
      </c>
      <c r="AL12" s="401">
        <v>1.0044502850986414</v>
      </c>
      <c r="AM12" s="402">
        <v>1.0044502850986414</v>
      </c>
      <c r="AN12" s="403">
        <v>0</v>
      </c>
      <c r="AO12" s="378">
        <v>0.12</v>
      </c>
      <c r="AP12" s="404"/>
      <c r="AQ12" s="403">
        <v>-0.45576916608520102</v>
      </c>
      <c r="AR12" s="405">
        <v>0</v>
      </c>
      <c r="AS12" s="404"/>
      <c r="AT12" s="404"/>
      <c r="AU12" s="404"/>
      <c r="AV12" s="353">
        <v>0</v>
      </c>
      <c r="AW12" s="274"/>
      <c r="AX12" s="233"/>
      <c r="AY12" s="401"/>
      <c r="AZ12" s="406"/>
      <c r="BA12" s="406"/>
      <c r="BB12" s="406"/>
      <c r="BC12" s="407"/>
      <c r="BD12" s="408"/>
      <c r="BE12" s="404"/>
      <c r="BF12" s="407"/>
      <c r="BG12" s="404"/>
      <c r="BH12" s="409"/>
      <c r="BI12" s="409"/>
      <c r="BJ12" s="409"/>
      <c r="BK12" s="407"/>
      <c r="BL12" s="404"/>
      <c r="BM12" s="404"/>
      <c r="BN12" s="410"/>
      <c r="BO12" s="410"/>
      <c r="BP12" s="409"/>
      <c r="BQ12" s="404"/>
      <c r="BR12" s="409"/>
      <c r="BS12" s="404"/>
      <c r="BT12" s="404"/>
      <c r="BU12" s="404"/>
      <c r="BV12" s="404"/>
      <c r="BW12" s="404"/>
      <c r="BX12" s="404"/>
      <c r="BY12" s="404"/>
      <c r="BZ12" s="404"/>
      <c r="CA12" s="404"/>
      <c r="CB12" s="404"/>
      <c r="CC12" s="404"/>
      <c r="CD12" s="404"/>
      <c r="CE12" s="404"/>
      <c r="CF12" s="404"/>
      <c r="CG12" s="404"/>
    </row>
    <row r="13" spans="1:85" hidden="1">
      <c r="A13" s="356">
        <v>36312</v>
      </c>
      <c r="B13" s="357">
        <v>2.226</v>
      </c>
      <c r="C13" s="412">
        <v>-0.26560170852554243</v>
      </c>
      <c r="D13" s="359">
        <v>-0.24758334187596098</v>
      </c>
      <c r="E13" s="413">
        <v>-0.35569354177344947</v>
      </c>
      <c r="F13" s="386">
        <v>9.9000000000000005E-2</v>
      </c>
      <c r="G13" s="384">
        <v>8.199999999999999E-2</v>
      </c>
      <c r="H13" s="384">
        <v>0.10700000000000001</v>
      </c>
      <c r="I13" s="385">
        <v>8.4000000000000005E-2</v>
      </c>
      <c r="J13" s="384">
        <v>0.05</v>
      </c>
      <c r="K13" s="384">
        <v>8.4000000000000005E-2</v>
      </c>
      <c r="L13" s="384">
        <v>0.19400000000000003</v>
      </c>
      <c r="M13" s="386">
        <v>-0.28499999999999998</v>
      </c>
      <c r="N13" s="326">
        <v>0</v>
      </c>
      <c r="O13" s="385">
        <v>-0.15</v>
      </c>
      <c r="P13" s="387">
        <v>-0.316</v>
      </c>
      <c r="Q13" s="388">
        <v>0.2</v>
      </c>
      <c r="S13" s="365">
        <v>0</v>
      </c>
      <c r="T13" s="365"/>
      <c r="U13" s="391">
        <v>0.38</v>
      </c>
      <c r="V13" s="225">
        <v>1.9603982914744575</v>
      </c>
      <c r="W13" s="225">
        <v>1.978416658124039</v>
      </c>
      <c r="X13" s="368">
        <v>1.8703064582265505</v>
      </c>
      <c r="Y13" s="318"/>
      <c r="Z13" s="395">
        <v>2.5000000000000001E-2</v>
      </c>
      <c r="AA13" s="370">
        <v>-0.125</v>
      </c>
      <c r="AB13" s="371">
        <v>2.72</v>
      </c>
      <c r="AC13" s="312">
        <v>2.7450000000000001</v>
      </c>
      <c r="AD13" s="368">
        <v>2.5950000000000002</v>
      </c>
      <c r="AE13" s="372">
        <v>1.91</v>
      </c>
      <c r="AF13" s="373">
        <v>1.9410000000000001</v>
      </c>
      <c r="AG13" s="374">
        <v>2.0760000000000001</v>
      </c>
      <c r="AH13" s="235"/>
      <c r="AI13" s="399">
        <v>1.4632500000000002</v>
      </c>
      <c r="AJ13" s="414">
        <v>4.6501354316044019E-2</v>
      </c>
      <c r="AK13" s="414">
        <v>5.0221837532552015E-2</v>
      </c>
      <c r="AL13" s="354">
        <v>1.1096926898928443</v>
      </c>
      <c r="AM13" s="377">
        <v>1.1188575980974629</v>
      </c>
      <c r="AN13" s="353">
        <v>0</v>
      </c>
      <c r="AO13" s="378">
        <v>0.124</v>
      </c>
      <c r="AP13" s="238"/>
      <c r="AQ13" s="353">
        <v>-2.3160918332479072</v>
      </c>
      <c r="AR13" s="379">
        <v>-2.0504901247223648</v>
      </c>
      <c r="AS13" s="238"/>
      <c r="AT13" s="238"/>
      <c r="AU13" s="238"/>
      <c r="AV13" s="353">
        <v>0</v>
      </c>
      <c r="AW13" s="274"/>
      <c r="AX13" s="233"/>
      <c r="AY13" s="354">
        <v>1.25</v>
      </c>
      <c r="AZ13" s="241"/>
      <c r="BA13" s="241"/>
      <c r="BB13" s="241"/>
      <c r="BC13" s="319"/>
      <c r="BD13" s="355"/>
      <c r="BE13" s="238"/>
      <c r="BF13" s="319"/>
      <c r="BG13" s="238"/>
      <c r="BH13" s="293"/>
      <c r="BI13" s="293"/>
      <c r="BJ13" s="238"/>
      <c r="BK13" s="319"/>
      <c r="BL13" s="238"/>
      <c r="BM13" s="238"/>
      <c r="BN13" s="256"/>
      <c r="BO13" s="256"/>
      <c r="BP13" s="293"/>
      <c r="BQ13" s="238"/>
      <c r="BR13" s="293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</row>
    <row r="14" spans="1:85" hidden="1">
      <c r="A14" s="356">
        <v>36342</v>
      </c>
      <c r="B14" s="357">
        <v>2.262</v>
      </c>
      <c r="C14" s="412">
        <v>-0.24389400270072592</v>
      </c>
      <c r="D14" s="359">
        <v>-0.22587519915341092</v>
      </c>
      <c r="E14" s="413">
        <v>-0.38083690966031947</v>
      </c>
      <c r="F14" s="386">
        <v>8.7999999999999995E-2</v>
      </c>
      <c r="G14" s="384">
        <v>5.8000000000000003E-2</v>
      </c>
      <c r="H14" s="384">
        <v>0.10800000000000001</v>
      </c>
      <c r="I14" s="385">
        <v>0.10299999999999999</v>
      </c>
      <c r="J14" s="384">
        <v>6.3E-2</v>
      </c>
      <c r="K14" s="384">
        <v>8.3000000000000004E-2</v>
      </c>
      <c r="L14" s="384">
        <v>0.25800000000000001</v>
      </c>
      <c r="M14" s="386">
        <v>-0.27200000000000002</v>
      </c>
      <c r="N14" s="326">
        <v>0</v>
      </c>
      <c r="O14" s="385">
        <v>-8.6999999999999994E-2</v>
      </c>
      <c r="P14" s="387">
        <v>-0.32200000000000001</v>
      </c>
      <c r="Q14" s="388">
        <v>0.08</v>
      </c>
      <c r="S14" s="365">
        <v>0.372</v>
      </c>
      <c r="T14" s="365"/>
      <c r="U14" s="391">
        <v>0.4</v>
      </c>
      <c r="V14" s="225">
        <v>2.0181059972992741</v>
      </c>
      <c r="W14" s="225">
        <v>2.0361248008465891</v>
      </c>
      <c r="X14" s="368">
        <v>1.8811630903396805</v>
      </c>
      <c r="Y14" s="318" t="s">
        <v>237</v>
      </c>
      <c r="Z14" s="395">
        <v>2.5000000000000001E-2</v>
      </c>
      <c r="AA14" s="370">
        <v>-0.19</v>
      </c>
      <c r="AB14" s="371">
        <v>2.8</v>
      </c>
      <c r="AC14" s="312">
        <v>2.8250000000000002</v>
      </c>
      <c r="AD14" s="368">
        <v>2.61</v>
      </c>
      <c r="AE14" s="372">
        <v>1.94</v>
      </c>
      <c r="AF14" s="373">
        <v>1.99</v>
      </c>
      <c r="AG14" s="374">
        <v>2.1749999999999998</v>
      </c>
      <c r="AH14" s="235"/>
      <c r="AI14" s="399">
        <v>1.5042500000000001</v>
      </c>
      <c r="AJ14" s="414">
        <v>4.7496795000000001E-2</v>
      </c>
      <c r="AK14" s="414">
        <v>5.6583459000000003E-2</v>
      </c>
      <c r="AL14" s="354">
        <v>1.1078593945325703</v>
      </c>
      <c r="AM14" s="377">
        <v>1.1294768799847144</v>
      </c>
      <c r="AN14" s="353">
        <v>0</v>
      </c>
      <c r="AO14" s="378">
        <v>0.12</v>
      </c>
      <c r="AP14" s="238"/>
      <c r="AQ14" s="353">
        <v>-2.395207146418481</v>
      </c>
      <c r="AR14" s="379">
        <v>0</v>
      </c>
      <c r="AS14" s="238"/>
      <c r="AT14" s="238"/>
      <c r="AU14" s="238"/>
      <c r="AV14" s="353">
        <v>0</v>
      </c>
      <c r="AW14" s="274"/>
      <c r="AX14" s="233"/>
      <c r="AY14" s="354">
        <v>1.25</v>
      </c>
      <c r="AZ14" s="241"/>
      <c r="BA14" s="241"/>
      <c r="BB14" s="241"/>
      <c r="BC14" s="319"/>
      <c r="BD14" s="355"/>
      <c r="BE14" s="238"/>
      <c r="BF14" s="319"/>
      <c r="BG14" s="238"/>
      <c r="BH14" s="293"/>
      <c r="BI14" s="293"/>
      <c r="BJ14" s="238"/>
      <c r="BK14" s="319"/>
      <c r="BL14" s="238"/>
      <c r="BM14" s="238"/>
      <c r="BN14" s="256"/>
      <c r="BO14" s="256"/>
      <c r="BP14" s="293"/>
      <c r="BQ14" s="238"/>
      <c r="BR14" s="293"/>
      <c r="BS14" s="238"/>
      <c r="BT14" s="238"/>
      <c r="BU14" s="238"/>
      <c r="BV14" s="238"/>
      <c r="BW14" s="238"/>
      <c r="BX14" s="238"/>
      <c r="BY14" s="238"/>
      <c r="BZ14" s="238"/>
      <c r="CA14" s="238"/>
      <c r="CB14" s="238"/>
      <c r="CC14" s="238"/>
      <c r="CD14" s="238"/>
      <c r="CE14" s="238"/>
      <c r="CF14" s="238"/>
      <c r="CG14" s="238"/>
    </row>
    <row r="15" spans="1:85" hidden="1">
      <c r="A15" s="356">
        <v>36373</v>
      </c>
      <c r="B15" s="357">
        <v>2.6010000000000004</v>
      </c>
      <c r="C15" s="412">
        <v>-0.6273861062367625</v>
      </c>
      <c r="D15" s="359">
        <v>-0.60985845176284381</v>
      </c>
      <c r="E15" s="413">
        <v>-0.45210956149757608</v>
      </c>
      <c r="F15" s="386">
        <v>3.9E-2</v>
      </c>
      <c r="G15" s="384">
        <v>9.0000000000000011E-3</v>
      </c>
      <c r="H15" s="384">
        <v>6.4000000000000001E-2</v>
      </c>
      <c r="I15" s="385">
        <v>2.4E-2</v>
      </c>
      <c r="J15" s="384">
        <v>8.4000000000000005E-2</v>
      </c>
      <c r="K15" s="384">
        <v>0.10400000000000001</v>
      </c>
      <c r="L15" s="384">
        <v>0.33</v>
      </c>
      <c r="M15" s="386">
        <v>-0.42499999999999999</v>
      </c>
      <c r="N15" s="326">
        <v>0</v>
      </c>
      <c r="O15" s="385">
        <v>-0.27500000000000002</v>
      </c>
      <c r="P15" s="283">
        <v>-0.39100000000000001</v>
      </c>
      <c r="Q15" s="388">
        <v>0.18</v>
      </c>
      <c r="S15" s="365">
        <v>0.69750000000000001</v>
      </c>
      <c r="T15" s="365"/>
      <c r="U15" s="391">
        <v>0.75</v>
      </c>
      <c r="V15" s="225">
        <v>1.9736138937632379</v>
      </c>
      <c r="W15" s="225">
        <v>1.9911415482371566</v>
      </c>
      <c r="X15" s="368">
        <v>2.1488904385024243</v>
      </c>
      <c r="Y15" s="415">
        <v>4.9802500000000007</v>
      </c>
      <c r="Z15" s="395">
        <v>2.5000000000000001E-2</v>
      </c>
      <c r="AA15" s="370">
        <v>0.25</v>
      </c>
      <c r="AB15" s="371">
        <v>2.8149999999999999</v>
      </c>
      <c r="AC15" s="312">
        <v>2.84</v>
      </c>
      <c r="AD15" s="368">
        <v>3.0649999999999999</v>
      </c>
      <c r="AE15" s="372">
        <v>2.21</v>
      </c>
      <c r="AF15" s="373">
        <v>2.1760000000000006</v>
      </c>
      <c r="AG15" s="374">
        <v>2.3260000000000005</v>
      </c>
      <c r="AH15" s="416">
        <v>-0.35</v>
      </c>
      <c r="AI15" s="399">
        <v>1.4932500000000002</v>
      </c>
      <c r="AJ15" s="414">
        <v>4.8412219944185007E-2</v>
      </c>
      <c r="AK15" s="414">
        <v>5.2667831385669016E-2</v>
      </c>
      <c r="AL15" s="354">
        <v>0.99973810098864824</v>
      </c>
      <c r="AM15" s="377">
        <v>0.99971537907275354</v>
      </c>
      <c r="AN15" s="353">
        <v>1.9000000000000003E-2</v>
      </c>
      <c r="AO15" s="378">
        <v>0.12</v>
      </c>
      <c r="AP15" s="238"/>
      <c r="AQ15" s="353">
        <v>-0.63089163713154628</v>
      </c>
      <c r="AR15" s="379">
        <v>-3.5055308947837815E-3</v>
      </c>
      <c r="AS15" s="238"/>
      <c r="AT15" s="238"/>
      <c r="AU15" s="238"/>
      <c r="AV15" s="353">
        <v>0</v>
      </c>
      <c r="AW15" s="274"/>
      <c r="AX15" s="233"/>
      <c r="AY15" s="354">
        <v>1.25</v>
      </c>
      <c r="AZ15" s="241"/>
      <c r="BA15" s="241"/>
      <c r="BB15" s="241"/>
      <c r="BC15" s="319"/>
      <c r="BD15" s="355"/>
      <c r="BE15" s="238"/>
      <c r="BF15" s="319"/>
      <c r="BG15" s="238"/>
      <c r="BH15" s="293"/>
      <c r="BI15" s="293"/>
      <c r="BJ15" s="238"/>
      <c r="BK15" s="319"/>
      <c r="BL15" s="238"/>
      <c r="BM15" s="238"/>
      <c r="BN15" s="256"/>
      <c r="BO15" s="256"/>
      <c r="BP15" s="293"/>
      <c r="BQ15" s="238"/>
      <c r="BR15" s="293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8"/>
      <c r="CE15" s="238"/>
      <c r="CF15" s="238"/>
      <c r="CG15" s="238"/>
    </row>
    <row r="16" spans="1:85" hidden="1">
      <c r="A16" s="356">
        <v>36404</v>
      </c>
      <c r="B16" s="357">
        <v>2.9119999999999999</v>
      </c>
      <c r="C16" s="412">
        <v>-0.56011258103858497</v>
      </c>
      <c r="D16" s="359">
        <v>-0.54245576858391953</v>
      </c>
      <c r="E16" s="413">
        <v>-0.48242260623805722</v>
      </c>
      <c r="F16" s="386">
        <v>0.05</v>
      </c>
      <c r="G16" s="384">
        <v>0.03</v>
      </c>
      <c r="H16" s="384">
        <v>0.09</v>
      </c>
      <c r="I16" s="385">
        <v>0.05</v>
      </c>
      <c r="J16" s="384">
        <v>2.2499999999999999E-2</v>
      </c>
      <c r="K16" s="384">
        <v>4.7500000000000001E-2</v>
      </c>
      <c r="L16" s="384">
        <v>0.218</v>
      </c>
      <c r="M16" s="386">
        <v>-0.35499999999999998</v>
      </c>
      <c r="N16" s="384">
        <v>5.0000000000000001E-3</v>
      </c>
      <c r="O16" s="385">
        <v>-0.255</v>
      </c>
      <c r="P16" s="283">
        <v>-0.41199999999999998</v>
      </c>
      <c r="Q16" s="388">
        <v>8.2500000000000004E-2</v>
      </c>
      <c r="R16" s="230">
        <v>0.37</v>
      </c>
      <c r="S16" s="365">
        <v>0.51150000000000007</v>
      </c>
      <c r="T16" s="365"/>
      <c r="U16" s="391">
        <v>0.55000000000000004</v>
      </c>
      <c r="V16" s="225">
        <v>2.351887418961415</v>
      </c>
      <c r="W16" s="225">
        <v>2.3695442314160804</v>
      </c>
      <c r="X16" s="368">
        <v>2.4295773937619427</v>
      </c>
      <c r="Y16" s="415"/>
      <c r="Z16" s="395">
        <v>2.5000000000000001E-2</v>
      </c>
      <c r="AA16" s="370">
        <v>0.02</v>
      </c>
      <c r="AB16" s="371">
        <v>3.33</v>
      </c>
      <c r="AC16" s="312">
        <v>3.355</v>
      </c>
      <c r="AD16" s="368">
        <v>3.44</v>
      </c>
      <c r="AE16" s="372">
        <v>2.5</v>
      </c>
      <c r="AF16" s="373">
        <v>2.5569999999999999</v>
      </c>
      <c r="AG16" s="374">
        <v>2.657</v>
      </c>
      <c r="AH16" s="416">
        <v>-0.28499999999999998</v>
      </c>
      <c r="AI16" s="417">
        <v>1.4667000000000001</v>
      </c>
      <c r="AJ16" s="414">
        <v>4.8498679033737002E-2</v>
      </c>
      <c r="AK16" s="414">
        <v>5.7887780980724016E-2</v>
      </c>
      <c r="AL16" s="354">
        <v>1</v>
      </c>
      <c r="AM16" s="377">
        <v>1</v>
      </c>
      <c r="AN16" s="353">
        <v>0.03</v>
      </c>
      <c r="AO16" s="378">
        <v>0.124</v>
      </c>
      <c r="AP16" s="238"/>
      <c r="AQ16" s="353">
        <v>-2.8978745500362675</v>
      </c>
      <c r="AR16" s="379">
        <v>-2.3377619689976825</v>
      </c>
      <c r="AS16" s="238"/>
      <c r="AT16" s="238"/>
      <c r="AU16" s="238"/>
      <c r="AV16" s="353">
        <v>0</v>
      </c>
      <c r="AW16" s="274"/>
      <c r="AX16" s="233"/>
      <c r="AY16" s="354">
        <v>0.26</v>
      </c>
      <c r="AZ16" s="241"/>
      <c r="BA16" s="241"/>
      <c r="BB16" s="241"/>
      <c r="BC16" s="319"/>
      <c r="BD16" s="355"/>
      <c r="BE16" s="238"/>
      <c r="BF16" s="319"/>
      <c r="BG16" s="238"/>
      <c r="BH16" s="293"/>
      <c r="BI16" s="293"/>
      <c r="BJ16" s="238"/>
      <c r="BK16" s="319"/>
      <c r="BL16" s="238"/>
      <c r="BM16" s="238"/>
      <c r="BN16" s="256"/>
      <c r="BO16" s="256"/>
      <c r="BP16" s="293"/>
      <c r="BQ16" s="238"/>
      <c r="BR16" s="293"/>
      <c r="BS16" s="238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8"/>
      <c r="CE16" s="238"/>
      <c r="CF16" s="238"/>
      <c r="CG16" s="238"/>
    </row>
    <row r="17" spans="1:85" hidden="1">
      <c r="A17" s="356">
        <v>36434</v>
      </c>
      <c r="B17" s="357">
        <v>2.56</v>
      </c>
      <c r="C17" s="412">
        <v>-0.25182070364556886</v>
      </c>
      <c r="D17" s="359">
        <v>-0.23384422937489591</v>
      </c>
      <c r="E17" s="413">
        <v>-0.24822540879143418</v>
      </c>
      <c r="F17" s="386">
        <v>0.06</v>
      </c>
      <c r="G17" s="384">
        <v>0.04</v>
      </c>
      <c r="H17" s="384">
        <v>7.4999999999999997E-2</v>
      </c>
      <c r="I17" s="385">
        <v>0.05</v>
      </c>
      <c r="J17" s="384">
        <v>0.05</v>
      </c>
      <c r="K17" s="384">
        <v>7.0000000000000007E-2</v>
      </c>
      <c r="L17" s="384">
        <v>0.25</v>
      </c>
      <c r="M17" s="386">
        <v>-0.19</v>
      </c>
      <c r="N17" s="384">
        <v>0.14000000000000001</v>
      </c>
      <c r="O17" s="385">
        <v>-0.01</v>
      </c>
      <c r="P17" s="283">
        <v>-0.17</v>
      </c>
      <c r="Q17" s="388">
        <v>0.09</v>
      </c>
      <c r="R17" s="230">
        <v>0.34</v>
      </c>
      <c r="S17" s="365">
        <v>0.54869999999999997</v>
      </c>
      <c r="T17" s="365"/>
      <c r="U17" s="391">
        <v>0.59</v>
      </c>
      <c r="V17" s="225">
        <v>2.3081792963544312</v>
      </c>
      <c r="W17" s="225">
        <v>2.3261557706251041</v>
      </c>
      <c r="X17" s="368">
        <v>2.3117745912085659</v>
      </c>
      <c r="Y17" s="415">
        <v>4.7823571428571423</v>
      </c>
      <c r="Z17" s="395">
        <v>2.5000000000000001E-2</v>
      </c>
      <c r="AA17" s="370">
        <v>5.0000000000000001E-3</v>
      </c>
      <c r="AB17" s="371">
        <v>3.21</v>
      </c>
      <c r="AC17" s="312">
        <v>3.2349999999999999</v>
      </c>
      <c r="AD17" s="368">
        <v>3.2149999999999999</v>
      </c>
      <c r="AE17" s="372">
        <v>2.39</v>
      </c>
      <c r="AF17" s="373">
        <v>2.37</v>
      </c>
      <c r="AG17" s="374">
        <v>2.5499999999999998</v>
      </c>
      <c r="AH17" s="416">
        <v>-0.21</v>
      </c>
      <c r="AI17" s="417">
        <v>1.4715</v>
      </c>
      <c r="AJ17" s="414">
        <v>4.7652980511766002E-2</v>
      </c>
      <c r="AK17" s="414">
        <v>5.7887780980724016E-2</v>
      </c>
      <c r="AL17" s="354">
        <v>0.9998710715883643</v>
      </c>
      <c r="AM17" s="377">
        <v>0.9998437744102483</v>
      </c>
      <c r="AN17" s="353">
        <v>0.04</v>
      </c>
      <c r="AO17" s="378">
        <v>0.12</v>
      </c>
      <c r="AP17" s="238"/>
      <c r="AQ17" s="353">
        <v>-2.5564047051458654</v>
      </c>
      <c r="AR17" s="379">
        <v>-2.3045840015002965</v>
      </c>
      <c r="AS17" s="238"/>
      <c r="AT17" s="238"/>
      <c r="AU17" s="238"/>
      <c r="AV17" s="353">
        <v>0</v>
      </c>
      <c r="AW17" s="274"/>
      <c r="AX17" s="233"/>
      <c r="AY17" s="354">
        <v>0.26</v>
      </c>
      <c r="AZ17" s="241"/>
      <c r="BA17" s="241"/>
      <c r="BB17" s="241"/>
      <c r="BC17" s="319"/>
      <c r="BD17" s="355"/>
      <c r="BE17" s="238"/>
      <c r="BF17" s="319"/>
      <c r="BG17" s="238"/>
      <c r="BH17" s="293"/>
      <c r="BI17" s="293"/>
      <c r="BJ17" s="238"/>
      <c r="BK17" s="319"/>
      <c r="BL17" s="238"/>
      <c r="BM17" s="238"/>
      <c r="BN17" s="256"/>
      <c r="BO17" s="256"/>
      <c r="BP17" s="293"/>
      <c r="BQ17" s="238"/>
      <c r="BR17" s="293"/>
      <c r="BS17" s="238"/>
      <c r="BT17" s="238"/>
      <c r="BU17" s="238"/>
      <c r="BV17" s="238"/>
      <c r="BW17" s="238"/>
      <c r="BX17" s="238"/>
      <c r="BY17" s="238"/>
      <c r="BZ17" s="238"/>
      <c r="CA17" s="238"/>
      <c r="CB17" s="238"/>
      <c r="CC17" s="238"/>
      <c r="CD17" s="238"/>
      <c r="CE17" s="238"/>
      <c r="CF17" s="238"/>
      <c r="CG17" s="238"/>
    </row>
    <row r="18" spans="1:85" hidden="1">
      <c r="A18" s="356">
        <v>36465</v>
      </c>
      <c r="B18" s="357">
        <v>3.0920000000000001</v>
      </c>
      <c r="C18" s="412">
        <v>-0.39707068969664761</v>
      </c>
      <c r="D18" s="359">
        <v>-0.27522548151803861</v>
      </c>
      <c r="E18" s="413">
        <v>-0.38990332450967058</v>
      </c>
      <c r="F18" s="386">
        <v>3.8000000000000006E-2</v>
      </c>
      <c r="G18" s="384">
        <v>3.8000000000000006E-2</v>
      </c>
      <c r="H18" s="384">
        <v>6.8000000000000005E-2</v>
      </c>
      <c r="I18" s="385">
        <v>0.23</v>
      </c>
      <c r="J18" s="384">
        <v>0.12</v>
      </c>
      <c r="K18" s="384">
        <v>0.17</v>
      </c>
      <c r="L18" s="384">
        <v>0.47800000000000004</v>
      </c>
      <c r="M18" s="386">
        <v>-0.22</v>
      </c>
      <c r="N18" s="384">
        <v>-0.01</v>
      </c>
      <c r="O18" s="385">
        <v>-0.08</v>
      </c>
      <c r="P18" s="283">
        <v>-0.17199999999999999</v>
      </c>
      <c r="Q18" s="388">
        <v>0.18</v>
      </c>
      <c r="R18" s="230">
        <v>0.27</v>
      </c>
      <c r="S18" s="365">
        <v>0.6</v>
      </c>
      <c r="T18" s="365"/>
      <c r="U18" s="391">
        <v>0.6</v>
      </c>
      <c r="V18" s="225">
        <v>2.6949293103033525</v>
      </c>
      <c r="W18" s="225">
        <v>2.8167745184819615</v>
      </c>
      <c r="X18" s="368">
        <v>2.7020966754903295</v>
      </c>
      <c r="Y18" s="415"/>
      <c r="Z18" s="395">
        <v>0.17</v>
      </c>
      <c r="AA18" s="370">
        <v>0.01</v>
      </c>
      <c r="AB18" s="371">
        <v>3.76</v>
      </c>
      <c r="AC18" s="312">
        <v>3.93</v>
      </c>
      <c r="AD18" s="368">
        <v>3.77</v>
      </c>
      <c r="AE18" s="418">
        <v>2.92</v>
      </c>
      <c r="AF18" s="373">
        <v>2.8719999999999999</v>
      </c>
      <c r="AG18" s="374">
        <v>3.012</v>
      </c>
      <c r="AH18" s="416">
        <v>-0.23</v>
      </c>
      <c r="AI18" s="399">
        <v>1.4737499999999999</v>
      </c>
      <c r="AJ18" s="414">
        <v>4.7187618011464004E-2</v>
      </c>
      <c r="AK18" s="414">
        <v>5.4620350596712018E-2</v>
      </c>
      <c r="AL18" s="354">
        <v>0.99961699694502315</v>
      </c>
      <c r="AM18" s="377">
        <v>0.9995574875706067</v>
      </c>
      <c r="AN18" s="353">
        <v>3.8000000000000006E-2</v>
      </c>
      <c r="AO18" s="378">
        <v>0.124</v>
      </c>
      <c r="AP18" s="238"/>
      <c r="AQ18" s="353">
        <v>-3.0848326348130231</v>
      </c>
      <c r="AR18" s="379">
        <v>-2.6877619451163755</v>
      </c>
      <c r="AS18" s="238"/>
      <c r="AT18" s="238"/>
      <c r="AU18" s="238"/>
      <c r="AV18" s="353">
        <v>5.0000000000000001E-3</v>
      </c>
      <c r="AW18" s="274"/>
      <c r="AX18" s="233"/>
      <c r="AY18" s="354">
        <v>0.26</v>
      </c>
      <c r="AZ18" s="241"/>
      <c r="BA18" s="241"/>
      <c r="BB18" s="241"/>
      <c r="BC18" s="319"/>
      <c r="BD18" s="355"/>
      <c r="BE18" s="238"/>
      <c r="BF18" s="319"/>
      <c r="BG18" s="238"/>
      <c r="BH18" s="293"/>
      <c r="BI18" s="293"/>
      <c r="BJ18" s="238"/>
      <c r="BK18" s="319"/>
      <c r="BL18" s="238"/>
      <c r="BM18" s="238"/>
      <c r="BN18" s="256"/>
      <c r="BO18" s="256"/>
      <c r="BP18" s="293"/>
      <c r="BQ18" s="238"/>
      <c r="BR18" s="293"/>
      <c r="BS18" s="238"/>
      <c r="BT18" s="238"/>
      <c r="BU18" s="238"/>
      <c r="BV18" s="238"/>
      <c r="BW18" s="238"/>
      <c r="BX18" s="238"/>
      <c r="BY18" s="238"/>
      <c r="BZ18" s="238"/>
      <c r="CA18" s="238"/>
      <c r="CB18" s="238"/>
      <c r="CC18" s="238"/>
      <c r="CD18" s="238"/>
      <c r="CE18" s="238"/>
      <c r="CF18" s="238"/>
      <c r="CG18" s="238"/>
    </row>
    <row r="19" spans="1:85" hidden="1">
      <c r="A19" s="356">
        <v>36495</v>
      </c>
      <c r="B19" s="357">
        <v>2.12</v>
      </c>
      <c r="C19" s="381">
        <v>0.13450000000000001</v>
      </c>
      <c r="D19" s="382">
        <v>-7.3000000000000001E-3</v>
      </c>
      <c r="E19" s="359">
        <v>-0.1129</v>
      </c>
      <c r="F19" s="386">
        <v>0.14000000000000001</v>
      </c>
      <c r="G19" s="384">
        <v>0.16</v>
      </c>
      <c r="H19" s="384">
        <v>0.17</v>
      </c>
      <c r="I19" s="385">
        <v>0.2</v>
      </c>
      <c r="J19" s="384">
        <v>7.0000000000000007E-2</v>
      </c>
      <c r="K19" s="384">
        <v>0.125</v>
      </c>
      <c r="L19" s="384">
        <v>0.53</v>
      </c>
      <c r="M19" s="386">
        <v>-0.03</v>
      </c>
      <c r="N19" s="384">
        <v>0.23499999999999999</v>
      </c>
      <c r="O19" s="385">
        <v>0.19500000000000001</v>
      </c>
      <c r="P19" s="419">
        <v>0.16</v>
      </c>
      <c r="Q19" s="388">
        <v>0.15</v>
      </c>
      <c r="R19" s="420">
        <v>0.3</v>
      </c>
      <c r="S19" s="365">
        <v>0.84750000000000003</v>
      </c>
      <c r="T19" s="365">
        <v>0.85</v>
      </c>
      <c r="U19" s="421">
        <v>0.84750000000000003</v>
      </c>
      <c r="V19" s="225">
        <v>2.2545000000000002</v>
      </c>
      <c r="W19" s="225">
        <v>2.1127000000000002</v>
      </c>
      <c r="X19" s="368">
        <v>2.0071000000000003</v>
      </c>
      <c r="Y19" s="394"/>
      <c r="Z19" s="395">
        <v>-0.19819999999999999</v>
      </c>
      <c r="AA19" s="370">
        <v>-0.34570000000000001</v>
      </c>
      <c r="AB19" s="422">
        <v>3.1501999999999999</v>
      </c>
      <c r="AC19" s="312">
        <v>2.952</v>
      </c>
      <c r="AD19" s="368">
        <v>2.8045</v>
      </c>
      <c r="AE19" s="418">
        <v>2.2799999999999998</v>
      </c>
      <c r="AF19" s="397">
        <v>2.09</v>
      </c>
      <c r="AG19" s="398">
        <v>2.3149999999999999</v>
      </c>
      <c r="AH19" s="423">
        <v>-4.4999999999999998E-2</v>
      </c>
      <c r="AI19" s="417">
        <v>1.4539000000000002</v>
      </c>
      <c r="AJ19" s="424">
        <v>4.9413468787229013E-2</v>
      </c>
      <c r="AK19" s="424">
        <v>5.6583459451999996E-2</v>
      </c>
      <c r="AL19" s="354">
        <v>0.99986636644452664</v>
      </c>
      <c r="AM19" s="377">
        <v>0.99984724555970628</v>
      </c>
      <c r="AN19" s="353">
        <v>0.16</v>
      </c>
      <c r="AO19" s="378">
        <v>0.12</v>
      </c>
      <c r="AP19" s="238"/>
      <c r="AQ19" s="353">
        <v>-2.12</v>
      </c>
      <c r="AR19" s="379">
        <v>-2.2541820390146703</v>
      </c>
      <c r="AS19" s="238"/>
      <c r="AT19" s="238"/>
      <c r="AU19" s="238"/>
      <c r="AV19" s="353">
        <v>5.0000000000000001E-3</v>
      </c>
      <c r="AW19" s="425"/>
      <c r="AX19" s="354"/>
      <c r="AY19" s="274">
        <v>0.26</v>
      </c>
      <c r="AZ19" s="426"/>
      <c r="BA19" s="427"/>
      <c r="BB19" s="427"/>
      <c r="BC19" s="428"/>
      <c r="BD19" s="355"/>
      <c r="BE19" s="238"/>
      <c r="BF19" s="319"/>
      <c r="BG19" s="238"/>
      <c r="BH19" s="293"/>
      <c r="BI19" s="293"/>
      <c r="BJ19" s="238"/>
      <c r="BK19" s="319"/>
      <c r="BL19" s="238"/>
      <c r="BM19" s="238"/>
      <c r="BN19" s="256"/>
      <c r="BO19" s="256"/>
      <c r="BP19" s="293"/>
      <c r="BQ19" s="238"/>
      <c r="BR19" s="293"/>
      <c r="BS19" s="238"/>
      <c r="BT19" s="238"/>
      <c r="BU19" s="238"/>
      <c r="BV19" s="238"/>
      <c r="BW19" s="238"/>
      <c r="BX19" s="238"/>
      <c r="BY19" s="238"/>
      <c r="BZ19" s="238"/>
      <c r="CA19" s="238"/>
      <c r="CB19" s="238"/>
      <c r="CC19" s="238"/>
      <c r="CD19" s="238"/>
      <c r="CE19" s="238"/>
      <c r="CF19" s="238"/>
      <c r="CG19" s="238"/>
    </row>
    <row r="20" spans="1:85" hidden="1">
      <c r="A20" s="356">
        <v>36526</v>
      </c>
      <c r="B20" s="357">
        <v>2.3440000000000003</v>
      </c>
      <c r="C20" s="381">
        <v>-0.18596049787916114</v>
      </c>
      <c r="D20" s="382">
        <v>-0.12430222638999444</v>
      </c>
      <c r="E20" s="359">
        <v>-0.18596049787916114</v>
      </c>
      <c r="F20" s="386">
        <v>6.5000000000000002E-2</v>
      </c>
      <c r="G20" s="384">
        <v>0.13</v>
      </c>
      <c r="H20" s="384">
        <v>0.13</v>
      </c>
      <c r="I20" s="385">
        <v>0.21</v>
      </c>
      <c r="J20" s="384">
        <v>0.09</v>
      </c>
      <c r="K20" s="384">
        <v>0.06</v>
      </c>
      <c r="L20" s="384">
        <v>1.3559999999999999</v>
      </c>
      <c r="M20" s="386">
        <v>-0.16399999999999998</v>
      </c>
      <c r="N20" s="384">
        <v>3.1000000000000003E-2</v>
      </c>
      <c r="O20" s="385">
        <v>-2.4E-2</v>
      </c>
      <c r="P20" s="419">
        <v>-3.1E-2</v>
      </c>
      <c r="Q20" s="388">
        <v>0.13500000000000001</v>
      </c>
      <c r="R20" s="420">
        <v>0.43</v>
      </c>
      <c r="S20" s="365">
        <v>0.4</v>
      </c>
      <c r="T20" s="365">
        <v>0.9</v>
      </c>
      <c r="U20" s="421">
        <v>0.4</v>
      </c>
      <c r="V20" s="225">
        <v>2.1580395021208392</v>
      </c>
      <c r="W20" s="225">
        <v>2.2196977736100059</v>
      </c>
      <c r="X20" s="368">
        <v>2.1580395021208392</v>
      </c>
      <c r="Y20" s="394"/>
      <c r="Z20" s="395">
        <v>8.5000000000000006E-2</v>
      </c>
      <c r="AA20" s="370">
        <v>0</v>
      </c>
      <c r="AB20" s="422">
        <v>2.9750000000000001</v>
      </c>
      <c r="AC20" s="312">
        <v>3.06</v>
      </c>
      <c r="AD20" s="368">
        <v>2.9750000000000001</v>
      </c>
      <c r="AE20" s="418">
        <v>2.3130000000000002</v>
      </c>
      <c r="AF20" s="397">
        <v>2.1800000000000002</v>
      </c>
      <c r="AG20" s="398">
        <v>2.3199999999999998</v>
      </c>
      <c r="AH20" s="423">
        <v>-0.16399999999999998</v>
      </c>
      <c r="AI20" s="417">
        <v>1.4465000000000001</v>
      </c>
      <c r="AJ20" s="424">
        <v>5.0961877278977011E-2</v>
      </c>
      <c r="AK20" s="424">
        <v>5.6580830843126012E-2</v>
      </c>
      <c r="AL20" s="354">
        <v>0.9997244819212816</v>
      </c>
      <c r="AM20" s="377">
        <v>0.99969452844652973</v>
      </c>
      <c r="AN20" s="353">
        <v>0.13</v>
      </c>
      <c r="AO20" s="378">
        <v>0.12</v>
      </c>
      <c r="AP20" s="238"/>
      <c r="AQ20" s="353">
        <v>-2.3440000000000003</v>
      </c>
      <c r="AR20" s="379">
        <v>-2.1580395021208392</v>
      </c>
      <c r="AS20" s="238"/>
      <c r="AT20" s="238"/>
      <c r="AU20" s="238"/>
      <c r="AV20" s="353">
        <v>5.0000000000000001E-3</v>
      </c>
      <c r="AW20" s="425"/>
      <c r="AX20" s="354"/>
      <c r="AY20" s="274"/>
      <c r="AZ20" s="426"/>
      <c r="BA20" s="427"/>
      <c r="BB20" s="427"/>
      <c r="BC20" s="428"/>
      <c r="BD20" s="355"/>
      <c r="BE20" s="238"/>
      <c r="BF20" s="319"/>
      <c r="BG20" s="238"/>
      <c r="BH20" s="293"/>
      <c r="BI20" s="293"/>
      <c r="BJ20" s="238"/>
      <c r="BK20" s="319"/>
      <c r="BL20" s="238"/>
      <c r="BM20" s="238"/>
      <c r="BN20" s="256"/>
      <c r="BO20" s="256"/>
      <c r="BP20" s="293"/>
      <c r="BQ20" s="238"/>
      <c r="BR20" s="293"/>
      <c r="BS20" s="238"/>
      <c r="BT20" s="238"/>
      <c r="BU20" s="238"/>
      <c r="BV20" s="238"/>
      <c r="BW20" s="238"/>
      <c r="BX20" s="238"/>
      <c r="BY20" s="238"/>
      <c r="BZ20" s="238"/>
      <c r="CA20" s="238"/>
      <c r="CB20" s="238"/>
      <c r="CC20" s="238"/>
      <c r="CD20" s="238"/>
      <c r="CE20" s="238"/>
      <c r="CF20" s="238"/>
      <c r="CG20" s="238"/>
    </row>
    <row r="21" spans="1:85" hidden="1">
      <c r="A21" s="356">
        <v>36557</v>
      </c>
      <c r="B21" s="357">
        <v>2.61</v>
      </c>
      <c r="C21" s="381">
        <v>-0.47374701958230414</v>
      </c>
      <c r="D21" s="382">
        <v>-0.41177381025278015</v>
      </c>
      <c r="E21" s="359">
        <v>-0.47374701958230414</v>
      </c>
      <c r="F21" s="386">
        <v>0.02</v>
      </c>
      <c r="G21" s="384">
        <v>0.13</v>
      </c>
      <c r="H21" s="384">
        <v>0.13</v>
      </c>
      <c r="I21" s="385">
        <v>0.28000000000000003</v>
      </c>
      <c r="J21" s="384">
        <v>0.08</v>
      </c>
      <c r="K21" s="384">
        <v>0.06</v>
      </c>
      <c r="L21" s="384">
        <v>2.8</v>
      </c>
      <c r="M21" s="386">
        <v>-0.26</v>
      </c>
      <c r="N21" s="384">
        <v>-7.0000000000000007E-2</v>
      </c>
      <c r="O21" s="385">
        <v>-0.12</v>
      </c>
      <c r="P21" s="419">
        <v>-0.25</v>
      </c>
      <c r="Q21" s="388">
        <v>0.1</v>
      </c>
      <c r="R21" s="420">
        <v>0.5</v>
      </c>
      <c r="S21" s="365">
        <v>0.6</v>
      </c>
      <c r="T21" s="365">
        <v>0.78500000000000003</v>
      </c>
      <c r="U21" s="421">
        <v>0.6</v>
      </c>
      <c r="V21" s="225">
        <v>2.1362529804176957</v>
      </c>
      <c r="W21" s="225">
        <v>2.1982261897472197</v>
      </c>
      <c r="X21" s="368">
        <v>2.1362529804176957</v>
      </c>
      <c r="Y21" s="394" t="s">
        <v>238</v>
      </c>
      <c r="Z21" s="395">
        <v>8.5000000000000006E-2</v>
      </c>
      <c r="AA21" s="370">
        <v>0</v>
      </c>
      <c r="AB21" s="422">
        <v>2.93</v>
      </c>
      <c r="AC21" s="312">
        <v>3.0150000000000001</v>
      </c>
      <c r="AD21" s="368">
        <v>2.93</v>
      </c>
      <c r="AE21" s="418">
        <v>2.35</v>
      </c>
      <c r="AF21" s="397">
        <v>2.35</v>
      </c>
      <c r="AG21" s="398">
        <v>2.4900000000000002</v>
      </c>
      <c r="AH21" s="423">
        <v>-0.26</v>
      </c>
      <c r="AI21" s="417">
        <v>1.4515</v>
      </c>
      <c r="AJ21" s="424">
        <v>5.1585864383055E-2</v>
      </c>
      <c r="AK21" s="424">
        <v>5.9845805981007992E-2</v>
      </c>
      <c r="AL21" s="354">
        <v>0.99986056602077245</v>
      </c>
      <c r="AM21" s="377">
        <v>0.99983856773125168</v>
      </c>
      <c r="AN21" s="353">
        <v>0.13</v>
      </c>
      <c r="AO21" s="378">
        <v>0.13300000000000001</v>
      </c>
      <c r="AP21" s="238"/>
      <c r="AQ21" s="353">
        <v>-2.61</v>
      </c>
      <c r="AR21" s="379">
        <v>-2.1362529804176957</v>
      </c>
      <c r="AS21" s="238"/>
      <c r="AT21" s="238"/>
      <c r="AU21" s="238"/>
      <c r="AV21" s="353">
        <v>5.0000000000000001E-3</v>
      </c>
      <c r="AW21" s="425"/>
      <c r="AX21" s="354"/>
      <c r="AY21" s="274"/>
      <c r="AZ21" s="426"/>
      <c r="BA21" s="427"/>
      <c r="BB21" s="427"/>
      <c r="BC21" s="428"/>
      <c r="BD21" s="355"/>
      <c r="BE21" s="238"/>
      <c r="BF21" s="319"/>
      <c r="BG21" s="238"/>
      <c r="BH21" s="293"/>
      <c r="BI21" s="293"/>
      <c r="BJ21" s="238"/>
      <c r="BK21" s="319"/>
      <c r="BL21" s="238"/>
      <c r="BM21" s="238"/>
      <c r="BN21" s="256"/>
      <c r="BO21" s="256"/>
      <c r="BP21" s="293"/>
      <c r="BQ21" s="238"/>
      <c r="BR21" s="293"/>
      <c r="BS21" s="238"/>
      <c r="BT21" s="238"/>
      <c r="BU21" s="238"/>
      <c r="BV21" s="238"/>
      <c r="BW21" s="238"/>
      <c r="BX21" s="238"/>
      <c r="BY21" s="238"/>
      <c r="BZ21" s="238"/>
      <c r="CA21" s="238"/>
      <c r="CB21" s="238"/>
      <c r="CC21" s="238"/>
      <c r="CD21" s="238"/>
      <c r="CE21" s="238"/>
      <c r="CF21" s="238"/>
      <c r="CG21" s="238"/>
    </row>
    <row r="22" spans="1:85" hidden="1">
      <c r="A22" s="356">
        <v>36586</v>
      </c>
      <c r="B22" s="357">
        <v>2.6030000000000002</v>
      </c>
      <c r="C22" s="381">
        <v>-0.32515722601856112</v>
      </c>
      <c r="D22" s="382">
        <v>-0.2633975335820633</v>
      </c>
      <c r="E22" s="359">
        <v>-0.38328399537056024</v>
      </c>
      <c r="F22" s="386">
        <v>0.17699999999999999</v>
      </c>
      <c r="G22" s="384">
        <v>0.19700000000000001</v>
      </c>
      <c r="H22" s="384">
        <v>0.19700000000000001</v>
      </c>
      <c r="I22" s="385">
        <v>0.217</v>
      </c>
      <c r="J22" s="384">
        <v>5.7000000000000002E-2</v>
      </c>
      <c r="K22" s="384">
        <v>8.7000000000000008E-2</v>
      </c>
      <c r="L22" s="384">
        <v>0.48</v>
      </c>
      <c r="M22" s="386">
        <v>-0.23499999999999999</v>
      </c>
      <c r="N22" s="384">
        <v>-1.8000000000000002E-2</v>
      </c>
      <c r="O22" s="385">
        <v>-0.14000000000000001</v>
      </c>
      <c r="P22" s="419">
        <v>-0.29300000000000015</v>
      </c>
      <c r="Q22" s="388">
        <v>0.13</v>
      </c>
      <c r="R22" s="420">
        <v>0.4</v>
      </c>
      <c r="S22" s="365">
        <v>0.4</v>
      </c>
      <c r="T22" s="365">
        <v>0.52</v>
      </c>
      <c r="U22" s="421">
        <v>0.4</v>
      </c>
      <c r="V22" s="225">
        <v>2.2778427739814391</v>
      </c>
      <c r="W22" s="225">
        <v>2.3396024664179369</v>
      </c>
      <c r="X22" s="368">
        <v>2.21971600462944</v>
      </c>
      <c r="Y22" s="394">
        <v>6.5000000000000002E-2</v>
      </c>
      <c r="Z22" s="395">
        <v>8.5000000000000006E-2</v>
      </c>
      <c r="AA22" s="370">
        <v>-0.08</v>
      </c>
      <c r="AB22" s="422">
        <v>3.1349999999999998</v>
      </c>
      <c r="AC22" s="312">
        <v>3.22</v>
      </c>
      <c r="AD22" s="368">
        <v>3.0550000000000002</v>
      </c>
      <c r="AE22" s="418">
        <v>2.31</v>
      </c>
      <c r="AF22" s="397">
        <v>2.3680000000000003</v>
      </c>
      <c r="AG22" s="398">
        <v>2.4630000000000001</v>
      </c>
      <c r="AH22" s="423">
        <v>-0.215</v>
      </c>
      <c r="AI22" s="417">
        <v>1.4488000000000001</v>
      </c>
      <c r="AJ22" s="424">
        <v>5.1160082072492015E-2</v>
      </c>
      <c r="AK22" s="424">
        <v>5.9192925200601015E-2</v>
      </c>
      <c r="AL22" s="354">
        <v>0.99986170239779781</v>
      </c>
      <c r="AM22" s="377">
        <v>0.99984030328489193</v>
      </c>
      <c r="AN22" s="353">
        <v>0.19700000000000001</v>
      </c>
      <c r="AO22" s="378">
        <v>0.12</v>
      </c>
      <c r="AP22" s="238"/>
      <c r="AQ22" s="353">
        <v>-2.6611267693519984</v>
      </c>
      <c r="AR22" s="379">
        <v>-2.3359695433334373</v>
      </c>
      <c r="AS22" s="238"/>
      <c r="AT22" s="238"/>
      <c r="AU22" s="238"/>
      <c r="AV22" s="353">
        <v>5.0000000000000001E-3</v>
      </c>
      <c r="AW22" s="425"/>
      <c r="AX22" s="354"/>
      <c r="AY22" s="274"/>
      <c r="AZ22" s="426"/>
      <c r="BA22" s="427"/>
      <c r="BB22" s="427"/>
      <c r="BC22" s="428"/>
      <c r="BD22" s="355"/>
      <c r="BE22" s="238"/>
      <c r="BF22" s="319"/>
      <c r="BG22" s="238"/>
      <c r="BH22" s="293"/>
      <c r="BI22" s="293"/>
      <c r="BJ22" s="238"/>
      <c r="BK22" s="319"/>
      <c r="BL22" s="238"/>
      <c r="BM22" s="238"/>
      <c r="BN22" s="256"/>
      <c r="BO22" s="256"/>
      <c r="BP22" s="293"/>
      <c r="BQ22" s="238"/>
      <c r="BR22" s="293"/>
      <c r="BS22" s="238"/>
      <c r="BT22" s="238"/>
      <c r="BU22" s="238"/>
      <c r="BV22" s="238"/>
      <c r="BW22" s="238"/>
      <c r="BX22" s="238"/>
      <c r="BY22" s="238"/>
      <c r="BZ22" s="238"/>
      <c r="CA22" s="238"/>
      <c r="CB22" s="238"/>
      <c r="CC22" s="238"/>
      <c r="CD22" s="238"/>
      <c r="CE22" s="238"/>
      <c r="CF22" s="238"/>
      <c r="CG22" s="238"/>
    </row>
    <row r="23" spans="1:85" hidden="1">
      <c r="A23" s="356">
        <v>36617</v>
      </c>
      <c r="B23" s="357">
        <v>2.9</v>
      </c>
      <c r="C23" s="381">
        <v>-0.28305408876411109</v>
      </c>
      <c r="D23" s="382">
        <v>-0.1957012349815499</v>
      </c>
      <c r="E23" s="359">
        <v>-0.33837756282639964</v>
      </c>
      <c r="F23" s="386">
        <v>0.16</v>
      </c>
      <c r="G23" s="384">
        <v>0.17</v>
      </c>
      <c r="H23" s="384">
        <v>0.17</v>
      </c>
      <c r="I23" s="385">
        <v>0.18</v>
      </c>
      <c r="J23" s="384">
        <v>0.04</v>
      </c>
      <c r="K23" s="384">
        <v>0.1</v>
      </c>
      <c r="L23" s="384">
        <v>0.22</v>
      </c>
      <c r="M23" s="386">
        <v>-0.19</v>
      </c>
      <c r="N23" s="384">
        <v>0.12</v>
      </c>
      <c r="O23" s="385">
        <v>5.0000000000000001E-3</v>
      </c>
      <c r="P23" s="419">
        <v>-0.17</v>
      </c>
      <c r="Q23" s="388">
        <v>0.11</v>
      </c>
      <c r="R23" s="420">
        <v>0.44639999999999996</v>
      </c>
      <c r="S23" s="365">
        <v>0.45</v>
      </c>
      <c r="T23" s="365">
        <v>0.4</v>
      </c>
      <c r="U23" s="421">
        <v>0.45</v>
      </c>
      <c r="V23" s="225">
        <v>2.6169459112358888</v>
      </c>
      <c r="W23" s="225">
        <v>2.70429876501845</v>
      </c>
      <c r="X23" s="368">
        <v>2.5616224371736003</v>
      </c>
      <c r="Y23" s="394"/>
      <c r="Z23" s="395">
        <v>0.12</v>
      </c>
      <c r="AA23" s="370">
        <v>-7.5999999999999998E-2</v>
      </c>
      <c r="AB23" s="422">
        <v>3.5950000000000002</v>
      </c>
      <c r="AC23" s="312">
        <v>3.7149999999999999</v>
      </c>
      <c r="AD23" s="368">
        <v>3.5190000000000001</v>
      </c>
      <c r="AE23" s="418">
        <v>2.71</v>
      </c>
      <c r="AF23" s="397">
        <v>2.71</v>
      </c>
      <c r="AG23" s="398">
        <v>2.9049999999999998</v>
      </c>
      <c r="AH23" s="423">
        <v>-0.14000000000000001</v>
      </c>
      <c r="AI23" s="399">
        <v>1.4795000000000003</v>
      </c>
      <c r="AJ23" s="424">
        <v>5.4147093725843004E-2</v>
      </c>
      <c r="AK23" s="424">
        <v>6.3102397517172004E-2</v>
      </c>
      <c r="AL23" s="354">
        <v>1</v>
      </c>
      <c r="AM23" s="377">
        <v>1</v>
      </c>
      <c r="AN23" s="353">
        <v>0.17</v>
      </c>
      <c r="AO23" s="378">
        <v>0.124</v>
      </c>
      <c r="AP23" s="238"/>
      <c r="AQ23" s="353">
        <v>-2.9553234740622885</v>
      </c>
      <c r="AR23" s="379">
        <v>-2.6722693852981774</v>
      </c>
      <c r="AS23" s="238"/>
      <c r="AT23" s="238">
        <v>0.33639999999999998</v>
      </c>
      <c r="AU23" s="238"/>
      <c r="AV23" s="353">
        <v>0</v>
      </c>
      <c r="AW23" s="425"/>
      <c r="AX23" s="354"/>
      <c r="AY23" s="274"/>
      <c r="AZ23" s="426"/>
      <c r="BA23" s="427"/>
      <c r="BB23" s="427"/>
      <c r="BC23" s="428"/>
      <c r="BD23" s="355"/>
      <c r="BE23" s="238"/>
      <c r="BF23" s="319"/>
      <c r="BG23" s="238"/>
      <c r="BH23" s="293"/>
      <c r="BI23" s="293"/>
      <c r="BJ23" s="238"/>
      <c r="BK23" s="319"/>
      <c r="BL23" s="238"/>
      <c r="BM23" s="238"/>
      <c r="BN23" s="256"/>
      <c r="BO23" s="256"/>
      <c r="BP23" s="293"/>
      <c r="BQ23" s="238"/>
      <c r="BR23" s="293"/>
      <c r="BS23" s="238"/>
      <c r="BT23" s="238"/>
      <c r="BU23" s="238"/>
      <c r="BV23" s="238"/>
      <c r="BW23" s="238"/>
      <c r="BX23" s="238"/>
      <c r="BY23" s="238"/>
      <c r="BZ23" s="238"/>
      <c r="CA23" s="238"/>
      <c r="CB23" s="238"/>
      <c r="CC23" s="238"/>
      <c r="CD23" s="238"/>
      <c r="CE23" s="238"/>
      <c r="CF23" s="238"/>
      <c r="CG23" s="238"/>
    </row>
    <row r="24" spans="1:85" s="411" customFormat="1" hidden="1">
      <c r="A24" s="380">
        <v>36647</v>
      </c>
      <c r="B24" s="357">
        <v>3.0890000000000004</v>
      </c>
      <c r="C24" s="381">
        <v>-0.36374993270524936</v>
      </c>
      <c r="D24" s="382">
        <v>-0.34955592193808904</v>
      </c>
      <c r="E24" s="382">
        <v>-0.4843990242261107</v>
      </c>
      <c r="F24" s="386">
        <v>0.16</v>
      </c>
      <c r="G24" s="384">
        <v>0.17</v>
      </c>
      <c r="H24" s="384">
        <v>0.17</v>
      </c>
      <c r="I24" s="385">
        <v>0.18100000000000002</v>
      </c>
      <c r="J24" s="384">
        <v>3.1000000000000003E-2</v>
      </c>
      <c r="K24" s="384">
        <v>0.14099999999999999</v>
      </c>
      <c r="L24" s="384">
        <v>0.32100000000000001</v>
      </c>
      <c r="M24" s="386">
        <v>-0.36899999999999999</v>
      </c>
      <c r="N24" s="384">
        <v>-5.9000000000000004E-2</v>
      </c>
      <c r="O24" s="385">
        <v>-0.14899999999999999</v>
      </c>
      <c r="P24" s="419">
        <v>-0.34899999999999998</v>
      </c>
      <c r="Q24" s="388">
        <v>0.18</v>
      </c>
      <c r="R24" s="429">
        <v>0.23</v>
      </c>
      <c r="S24" s="365">
        <v>0.2</v>
      </c>
      <c r="T24" s="365">
        <v>0.33500000000000002</v>
      </c>
      <c r="U24" s="421">
        <v>0.2</v>
      </c>
      <c r="V24" s="392">
        <v>2.7252500672947511</v>
      </c>
      <c r="W24" s="392">
        <v>2.7394440780619114</v>
      </c>
      <c r="X24" s="393">
        <v>2.6046009757738897</v>
      </c>
      <c r="Y24" s="419"/>
      <c r="Z24" s="395">
        <v>0.02</v>
      </c>
      <c r="AA24" s="370">
        <v>-0.17</v>
      </c>
      <c r="AB24" s="422">
        <v>3.84</v>
      </c>
      <c r="AC24" s="396">
        <v>3.86</v>
      </c>
      <c r="AD24" s="393">
        <v>3.67</v>
      </c>
      <c r="AE24" s="430">
        <v>2.74</v>
      </c>
      <c r="AF24" s="397">
        <v>2.72</v>
      </c>
      <c r="AG24" s="398">
        <v>2.94</v>
      </c>
      <c r="AH24" s="416">
        <v>-0.30900000000000005</v>
      </c>
      <c r="AI24" s="399">
        <v>1.4965000000000002</v>
      </c>
      <c r="AJ24" s="424">
        <v>5.4646687663194027E-2</v>
      </c>
      <c r="AK24" s="424">
        <v>6.1795229083421006E-2</v>
      </c>
      <c r="AL24" s="401">
        <v>1</v>
      </c>
      <c r="AM24" s="402">
        <v>1</v>
      </c>
      <c r="AN24" s="403" t="e">
        <v>#N/A</v>
      </c>
      <c r="AO24" s="378">
        <v>0.12</v>
      </c>
      <c r="AP24" s="404"/>
      <c r="AQ24" s="403">
        <v>-3.2088025726695628</v>
      </c>
      <c r="AR24" s="405">
        <v>-2.8450526399643135</v>
      </c>
      <c r="AS24" s="404"/>
      <c r="AT24" s="431">
        <v>0.05</v>
      </c>
      <c r="AU24" s="404"/>
      <c r="AV24" s="403">
        <v>0</v>
      </c>
      <c r="AW24" s="432"/>
      <c r="AX24" s="401"/>
      <c r="AY24" s="401"/>
      <c r="AZ24" s="406"/>
      <c r="BA24" s="433"/>
      <c r="BB24" s="433"/>
      <c r="BC24" s="434"/>
      <c r="BD24" s="408"/>
      <c r="BE24" s="404"/>
      <c r="BF24" s="407"/>
      <c r="BG24" s="404"/>
      <c r="BH24" s="409"/>
      <c r="BI24" s="409"/>
      <c r="BJ24" s="404"/>
      <c r="BK24" s="407"/>
      <c r="BL24" s="404"/>
      <c r="BM24" s="404"/>
      <c r="BN24" s="410"/>
      <c r="BO24" s="410"/>
      <c r="BP24" s="409"/>
      <c r="BQ24" s="404"/>
      <c r="BR24" s="409"/>
      <c r="BS24" s="404"/>
      <c r="BT24" s="404"/>
      <c r="BU24" s="404"/>
      <c r="BV24" s="404"/>
      <c r="BW24" s="404"/>
      <c r="BX24" s="404"/>
      <c r="BY24" s="404"/>
      <c r="BZ24" s="404"/>
      <c r="CA24" s="404"/>
      <c r="CB24" s="404"/>
      <c r="CC24" s="404"/>
      <c r="CD24" s="404"/>
      <c r="CE24" s="404"/>
      <c r="CF24" s="404"/>
      <c r="CG24" s="404"/>
    </row>
    <row r="25" spans="1:85" s="411" customFormat="1" hidden="1">
      <c r="A25" s="380">
        <v>36678</v>
      </c>
      <c r="B25" s="357">
        <v>4.4060000000000006</v>
      </c>
      <c r="C25" s="435">
        <v>-1.1981070038654518</v>
      </c>
      <c r="D25" s="382">
        <v>-0.9160944327767</v>
      </c>
      <c r="E25" s="382">
        <v>-1.2545095180832022</v>
      </c>
      <c r="F25" s="386">
        <v>9.5000000000000001E-2</v>
      </c>
      <c r="G25" s="384">
        <v>9.5000000000000001E-2</v>
      </c>
      <c r="H25" s="384">
        <v>0.11</v>
      </c>
      <c r="I25" s="385">
        <v>9.5000000000000001E-2</v>
      </c>
      <c r="J25" s="384">
        <v>0.06</v>
      </c>
      <c r="K25" s="384">
        <v>0.13500000000000001</v>
      </c>
      <c r="L25" s="384">
        <v>0.35</v>
      </c>
      <c r="M25" s="386">
        <v>-0.75600000000000012</v>
      </c>
      <c r="N25" s="384">
        <v>-6.6000000000000003E-2</v>
      </c>
      <c r="O25" s="385">
        <v>-0.46600000000000003</v>
      </c>
      <c r="P25" s="419">
        <v>-0.76599999999999957</v>
      </c>
      <c r="Q25" s="388">
        <v>0.15</v>
      </c>
      <c r="R25" s="429">
        <v>0.52500000000000002</v>
      </c>
      <c r="S25" s="365">
        <v>0.45</v>
      </c>
      <c r="T25" s="365">
        <v>0.51500000000000001</v>
      </c>
      <c r="U25" s="421">
        <v>0.45</v>
      </c>
      <c r="V25" s="392">
        <v>3.2078929961345488</v>
      </c>
      <c r="W25" s="392">
        <v>3.4899055672233006</v>
      </c>
      <c r="X25" s="393">
        <v>3.1514904819167984</v>
      </c>
      <c r="Y25" s="394"/>
      <c r="Z25" s="395">
        <v>0.4</v>
      </c>
      <c r="AA25" s="370">
        <v>-0.08</v>
      </c>
      <c r="AB25" s="422">
        <v>4.55</v>
      </c>
      <c r="AC25" s="396">
        <v>4.95</v>
      </c>
      <c r="AD25" s="393">
        <v>4.47</v>
      </c>
      <c r="AE25" s="430">
        <v>3.64</v>
      </c>
      <c r="AF25" s="397">
        <v>3.65</v>
      </c>
      <c r="AG25" s="398">
        <v>3.94</v>
      </c>
      <c r="AH25" s="416">
        <v>-0.51600000000000001</v>
      </c>
      <c r="AI25" s="399">
        <v>1.4795000000000003</v>
      </c>
      <c r="AJ25" s="400">
        <v>5.8638838318261027E-2</v>
      </c>
      <c r="AK25" s="400">
        <v>6.7041095957371996E-2</v>
      </c>
      <c r="AL25" s="401">
        <v>1</v>
      </c>
      <c r="AM25" s="402">
        <v>1</v>
      </c>
      <c r="AN25" s="403">
        <v>9.5000000000000001E-2</v>
      </c>
      <c r="AO25" s="378">
        <v>0.124</v>
      </c>
      <c r="AP25" s="404"/>
      <c r="AQ25" s="403">
        <v>-4.4623789386835897</v>
      </c>
      <c r="AR25" s="405">
        <v>-3.2642719348181379</v>
      </c>
      <c r="AS25" s="404"/>
      <c r="AT25" s="431">
        <v>0.375</v>
      </c>
      <c r="AU25" s="404"/>
      <c r="AV25" s="403">
        <v>0</v>
      </c>
      <c r="AW25" s="432"/>
      <c r="AX25" s="401"/>
      <c r="AY25" s="401"/>
      <c r="AZ25" s="406"/>
      <c r="BA25" s="433"/>
      <c r="BB25" s="433"/>
      <c r="BC25" s="434"/>
      <c r="BD25" s="408"/>
      <c r="BE25" s="404"/>
      <c r="BF25" s="407"/>
      <c r="BG25" s="404"/>
      <c r="BH25" s="409"/>
      <c r="BI25" s="409"/>
      <c r="BJ25" s="404"/>
      <c r="BK25" s="407"/>
      <c r="BL25" s="404"/>
      <c r="BM25" s="404"/>
      <c r="BN25" s="410"/>
      <c r="BO25" s="410"/>
      <c r="BP25" s="409"/>
      <c r="BQ25" s="404"/>
      <c r="BR25" s="409"/>
      <c r="BS25" s="404"/>
      <c r="BT25" s="404"/>
      <c r="BU25" s="404"/>
      <c r="BV25" s="404"/>
      <c r="BW25" s="404"/>
      <c r="BX25" s="404"/>
      <c r="BY25" s="404"/>
      <c r="BZ25" s="404"/>
      <c r="CA25" s="404"/>
      <c r="CB25" s="404"/>
      <c r="CC25" s="404"/>
      <c r="CD25" s="404"/>
      <c r="CE25" s="404"/>
      <c r="CF25" s="404"/>
      <c r="CG25" s="404"/>
    </row>
    <row r="26" spans="1:85" s="411" customFormat="1" hidden="1">
      <c r="A26" s="380">
        <v>36708</v>
      </c>
      <c r="B26" s="357">
        <v>4.3689999999999998</v>
      </c>
      <c r="C26" s="381">
        <v>-0.6421</v>
      </c>
      <c r="D26" s="359">
        <v>-0.5918966803929484</v>
      </c>
      <c r="E26" s="382">
        <v>-0.45850000000000002</v>
      </c>
      <c r="F26" s="386">
        <v>0.06</v>
      </c>
      <c r="G26" s="384">
        <v>0.05</v>
      </c>
      <c r="H26" s="384">
        <v>9.5000000000000001E-2</v>
      </c>
      <c r="I26" s="385">
        <v>8.1000000000000003E-2</v>
      </c>
      <c r="J26" s="384">
        <v>6.0999999999999908E-2</v>
      </c>
      <c r="K26" s="384">
        <v>8.0999999999999905E-2</v>
      </c>
      <c r="L26" s="384">
        <v>0.56100000000000005</v>
      </c>
      <c r="M26" s="386">
        <v>-0.44900000000000001</v>
      </c>
      <c r="N26" s="384">
        <v>0.54100000000000004</v>
      </c>
      <c r="O26" s="385">
        <v>0.10099999999999999</v>
      </c>
      <c r="P26" s="419">
        <v>-0.29899999999999999</v>
      </c>
      <c r="Q26" s="388">
        <v>0.2</v>
      </c>
      <c r="R26" s="436">
        <v>0.6</v>
      </c>
      <c r="S26" s="365">
        <v>0.6</v>
      </c>
      <c r="T26" s="365">
        <v>0.54500000000000004</v>
      </c>
      <c r="U26" s="421">
        <v>0.6</v>
      </c>
      <c r="V26" s="392">
        <v>3.7268999999999997</v>
      </c>
      <c r="W26" s="392">
        <v>3.7220011424732982</v>
      </c>
      <c r="X26" s="393">
        <v>3.9104999999999999</v>
      </c>
      <c r="Y26" s="419"/>
      <c r="Z26" s="395">
        <v>7.8800000000000203E-2</v>
      </c>
      <c r="AA26" s="370">
        <v>0.25819999999999999</v>
      </c>
      <c r="AB26" s="437">
        <v>5.2417999999999996</v>
      </c>
      <c r="AC26" s="312">
        <v>5.3205999999999998</v>
      </c>
      <c r="AD26" s="393">
        <v>5.5</v>
      </c>
      <c r="AE26" s="430">
        <v>4.07</v>
      </c>
      <c r="AF26" s="397">
        <v>3.92</v>
      </c>
      <c r="AG26" s="398">
        <v>4.47</v>
      </c>
      <c r="AH26" s="416">
        <v>-0.24900000000000003</v>
      </c>
      <c r="AI26" s="399">
        <v>1.4862</v>
      </c>
      <c r="AJ26" s="400">
        <v>5.9132950169177016E-2</v>
      </c>
      <c r="AK26" s="400">
        <v>6.7028795515919018E-2</v>
      </c>
      <c r="AL26" s="401">
        <v>1</v>
      </c>
      <c r="AM26" s="402">
        <v>1</v>
      </c>
      <c r="AN26" s="403">
        <v>0.05</v>
      </c>
      <c r="AO26" s="378">
        <v>0.12</v>
      </c>
      <c r="AP26" s="404"/>
      <c r="AQ26" s="403">
        <v>-4.1860876650769123</v>
      </c>
      <c r="AR26" s="405">
        <v>-3.5439876650769122</v>
      </c>
      <c r="AS26" s="404"/>
      <c r="AT26" s="431">
        <v>0.13350000000000001</v>
      </c>
      <c r="AU26" s="404"/>
      <c r="AV26" s="403">
        <v>1.4999999999999999E-2</v>
      </c>
      <c r="AW26" s="432"/>
      <c r="AX26" s="401"/>
      <c r="AY26" s="401"/>
      <c r="AZ26" s="406"/>
      <c r="BA26" s="433"/>
      <c r="BB26" s="433"/>
      <c r="BC26" s="434"/>
      <c r="BD26" s="408"/>
      <c r="BE26" s="404"/>
      <c r="BF26" s="407"/>
      <c r="BG26" s="404"/>
      <c r="BH26" s="409"/>
      <c r="BI26" s="409"/>
      <c r="BJ26" s="404"/>
      <c r="BK26" s="407"/>
      <c r="BL26" s="404"/>
      <c r="BM26" s="404"/>
      <c r="BN26" s="410"/>
      <c r="BO26" s="410"/>
      <c r="BP26" s="409"/>
      <c r="BQ26" s="404"/>
      <c r="BR26" s="409"/>
      <c r="BS26" s="404"/>
      <c r="BT26" s="404"/>
      <c r="BU26" s="404"/>
      <c r="BV26" s="404"/>
      <c r="BW26" s="404"/>
      <c r="BX26" s="404"/>
      <c r="BY26" s="404"/>
      <c r="BZ26" s="404"/>
      <c r="CA26" s="404"/>
      <c r="CB26" s="404"/>
      <c r="CC26" s="404"/>
      <c r="CD26" s="404"/>
      <c r="CE26" s="404"/>
      <c r="CF26" s="404"/>
      <c r="CG26" s="404"/>
    </row>
    <row r="27" spans="1:85" hidden="1">
      <c r="A27" s="438">
        <v>36739</v>
      </c>
      <c r="B27" s="439">
        <v>3.82</v>
      </c>
      <c r="C27" s="440">
        <v>-0.54728320045320089</v>
      </c>
      <c r="D27" s="441">
        <v>-0.53308486292805268</v>
      </c>
      <c r="E27" s="441">
        <v>-0.60407655055379639</v>
      </c>
      <c r="F27" s="363">
        <v>9.5000000000000001E-2</v>
      </c>
      <c r="G27" s="361">
        <v>0.09</v>
      </c>
      <c r="H27" s="361">
        <v>0</v>
      </c>
      <c r="I27" s="362">
        <v>0.1</v>
      </c>
      <c r="J27" s="361">
        <v>7.4999999999999997E-2</v>
      </c>
      <c r="K27" s="361">
        <v>0.115</v>
      </c>
      <c r="L27" s="361">
        <v>0.4</v>
      </c>
      <c r="M27" s="363">
        <v>-0.73</v>
      </c>
      <c r="N27" s="361">
        <v>0.72</v>
      </c>
      <c r="O27" s="362">
        <v>0.14000000000000001</v>
      </c>
      <c r="P27" s="442">
        <v>-0.78</v>
      </c>
      <c r="Q27" s="364">
        <v>0.17</v>
      </c>
      <c r="R27" s="443">
        <v>0.65</v>
      </c>
      <c r="S27" s="444">
        <v>0.65</v>
      </c>
      <c r="T27" s="444">
        <v>0.52500000000000002</v>
      </c>
      <c r="U27" s="445">
        <v>0.65</v>
      </c>
      <c r="V27" s="446">
        <v>3.2727167995467989</v>
      </c>
      <c r="W27" s="446">
        <v>3.2869151370719472</v>
      </c>
      <c r="X27" s="447">
        <v>3.2159234494462035</v>
      </c>
      <c r="Y27" s="448" t="s">
        <v>239</v>
      </c>
      <c r="Z27" s="369">
        <v>0.02</v>
      </c>
      <c r="AA27" s="449">
        <v>-0.08</v>
      </c>
      <c r="AB27" s="450">
        <v>4.6100000000000003</v>
      </c>
      <c r="AC27" s="451">
        <v>4.63</v>
      </c>
      <c r="AD27" s="447">
        <v>4.53</v>
      </c>
      <c r="AE27" s="452">
        <v>3.04</v>
      </c>
      <c r="AF27" s="453">
        <v>3.09</v>
      </c>
      <c r="AG27" s="454">
        <v>3.96</v>
      </c>
      <c r="AH27" s="455">
        <v>-0.32</v>
      </c>
      <c r="AI27" s="399">
        <v>1.4712000000000001</v>
      </c>
      <c r="AJ27" s="400">
        <v>5.9020182001896002E-2</v>
      </c>
      <c r="AK27" s="400">
        <v>6.7041095957371996E-2</v>
      </c>
      <c r="AL27" s="354">
        <v>1.0049489589041096</v>
      </c>
      <c r="AM27" s="377">
        <v>1.0056124078575372</v>
      </c>
      <c r="AN27" s="353">
        <v>0.09</v>
      </c>
      <c r="AO27" s="378">
        <v>0.12</v>
      </c>
      <c r="AP27" s="238"/>
      <c r="AQ27" s="353">
        <v>-3.8773471995649809</v>
      </c>
      <c r="AR27" s="379">
        <v>-3.33006399911178</v>
      </c>
      <c r="AS27" s="238"/>
      <c r="AT27" s="456">
        <v>7.2099999999999997E-2</v>
      </c>
      <c r="AU27" s="238"/>
      <c r="AV27" s="353">
        <v>0.01</v>
      </c>
      <c r="AW27" s="425"/>
      <c r="AX27" s="354"/>
      <c r="AY27" s="354"/>
      <c r="AZ27" s="241"/>
      <c r="BA27" s="427"/>
      <c r="BB27" s="427"/>
      <c r="BC27" s="428"/>
      <c r="BD27" s="355"/>
      <c r="BE27" s="238"/>
      <c r="BF27" s="319"/>
      <c r="BG27" s="238"/>
      <c r="BH27" s="293"/>
      <c r="BI27" s="293"/>
      <c r="BJ27" s="238"/>
      <c r="BK27" s="319"/>
      <c r="BL27" s="238"/>
      <c r="BM27" s="238"/>
      <c r="BN27" s="256"/>
      <c r="BO27" s="256"/>
      <c r="BP27" s="293"/>
      <c r="BQ27" s="238"/>
      <c r="BR27" s="293"/>
      <c r="BS27" s="238"/>
      <c r="BT27" s="238"/>
      <c r="BU27" s="238"/>
      <c r="BV27" s="238"/>
      <c r="BW27" s="238"/>
      <c r="BX27" s="238"/>
      <c r="BY27" s="238"/>
      <c r="BZ27" s="238"/>
      <c r="CA27" s="238"/>
      <c r="CB27" s="238"/>
      <c r="CC27" s="238"/>
      <c r="CD27" s="238"/>
      <c r="CE27" s="238"/>
      <c r="CF27" s="238"/>
      <c r="CG27" s="238"/>
    </row>
    <row r="28" spans="1:85" hidden="1">
      <c r="A28" s="438">
        <v>36770</v>
      </c>
      <c r="B28" s="439">
        <v>4.6180000000000003</v>
      </c>
      <c r="C28" s="440">
        <v>-0.98460000000000003</v>
      </c>
      <c r="D28" s="441">
        <v>-0.97485249660997741</v>
      </c>
      <c r="E28" s="441">
        <v>-1.0465679986452137</v>
      </c>
      <c r="F28" s="363">
        <v>0.21199999999999999</v>
      </c>
      <c r="G28" s="361">
        <v>0.20699999999999999</v>
      </c>
      <c r="H28" s="361">
        <v>0.23949999999999999</v>
      </c>
      <c r="I28" s="362">
        <v>0.17</v>
      </c>
      <c r="J28" s="361">
        <v>5.1999990000000003E-2</v>
      </c>
      <c r="K28" s="361">
        <v>0.11200000000000002</v>
      </c>
      <c r="L28" s="361">
        <v>0.32</v>
      </c>
      <c r="M28" s="457">
        <v>-1.208</v>
      </c>
      <c r="N28" s="361">
        <v>2.605</v>
      </c>
      <c r="O28" s="362">
        <v>1.335</v>
      </c>
      <c r="P28" s="442">
        <v>-1.1679999999999999</v>
      </c>
      <c r="Q28" s="364">
        <v>8.5000000000000006E-2</v>
      </c>
      <c r="R28" s="420">
        <v>0.4</v>
      </c>
      <c r="S28" s="444">
        <v>0.4</v>
      </c>
      <c r="T28" s="444">
        <v>0.54</v>
      </c>
      <c r="U28" s="445">
        <v>0.4</v>
      </c>
      <c r="V28" s="446">
        <v>3.6334</v>
      </c>
      <c r="W28" s="446">
        <v>3.6757</v>
      </c>
      <c r="X28" s="447">
        <v>3.3580999999999999</v>
      </c>
      <c r="Y28" s="458">
        <v>5.4134947812994136</v>
      </c>
      <c r="Z28" s="369">
        <v>0.02</v>
      </c>
      <c r="AA28" s="449">
        <v>-0.08</v>
      </c>
      <c r="AB28" s="450">
        <v>5.0743999999999998</v>
      </c>
      <c r="AC28" s="451">
        <v>5.1334999999999997</v>
      </c>
      <c r="AD28" s="447">
        <v>4.6900000000000004</v>
      </c>
      <c r="AE28" s="452">
        <v>3.45</v>
      </c>
      <c r="AF28" s="453">
        <v>3.41</v>
      </c>
      <c r="AG28" s="454">
        <v>5.9530000000000003</v>
      </c>
      <c r="AH28" s="455">
        <v>-1.2050000000000001</v>
      </c>
      <c r="AI28" s="399">
        <v>1.5030000000000001</v>
      </c>
      <c r="AJ28" s="400">
        <v>1</v>
      </c>
      <c r="AK28" s="400">
        <v>1</v>
      </c>
      <c r="AL28" s="354">
        <v>1</v>
      </c>
      <c r="AM28" s="377">
        <v>1</v>
      </c>
      <c r="AN28" s="353">
        <v>0.20699999999999999</v>
      </c>
      <c r="AO28" s="378">
        <v>0.124</v>
      </c>
      <c r="AP28" s="238"/>
      <c r="AQ28" s="353">
        <v>-4.6753484206934166</v>
      </c>
      <c r="AR28" s="379">
        <v>-3.6861528236763923</v>
      </c>
      <c r="AS28" s="238"/>
      <c r="AT28" s="456">
        <v>5.0299999999999997E-2</v>
      </c>
      <c r="AU28" s="238"/>
      <c r="AV28" s="353">
        <v>0.01</v>
      </c>
      <c r="AW28" s="425"/>
      <c r="AX28" s="354"/>
      <c r="AY28" s="354"/>
      <c r="AZ28" s="406">
        <v>0</v>
      </c>
      <c r="BA28" s="427">
        <v>0.3</v>
      </c>
      <c r="BB28" s="427"/>
      <c r="BC28" s="428"/>
      <c r="BD28" s="355"/>
      <c r="BE28" s="238"/>
      <c r="BF28" s="319"/>
      <c r="BG28" s="238"/>
      <c r="BH28" s="293"/>
      <c r="BI28" s="293"/>
      <c r="BJ28" s="238"/>
      <c r="BK28" s="319"/>
      <c r="BL28" s="238"/>
      <c r="BM28" s="238"/>
      <c r="BN28" s="256"/>
      <c r="BO28" s="256"/>
      <c r="BP28" s="293"/>
      <c r="BQ28" s="238"/>
      <c r="BR28" s="293"/>
      <c r="BS28" s="238"/>
      <c r="BT28" s="238"/>
      <c r="BU28" s="238"/>
      <c r="BV28" s="238"/>
      <c r="BW28" s="238"/>
      <c r="BX28" s="238"/>
      <c r="BY28" s="238"/>
      <c r="BZ28" s="238"/>
      <c r="CA28" s="238"/>
      <c r="CB28" s="238"/>
      <c r="CC28" s="238"/>
      <c r="CD28" s="238"/>
      <c r="CE28" s="238"/>
      <c r="CF28" s="238"/>
      <c r="CG28" s="238"/>
    </row>
    <row r="29" spans="1:85" hidden="1">
      <c r="A29" s="438">
        <v>36800</v>
      </c>
      <c r="B29" s="439">
        <v>5.3120000000000003</v>
      </c>
      <c r="C29" s="440">
        <v>-0.72499999999999998</v>
      </c>
      <c r="D29" s="441">
        <v>-0.69140000000000001</v>
      </c>
      <c r="E29" s="441">
        <v>-0.6593</v>
      </c>
      <c r="F29" s="363">
        <v>7.4999999999999997E-2</v>
      </c>
      <c r="G29" s="361">
        <v>7.0000000000000007E-2</v>
      </c>
      <c r="H29" s="361">
        <v>9.5000000000000001E-2</v>
      </c>
      <c r="I29" s="362">
        <v>0.21</v>
      </c>
      <c r="J29" s="361">
        <v>0.11</v>
      </c>
      <c r="K29" s="361">
        <v>0.22</v>
      </c>
      <c r="L29" s="361">
        <v>0.44800000000000006</v>
      </c>
      <c r="M29" s="457">
        <v>-1.022</v>
      </c>
      <c r="N29" s="361">
        <v>0.25800000000000001</v>
      </c>
      <c r="O29" s="362">
        <v>-1.2E-2</v>
      </c>
      <c r="P29" s="442">
        <v>-0.432</v>
      </c>
      <c r="Q29" s="364">
        <v>0.19</v>
      </c>
      <c r="R29" s="420">
        <v>0.45</v>
      </c>
      <c r="S29" s="444">
        <v>0.45</v>
      </c>
      <c r="T29" s="444">
        <v>0.505</v>
      </c>
      <c r="U29" s="445">
        <v>0.45</v>
      </c>
      <c r="V29" s="446">
        <v>4.5869999999999997</v>
      </c>
      <c r="W29" s="446">
        <v>4.6205999999999996</v>
      </c>
      <c r="X29" s="447">
        <v>4.6527000000000003</v>
      </c>
      <c r="Y29" s="458">
        <v>7.0115000000000007</v>
      </c>
      <c r="Z29" s="369">
        <v>0.02</v>
      </c>
      <c r="AA29" s="449">
        <v>-7.0000000000000007E-2</v>
      </c>
      <c r="AB29" s="450">
        <v>6.5652999999999997</v>
      </c>
      <c r="AC29" s="451">
        <v>6.6135000000000002</v>
      </c>
      <c r="AD29" s="447">
        <v>6.6593999999999998</v>
      </c>
      <c r="AE29" s="452">
        <v>4.88</v>
      </c>
      <c r="AF29" s="453">
        <v>4.29</v>
      </c>
      <c r="AG29" s="454">
        <v>5.3</v>
      </c>
      <c r="AH29" s="455">
        <v>-0.78200000000000003</v>
      </c>
      <c r="AI29" s="399">
        <v>1.5220000000000002</v>
      </c>
      <c r="AJ29" s="400">
        <v>1</v>
      </c>
      <c r="AK29" s="400">
        <v>1</v>
      </c>
      <c r="AL29" s="354">
        <v>1</v>
      </c>
      <c r="AM29" s="377">
        <v>1</v>
      </c>
      <c r="AN29" s="353">
        <v>7.0000000000000007E-2</v>
      </c>
      <c r="AO29" s="378">
        <v>0.12</v>
      </c>
      <c r="AP29" s="238"/>
      <c r="AQ29" s="353">
        <v>-5.3608829625215204</v>
      </c>
      <c r="AR29" s="379">
        <v>-4.6469640495273845</v>
      </c>
      <c r="AS29" s="238"/>
      <c r="AT29" s="456">
        <v>3.8399999999999997E-2</v>
      </c>
      <c r="AU29" s="238"/>
      <c r="AV29" s="353">
        <v>0.01</v>
      </c>
      <c r="AW29" s="425"/>
      <c r="AX29" s="354"/>
      <c r="AY29" s="354"/>
      <c r="AZ29" s="459">
        <v>0.505</v>
      </c>
      <c r="BA29" s="459">
        <v>0.505</v>
      </c>
      <c r="BB29" s="433">
        <v>-0.72499999999999998</v>
      </c>
      <c r="BC29" s="428"/>
      <c r="BD29" s="355"/>
      <c r="BE29" s="238"/>
      <c r="BF29" s="319"/>
      <c r="BG29" s="238"/>
      <c r="BH29" s="293"/>
      <c r="BI29" s="293"/>
      <c r="BJ29" s="238"/>
      <c r="BK29" s="319"/>
      <c r="BL29" s="238"/>
      <c r="BM29" s="238"/>
      <c r="BN29" s="256"/>
      <c r="BO29" s="256"/>
      <c r="BP29" s="293"/>
      <c r="BQ29" s="238"/>
      <c r="BR29" s="293"/>
      <c r="BS29" s="238"/>
      <c r="BT29" s="238"/>
      <c r="BU29" s="238"/>
      <c r="BV29" s="238"/>
      <c r="BW29" s="238"/>
      <c r="BX29" s="238"/>
      <c r="BY29" s="238"/>
      <c r="BZ29" s="238"/>
      <c r="CA29" s="238"/>
      <c r="CB29" s="238"/>
      <c r="CC29" s="238"/>
      <c r="CD29" s="238"/>
      <c r="CE29" s="238"/>
      <c r="CF29" s="238"/>
      <c r="CG29" s="238"/>
    </row>
    <row r="30" spans="1:85" hidden="1">
      <c r="A30" s="460">
        <v>36831</v>
      </c>
      <c r="B30" s="461">
        <v>4.5410000000000004</v>
      </c>
      <c r="C30" s="462">
        <v>0.12289999999999957</v>
      </c>
      <c r="D30" s="359">
        <v>-0.17600000000000016</v>
      </c>
      <c r="E30" s="359">
        <v>-0.1590000000000007</v>
      </c>
      <c r="F30" s="386">
        <v>6.9000000000000006E-2</v>
      </c>
      <c r="G30" s="384">
        <v>6.9000000000000006E-2</v>
      </c>
      <c r="H30" s="384">
        <v>0.11900000000000001</v>
      </c>
      <c r="I30" s="385">
        <v>0.29899990000000004</v>
      </c>
      <c r="J30" s="384">
        <v>6.9000000000000006E-2</v>
      </c>
      <c r="K30" s="384">
        <v>0.18900000000000003</v>
      </c>
      <c r="L30" s="384">
        <v>0.55900000000000005</v>
      </c>
      <c r="M30" s="463">
        <v>-0.19100000000000072</v>
      </c>
      <c r="N30" s="384">
        <v>0.63900000000000001</v>
      </c>
      <c r="O30" s="385">
        <v>0.52900000000000003</v>
      </c>
      <c r="P30" s="442">
        <v>0.28899999999999998</v>
      </c>
      <c r="Q30" s="388">
        <v>0.25750000000000001</v>
      </c>
      <c r="R30" s="420">
        <v>0.6</v>
      </c>
      <c r="S30" s="365">
        <v>0.62</v>
      </c>
      <c r="T30" s="274">
        <v>0.53</v>
      </c>
      <c r="U30" s="464">
        <v>0.6</v>
      </c>
      <c r="V30" s="446">
        <v>4.6638999999999999</v>
      </c>
      <c r="W30" s="225">
        <v>4.3650000000000002</v>
      </c>
      <c r="X30" s="368">
        <v>4.3819999999999997</v>
      </c>
      <c r="Y30" s="415">
        <v>4.8859571428571433</v>
      </c>
      <c r="Z30" s="465">
        <v>0.04</v>
      </c>
      <c r="AA30" s="466">
        <v>-0.8</v>
      </c>
      <c r="AB30" s="450">
        <v>6.7480000000000002</v>
      </c>
      <c r="AC30" s="312">
        <v>6.3155000000000001</v>
      </c>
      <c r="AD30" s="368">
        <v>6.34</v>
      </c>
      <c r="AE30" s="418">
        <v>4.83</v>
      </c>
      <c r="AF30" s="373">
        <v>4.3499999999999996</v>
      </c>
      <c r="AG30" s="374">
        <v>5.07</v>
      </c>
      <c r="AH30" s="455">
        <v>-0.13100000000000001</v>
      </c>
      <c r="AI30" s="467">
        <v>1.5343</v>
      </c>
      <c r="AJ30" s="400">
        <v>1</v>
      </c>
      <c r="AK30" s="400">
        <v>1</v>
      </c>
      <c r="AL30" s="354">
        <v>1</v>
      </c>
      <c r="AM30" s="377">
        <v>1</v>
      </c>
      <c r="AN30" s="353">
        <v>8.900000000000001E-2</v>
      </c>
      <c r="AO30" s="378">
        <v>0.124</v>
      </c>
      <c r="AP30" s="238"/>
      <c r="AQ30" s="353">
        <v>-5.09207250163292</v>
      </c>
      <c r="AR30" s="379">
        <v>-5.2026910516002616</v>
      </c>
      <c r="AS30" s="238"/>
      <c r="AT30" s="456">
        <v>3.0800000000000001E-2</v>
      </c>
      <c r="AU30" s="238"/>
      <c r="AV30" s="353">
        <v>7.4999999999999997E-3</v>
      </c>
      <c r="AW30" s="425"/>
      <c r="AX30" s="354"/>
      <c r="AY30" s="354"/>
      <c r="AZ30" s="459">
        <v>0.73</v>
      </c>
      <c r="BA30" s="459">
        <v>0.72499999999999998</v>
      </c>
      <c r="BB30" s="433">
        <v>0.12289999999999957</v>
      </c>
      <c r="BC30" s="428"/>
      <c r="BD30" s="355"/>
      <c r="BE30" s="238"/>
      <c r="BF30" s="319"/>
      <c r="BG30" s="238"/>
      <c r="BH30" s="293"/>
      <c r="BI30" s="293"/>
      <c r="BJ30" s="238"/>
      <c r="BK30" s="319"/>
      <c r="BL30" s="238"/>
      <c r="BM30" s="238"/>
      <c r="BN30" s="256"/>
      <c r="BO30" s="256"/>
      <c r="BP30" s="293"/>
      <c r="BQ30" s="238"/>
      <c r="BR30" s="293"/>
      <c r="BS30" s="238"/>
      <c r="BT30" s="238"/>
      <c r="BU30" s="238"/>
      <c r="BV30" s="238"/>
      <c r="BW30" s="238"/>
      <c r="BX30" s="238"/>
      <c r="BY30" s="238"/>
      <c r="BZ30" s="238"/>
      <c r="CA30" s="238"/>
      <c r="CB30" s="238"/>
      <c r="CC30" s="238"/>
      <c r="CD30" s="238"/>
      <c r="CE30" s="238"/>
      <c r="CF30" s="238"/>
      <c r="CG30" s="238"/>
    </row>
    <row r="31" spans="1:85" hidden="1">
      <c r="A31" s="356">
        <v>36861</v>
      </c>
      <c r="B31" s="461">
        <v>6.016</v>
      </c>
      <c r="C31" s="468">
        <v>-0.66412953064275015</v>
      </c>
      <c r="D31" s="359">
        <v>-0.6637181225710016</v>
      </c>
      <c r="E31" s="359">
        <v>-5.8766158445440198E-3</v>
      </c>
      <c r="F31" s="469">
        <v>0.23400000000000001</v>
      </c>
      <c r="G31" s="470">
        <v>0.32400000000000001</v>
      </c>
      <c r="H31" s="470">
        <v>0.35399999999999998</v>
      </c>
      <c r="I31" s="471">
        <v>0.32400000000000001</v>
      </c>
      <c r="J31" s="470">
        <v>0.13400000000000001</v>
      </c>
      <c r="K31" s="470">
        <v>7.3999990000000002E-2</v>
      </c>
      <c r="L31" s="470">
        <v>1.1240000000000001</v>
      </c>
      <c r="M31" s="472">
        <v>-6.0000000000002274E-3</v>
      </c>
      <c r="N31" s="470">
        <v>8.0640000000000001</v>
      </c>
      <c r="O31" s="471">
        <v>8.0239999999999991</v>
      </c>
      <c r="P31" s="473">
        <v>7.6739999999999995</v>
      </c>
      <c r="Q31" s="474">
        <v>0.30499999999999999</v>
      </c>
      <c r="R31" s="475">
        <v>0.83</v>
      </c>
      <c r="S31" s="365">
        <v>0.88</v>
      </c>
      <c r="T31" s="274">
        <v>0.95</v>
      </c>
      <c r="U31" s="464">
        <v>0.83</v>
      </c>
      <c r="V31" s="225">
        <v>5.3518999999999997</v>
      </c>
      <c r="W31" s="225">
        <v>5.3522999999999996</v>
      </c>
      <c r="X31" s="368">
        <v>6.0101000000000004</v>
      </c>
      <c r="Y31" s="318" t="s">
        <v>240</v>
      </c>
      <c r="Z31" s="465">
        <v>2.5000000000000001E-2</v>
      </c>
      <c r="AA31" s="476">
        <v>1.1499999999999999</v>
      </c>
      <c r="AB31" s="477">
        <v>7.8052000000000001</v>
      </c>
      <c r="AC31" s="312">
        <v>7.8057999999999996</v>
      </c>
      <c r="AD31" s="368">
        <v>8.7652000000000001</v>
      </c>
      <c r="AE31" s="418">
        <v>13.69</v>
      </c>
      <c r="AF31" s="373">
        <v>6.01</v>
      </c>
      <c r="AG31" s="374">
        <v>14.04</v>
      </c>
      <c r="AH31" s="423">
        <v>-1.6E-2</v>
      </c>
      <c r="AI31" s="467">
        <v>1.5008999999999999</v>
      </c>
      <c r="AJ31" s="478">
        <v>1</v>
      </c>
      <c r="AK31" s="478">
        <v>1</v>
      </c>
      <c r="AL31" s="354">
        <v>1</v>
      </c>
      <c r="AM31" s="479">
        <v>1</v>
      </c>
      <c r="AN31" s="353">
        <v>0.34399999999999997</v>
      </c>
      <c r="AO31" s="378">
        <v>0.12</v>
      </c>
      <c r="AP31" s="238"/>
      <c r="AQ31" s="353">
        <v>-5.2299940051847056</v>
      </c>
      <c r="AR31" s="379">
        <v>-4.5658644745419554</v>
      </c>
      <c r="AS31" s="238"/>
      <c r="AT31" s="456">
        <v>2.6100000000000002E-2</v>
      </c>
      <c r="AU31" s="238"/>
      <c r="AV31" s="353">
        <v>2.5000000000000001E-3</v>
      </c>
      <c r="AW31" s="425"/>
      <c r="AX31" s="354">
        <v>0</v>
      </c>
      <c r="AY31" s="354"/>
      <c r="AZ31" s="480">
        <v>1.0449999999999999</v>
      </c>
      <c r="BA31" s="480">
        <v>3.355</v>
      </c>
      <c r="BB31" s="433">
        <v>-0.66412953064275015</v>
      </c>
      <c r="BC31" s="480"/>
      <c r="BD31" s="355"/>
      <c r="BE31" s="238"/>
      <c r="BF31" s="319"/>
      <c r="BG31" s="238"/>
      <c r="BH31" s="293"/>
      <c r="BI31" s="293"/>
      <c r="BJ31" s="238"/>
      <c r="BK31" s="319"/>
      <c r="BL31" s="238"/>
      <c r="BM31" s="238"/>
      <c r="BN31" s="256"/>
      <c r="BO31" s="256"/>
      <c r="BP31" s="293"/>
      <c r="BQ31" s="238"/>
      <c r="BR31" s="293"/>
      <c r="BS31" s="238"/>
      <c r="BT31" s="238"/>
      <c r="BU31" s="238"/>
      <c r="BV31" s="238"/>
      <c r="BW31" s="238"/>
      <c r="BX31" s="238"/>
      <c r="BY31" s="238"/>
      <c r="BZ31" s="238"/>
      <c r="CA31" s="238"/>
      <c r="CB31" s="238"/>
      <c r="CC31" s="238"/>
      <c r="CD31" s="238"/>
      <c r="CE31" s="238"/>
      <c r="CF31" s="238"/>
      <c r="CG31" s="238"/>
    </row>
    <row r="32" spans="1:85" hidden="1">
      <c r="A32" s="356">
        <v>36892</v>
      </c>
      <c r="B32" s="461">
        <v>9.98</v>
      </c>
      <c r="C32" s="468">
        <v>-0.87620000000000076</v>
      </c>
      <c r="D32" s="359">
        <v>-0.88320000000000043</v>
      </c>
      <c r="E32" s="359">
        <v>7.5929999999999609E-2</v>
      </c>
      <c r="F32" s="469">
        <v>0.42</v>
      </c>
      <c r="G32" s="470">
        <v>0.82</v>
      </c>
      <c r="H32" s="470">
        <v>0.82</v>
      </c>
      <c r="I32" s="471">
        <v>1.1100000000000001</v>
      </c>
      <c r="J32" s="470">
        <v>0.94999990000000001</v>
      </c>
      <c r="K32" s="470">
        <v>-0.06</v>
      </c>
      <c r="L32" s="470">
        <v>9.35</v>
      </c>
      <c r="M32" s="469">
        <v>-1.22</v>
      </c>
      <c r="N32" s="470">
        <v>6.41</v>
      </c>
      <c r="O32" s="471">
        <v>4.1100000000000003</v>
      </c>
      <c r="P32" s="473">
        <v>4.22</v>
      </c>
      <c r="Q32" s="474">
        <v>0.6</v>
      </c>
      <c r="R32" s="475">
        <v>0.9</v>
      </c>
      <c r="S32" s="365">
        <v>0.95</v>
      </c>
      <c r="T32" s="274">
        <v>1.43</v>
      </c>
      <c r="U32" s="464">
        <v>0.9</v>
      </c>
      <c r="V32" s="225">
        <v>9.1037999999999997</v>
      </c>
      <c r="W32" s="225">
        <v>9.0968</v>
      </c>
      <c r="X32" s="368">
        <v>10.05593</v>
      </c>
      <c r="Y32" s="415"/>
      <c r="Z32" s="465">
        <v>2.5000000000000001E-2</v>
      </c>
      <c r="AA32" s="481">
        <v>2.0049999999999999</v>
      </c>
      <c r="AB32" s="482">
        <v>12.911199999999999</v>
      </c>
      <c r="AC32" s="312">
        <v>12.901199999999999</v>
      </c>
      <c r="AD32" s="368">
        <v>14.266299999999999</v>
      </c>
      <c r="AE32" s="418">
        <v>14.2</v>
      </c>
      <c r="AF32" s="373">
        <v>8.76</v>
      </c>
      <c r="AG32" s="374">
        <v>14.09</v>
      </c>
      <c r="AH32" s="423">
        <v>-1.1779999999999999</v>
      </c>
      <c r="AI32" s="467">
        <v>1.4975000000000001</v>
      </c>
      <c r="AJ32" s="478">
        <v>1</v>
      </c>
      <c r="AK32" s="478">
        <v>1</v>
      </c>
      <c r="AL32" s="354">
        <v>1</v>
      </c>
      <c r="AM32" s="377">
        <v>1</v>
      </c>
      <c r="AN32" s="353">
        <v>0.84</v>
      </c>
      <c r="AO32" s="378">
        <v>0.12</v>
      </c>
      <c r="AP32" s="238"/>
      <c r="AQ32" s="353">
        <v>-8.5668455022388557</v>
      </c>
      <c r="AR32" s="379">
        <v>-7.6906455022388549</v>
      </c>
      <c r="AS32" s="238"/>
      <c r="AT32" s="456">
        <v>2.2700000000000001E-2</v>
      </c>
      <c r="AU32" s="238"/>
      <c r="AV32" s="353">
        <v>7.4999999999999997E-3</v>
      </c>
      <c r="AW32" s="425"/>
      <c r="AX32" s="354">
        <v>0.622</v>
      </c>
      <c r="AY32" s="354"/>
      <c r="AZ32" s="480">
        <v>1.0449999999999999</v>
      </c>
      <c r="BA32" s="480">
        <v>3.3849999999999998</v>
      </c>
      <c r="BB32" s="433">
        <v>-0.87620000000000076</v>
      </c>
      <c r="BC32" s="428"/>
      <c r="BD32" s="355">
        <v>10.9299999</v>
      </c>
      <c r="BE32" s="238">
        <v>9.1090840868113521</v>
      </c>
      <c r="BF32" s="319"/>
      <c r="BG32" s="238"/>
      <c r="BH32" s="293"/>
      <c r="BI32" s="293"/>
      <c r="BJ32" s="238"/>
      <c r="BK32" s="319"/>
      <c r="BL32" s="238"/>
      <c r="BM32" s="238"/>
      <c r="BN32" s="256"/>
      <c r="BO32" s="256"/>
      <c r="BP32" s="293"/>
      <c r="BQ32" s="238"/>
      <c r="BR32" s="293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8"/>
      <c r="CG32" s="238"/>
    </row>
    <row r="33" spans="1:85" hidden="1">
      <c r="A33" s="356">
        <v>36923</v>
      </c>
      <c r="B33" s="461">
        <v>6.293000000000001</v>
      </c>
      <c r="C33" s="468">
        <v>1.0900000000000001</v>
      </c>
      <c r="D33" s="359">
        <v>1.0884</v>
      </c>
      <c r="E33" s="359">
        <v>0.4965</v>
      </c>
      <c r="F33" s="469">
        <v>0.25</v>
      </c>
      <c r="G33" s="470">
        <v>0.28999999999999998</v>
      </c>
      <c r="H33" s="470">
        <v>0.39</v>
      </c>
      <c r="I33" s="471">
        <v>0.41</v>
      </c>
      <c r="J33" s="470">
        <v>0.2269999</v>
      </c>
      <c r="K33" s="470">
        <v>0.2</v>
      </c>
      <c r="L33" s="470">
        <v>1.7270000000000003</v>
      </c>
      <c r="M33" s="469">
        <v>0.29699999999999999</v>
      </c>
      <c r="N33" s="470">
        <v>6.2169999999999996</v>
      </c>
      <c r="O33" s="471">
        <v>3.7170000000000001</v>
      </c>
      <c r="P33" s="473">
        <v>0.65700000000000003</v>
      </c>
      <c r="Q33" s="474">
        <v>0.63</v>
      </c>
      <c r="R33" s="475">
        <v>0.98</v>
      </c>
      <c r="S33" s="365">
        <v>1.03</v>
      </c>
      <c r="T33" s="274">
        <v>1.1000000000000001</v>
      </c>
      <c r="U33" s="464">
        <v>0.98</v>
      </c>
      <c r="V33" s="225">
        <v>7.3830000000000009</v>
      </c>
      <c r="W33" s="225">
        <v>7.3814000000000011</v>
      </c>
      <c r="X33" s="368">
        <v>6.7895000000000012</v>
      </c>
      <c r="Y33" s="318" t="s">
        <v>238</v>
      </c>
      <c r="Z33" s="465">
        <v>0</v>
      </c>
      <c r="AA33" s="481">
        <v>-2.4300000000000002</v>
      </c>
      <c r="AB33" s="482">
        <v>10.467000000000001</v>
      </c>
      <c r="AC33" s="312">
        <v>10.458600000000001</v>
      </c>
      <c r="AD33" s="368">
        <v>9.6199999999999992</v>
      </c>
      <c r="AE33" s="418">
        <v>6.95</v>
      </c>
      <c r="AF33" s="373">
        <v>6.59</v>
      </c>
      <c r="AG33" s="374">
        <v>10.01</v>
      </c>
      <c r="AH33" s="423">
        <v>-5.2999999999999999E-2</v>
      </c>
      <c r="AI33" s="467">
        <v>1.5351999999999999</v>
      </c>
      <c r="AJ33" s="478">
        <v>1</v>
      </c>
      <c r="AK33" s="478">
        <v>1</v>
      </c>
      <c r="AL33" s="354">
        <v>1</v>
      </c>
      <c r="AM33" s="377">
        <v>1</v>
      </c>
      <c r="AN33" s="353">
        <v>0.31</v>
      </c>
      <c r="AO33" s="378">
        <v>0.13300000000000001</v>
      </c>
      <c r="AP33" s="238"/>
      <c r="AQ33" s="353">
        <v>-8.0073049367850704</v>
      </c>
      <c r="AR33" s="379">
        <v>-9.107248678841394</v>
      </c>
      <c r="AS33" s="238"/>
      <c r="AT33" s="456">
        <v>1.9800000000000002E-2</v>
      </c>
      <c r="AU33" s="238"/>
      <c r="AV33" s="353">
        <v>1.2500000000000001E-2</v>
      </c>
      <c r="AW33" s="425"/>
      <c r="AX33" s="354">
        <v>1.7000000000000001E-2</v>
      </c>
      <c r="AY33" s="354"/>
      <c r="AZ33" s="480">
        <v>1.0149999999999999</v>
      </c>
      <c r="BA33" s="480">
        <v>3.3849999999999998</v>
      </c>
      <c r="BB33" s="433">
        <v>1.0999437420563245</v>
      </c>
      <c r="BC33" s="428"/>
      <c r="BD33" s="355">
        <v>6.5199999000000011</v>
      </c>
      <c r="BE33" s="238">
        <v>7.3915905419489327</v>
      </c>
      <c r="BF33" s="319"/>
      <c r="BG33" s="238"/>
      <c r="BH33" s="293"/>
      <c r="BI33" s="293"/>
      <c r="BJ33" s="238"/>
      <c r="BK33" s="319"/>
      <c r="BL33" s="238"/>
      <c r="BM33" s="238"/>
      <c r="BN33" s="256"/>
      <c r="BO33" s="256"/>
      <c r="BP33" s="293"/>
      <c r="BQ33" s="238"/>
      <c r="BR33" s="293"/>
      <c r="BS33" s="238"/>
      <c r="BT33" s="238"/>
      <c r="BU33" s="238"/>
      <c r="BV33" s="238"/>
      <c r="BW33" s="238"/>
      <c r="BX33" s="238"/>
      <c r="BY33" s="238"/>
      <c r="BZ33" s="238"/>
      <c r="CA33" s="238"/>
      <c r="CB33" s="238"/>
      <c r="CC33" s="238"/>
      <c r="CD33" s="238"/>
      <c r="CE33" s="238"/>
      <c r="CF33" s="238"/>
      <c r="CG33" s="238"/>
    </row>
    <row r="34" spans="1:85">
      <c r="A34" s="356">
        <v>36951</v>
      </c>
      <c r="B34" s="483">
        <v>4.9980000000000002</v>
      </c>
      <c r="C34" s="468">
        <v>0.20979999999999999</v>
      </c>
      <c r="D34" s="359">
        <v>0.19489999999999999</v>
      </c>
      <c r="E34" s="359">
        <v>-1.37E-2</v>
      </c>
      <c r="F34" s="469">
        <v>0.33</v>
      </c>
      <c r="G34" s="470">
        <v>0.34</v>
      </c>
      <c r="H34" s="470">
        <v>0.39</v>
      </c>
      <c r="I34" s="471">
        <v>0.39</v>
      </c>
      <c r="J34" s="470">
        <v>0.24</v>
      </c>
      <c r="K34" s="470">
        <v>0.27</v>
      </c>
      <c r="L34" s="470">
        <v>0.63200000000000001</v>
      </c>
      <c r="M34" s="469">
        <v>-0.11799999999999999</v>
      </c>
      <c r="N34" s="470">
        <v>7.532</v>
      </c>
      <c r="O34" s="471">
        <v>3.3620000000000001</v>
      </c>
      <c r="P34" s="473">
        <v>0.21199999999999999</v>
      </c>
      <c r="Q34" s="474">
        <v>0.53</v>
      </c>
      <c r="R34" s="475">
        <v>0.88</v>
      </c>
      <c r="S34" s="365">
        <v>0.93</v>
      </c>
      <c r="T34" s="274">
        <v>0.98499999999999999</v>
      </c>
      <c r="U34" s="464">
        <v>0.88</v>
      </c>
      <c r="V34" s="225">
        <v>5.2077999999999998</v>
      </c>
      <c r="W34" s="225">
        <v>5.1928999999999998</v>
      </c>
      <c r="X34" s="368">
        <v>4.9843000000000002</v>
      </c>
      <c r="Y34" s="415"/>
      <c r="Z34" s="465">
        <v>0</v>
      </c>
      <c r="AA34" s="481">
        <v>-0.32750000000000001</v>
      </c>
      <c r="AB34" s="482">
        <v>7.6300999999999997</v>
      </c>
      <c r="AC34" s="312">
        <v>7.6082999999999998</v>
      </c>
      <c r="AD34" s="368">
        <v>7.3026999999999997</v>
      </c>
      <c r="AE34" s="418">
        <v>5.21</v>
      </c>
      <c r="AF34" s="373">
        <v>4.88</v>
      </c>
      <c r="AG34" s="374">
        <v>8.36</v>
      </c>
      <c r="AH34" s="423">
        <v>-0.16800000000000001</v>
      </c>
      <c r="AI34" s="467">
        <v>1.5755999999999999</v>
      </c>
      <c r="AJ34" s="478">
        <v>1</v>
      </c>
      <c r="AK34" s="478">
        <v>1</v>
      </c>
      <c r="AL34" s="354">
        <v>1</v>
      </c>
      <c r="AM34" s="377">
        <v>1</v>
      </c>
      <c r="AN34" s="353">
        <v>0.36</v>
      </c>
      <c r="AO34" s="378">
        <v>0.12</v>
      </c>
      <c r="AP34" s="238"/>
      <c r="AQ34" s="353">
        <v>-4.7933263682235738</v>
      </c>
      <c r="AR34" s="379">
        <v>-5.0031263682235743</v>
      </c>
      <c r="AS34" s="238"/>
      <c r="AT34" s="456">
        <v>1.78E-2</v>
      </c>
      <c r="AU34" s="238"/>
      <c r="AV34" s="353">
        <v>0</v>
      </c>
      <c r="AW34" s="425"/>
      <c r="AX34" s="354">
        <v>0.17199999999999999</v>
      </c>
      <c r="AY34" s="354"/>
      <c r="AZ34" s="480">
        <v>0.8</v>
      </c>
      <c r="BA34" s="480">
        <v>1</v>
      </c>
      <c r="BB34" s="433">
        <v>0.20979999999999999</v>
      </c>
      <c r="BC34" s="428"/>
      <c r="BD34" s="355">
        <v>5.2380000000000004</v>
      </c>
      <c r="BE34" s="238">
        <v>5.2077999999999998</v>
      </c>
      <c r="BF34" s="319"/>
      <c r="BG34" s="238"/>
      <c r="BH34" s="293"/>
      <c r="BI34" s="293"/>
      <c r="BJ34" s="238"/>
      <c r="BK34" s="319"/>
      <c r="BL34" s="238"/>
      <c r="BM34" s="238"/>
      <c r="BN34" s="256"/>
      <c r="BO34" s="256"/>
      <c r="BP34" s="293"/>
      <c r="BQ34" s="238"/>
      <c r="BR34" s="293"/>
      <c r="BS34" s="238"/>
      <c r="BT34" s="238"/>
      <c r="BU34" s="238"/>
      <c r="BV34" s="238"/>
      <c r="BW34" s="238"/>
      <c r="BX34" s="238"/>
      <c r="BY34" s="238"/>
      <c r="BZ34" s="238"/>
      <c r="CA34" s="238"/>
      <c r="CB34" s="238"/>
      <c r="CC34" s="238"/>
      <c r="CD34" s="238"/>
      <c r="CE34" s="238"/>
      <c r="CF34" s="238"/>
      <c r="CG34" s="238"/>
    </row>
    <row r="35" spans="1:85">
      <c r="A35" s="356">
        <v>36982</v>
      </c>
      <c r="B35" s="461">
        <v>5.3840000000000003</v>
      </c>
      <c r="C35" s="484">
        <v>-0.29140000000000033</v>
      </c>
      <c r="D35" s="359">
        <v>-0.30860000000000021</v>
      </c>
      <c r="E35" s="359">
        <v>-0.22110000000000074</v>
      </c>
      <c r="F35" s="469">
        <v>0.37599990000000005</v>
      </c>
      <c r="G35" s="470">
        <v>0.37599990000000005</v>
      </c>
      <c r="H35" s="470">
        <v>0.39599990000000007</v>
      </c>
      <c r="I35" s="471">
        <v>0.38599990000000006</v>
      </c>
      <c r="J35" s="470">
        <v>0.21599989999999999</v>
      </c>
      <c r="K35" s="470">
        <v>0.27600000000000002</v>
      </c>
      <c r="L35" s="470">
        <v>0.47600000000000003</v>
      </c>
      <c r="M35" s="469">
        <v>-0.81400000000000006</v>
      </c>
      <c r="N35" s="470">
        <v>7.1260000000000003</v>
      </c>
      <c r="O35" s="471">
        <v>2.016</v>
      </c>
      <c r="P35" s="485">
        <v>-1.4000000000000234E-2</v>
      </c>
      <c r="Q35" s="474">
        <v>0.40250000000000002</v>
      </c>
      <c r="R35" s="475">
        <v>0.59499999999999997</v>
      </c>
      <c r="S35" s="365">
        <v>0.59499999999999997</v>
      </c>
      <c r="T35" s="274">
        <v>0.5</v>
      </c>
      <c r="U35" s="464">
        <v>0.59499999999999997</v>
      </c>
      <c r="V35" s="225">
        <v>5.0926</v>
      </c>
      <c r="W35" s="225">
        <v>5.0754000000000001</v>
      </c>
      <c r="X35" s="368">
        <v>5.1628999999999996</v>
      </c>
      <c r="Y35" s="226"/>
      <c r="Z35" s="465">
        <v>0</v>
      </c>
      <c r="AA35" s="486">
        <v>0.10489999999999977</v>
      </c>
      <c r="AB35" s="487">
        <v>7.6013000000000002</v>
      </c>
      <c r="AC35" s="312">
        <v>7.5757000000000003</v>
      </c>
      <c r="AD35" s="368">
        <v>7.7061999999999999</v>
      </c>
      <c r="AE35" s="418">
        <v>5.37</v>
      </c>
      <c r="AF35" s="373">
        <v>4.57</v>
      </c>
      <c r="AG35" s="374">
        <v>7.4</v>
      </c>
      <c r="AH35" s="423">
        <v>-0.70400000000000007</v>
      </c>
      <c r="AI35" s="467">
        <v>1.5367999999999999</v>
      </c>
      <c r="AJ35" s="478">
        <v>1</v>
      </c>
      <c r="AK35" s="478">
        <v>1</v>
      </c>
      <c r="AL35" s="354">
        <v>1</v>
      </c>
      <c r="AM35" s="377">
        <v>1</v>
      </c>
      <c r="AN35" s="353">
        <v>0.37599990000000005</v>
      </c>
      <c r="AO35" s="378">
        <v>0.124</v>
      </c>
      <c r="AP35" s="238"/>
      <c r="AQ35" s="353">
        <v>-5.3120133306220723</v>
      </c>
      <c r="AR35" s="379">
        <v>-5.0206133306220719</v>
      </c>
      <c r="AS35" s="238"/>
      <c r="AT35" s="456">
        <v>0.01</v>
      </c>
      <c r="AU35" s="238"/>
      <c r="AV35" s="353">
        <v>2.5000000000000001E-3</v>
      </c>
      <c r="AW35" s="425"/>
      <c r="AX35" s="354">
        <v>3.6000000000000004E-2</v>
      </c>
      <c r="AY35" s="354"/>
      <c r="AZ35" s="488">
        <v>0.55000000000000004</v>
      </c>
      <c r="BA35" s="488">
        <v>0.55000000000000004</v>
      </c>
      <c r="BB35" s="433">
        <v>-0.29140000000000033</v>
      </c>
      <c r="BC35" s="428"/>
      <c r="BD35" s="355">
        <v>5.5999999000000003</v>
      </c>
      <c r="BE35" s="238">
        <v>5.0943163196251948</v>
      </c>
      <c r="BF35" s="319"/>
      <c r="BG35" s="238"/>
      <c r="BH35" s="293"/>
      <c r="BI35" s="293"/>
      <c r="BJ35" s="238"/>
      <c r="BK35" s="319"/>
      <c r="BL35" s="238"/>
      <c r="BM35" s="238"/>
      <c r="BN35" s="256"/>
      <c r="BO35" s="256"/>
      <c r="BP35" s="293"/>
      <c r="BQ35" s="238"/>
      <c r="BR35" s="293"/>
      <c r="BS35" s="238"/>
      <c r="BT35" s="238"/>
      <c r="BU35" s="238"/>
      <c r="BV35" s="238"/>
      <c r="BW35" s="238"/>
      <c r="BX35" s="238"/>
      <c r="BY35" s="238"/>
      <c r="BZ35" s="238"/>
      <c r="CA35" s="238"/>
      <c r="CB35" s="238"/>
      <c r="CC35" s="238"/>
      <c r="CD35" s="238"/>
      <c r="CE35" s="238"/>
      <c r="CF35" s="238"/>
      <c r="CG35" s="238"/>
    </row>
    <row r="36" spans="1:85">
      <c r="A36" s="356">
        <v>37012</v>
      </c>
      <c r="B36" s="461">
        <v>4.891</v>
      </c>
      <c r="C36" s="489">
        <v>-4.4200000000000003E-2</v>
      </c>
      <c r="D36" s="359">
        <v>-6.0999999999999999E-2</v>
      </c>
      <c r="E36" s="359">
        <v>0.1205</v>
      </c>
      <c r="F36" s="469">
        <v>0.17900000000000002</v>
      </c>
      <c r="G36" s="470">
        <v>0.189</v>
      </c>
      <c r="H36" s="470">
        <v>0.17900000000000002</v>
      </c>
      <c r="I36" s="471">
        <v>0.17900000000000002</v>
      </c>
      <c r="J36" s="470">
        <v>0.13</v>
      </c>
      <c r="K36" s="470">
        <v>0.255</v>
      </c>
      <c r="L36" s="470">
        <v>0.439</v>
      </c>
      <c r="M36" s="469">
        <v>-0.79100000000000037</v>
      </c>
      <c r="N36" s="470">
        <v>10.079000000000001</v>
      </c>
      <c r="O36" s="471">
        <v>5.0890000000000004</v>
      </c>
      <c r="P36" s="419">
        <v>0.27899999999999991</v>
      </c>
      <c r="Q36" s="474">
        <v>0.25750000000000001</v>
      </c>
      <c r="R36" s="475">
        <v>0.45</v>
      </c>
      <c r="S36" s="365">
        <v>0.45</v>
      </c>
      <c r="T36" s="274">
        <v>0.45</v>
      </c>
      <c r="U36" s="464">
        <v>0.45</v>
      </c>
      <c r="V36" s="225">
        <v>4.8468</v>
      </c>
      <c r="W36" s="225">
        <v>4.83</v>
      </c>
      <c r="X36" s="368">
        <v>5.0114999999999998</v>
      </c>
      <c r="Y36" s="226"/>
      <c r="Z36" s="465">
        <v>0</v>
      </c>
      <c r="AA36" s="481">
        <v>-0.495</v>
      </c>
      <c r="AB36" s="487">
        <v>7.0457999999999998</v>
      </c>
      <c r="AC36" s="312">
        <v>7.0213999999999999</v>
      </c>
      <c r="AD36" s="368">
        <v>7.2851999999999997</v>
      </c>
      <c r="AE36" s="418">
        <v>5.17</v>
      </c>
      <c r="AF36" s="373">
        <v>4.0999999999999996</v>
      </c>
      <c r="AG36" s="374">
        <v>9.98</v>
      </c>
      <c r="AH36" s="423">
        <v>-0.66100000000000003</v>
      </c>
      <c r="AI36" s="467">
        <v>1.5371999999999999</v>
      </c>
      <c r="AJ36" s="478">
        <v>1</v>
      </c>
      <c r="AK36" s="478">
        <v>1</v>
      </c>
      <c r="AL36" s="354">
        <v>1</v>
      </c>
      <c r="AM36" s="377">
        <v>1</v>
      </c>
      <c r="AN36" s="353">
        <v>0.189</v>
      </c>
      <c r="AO36" s="378">
        <v>0.12</v>
      </c>
      <c r="AP36" s="238"/>
      <c r="AQ36" s="353">
        <v>-5.2306008489461355</v>
      </c>
      <c r="AR36" s="379">
        <v>-5.1864008489461355</v>
      </c>
      <c r="AS36" s="238"/>
      <c r="AT36" s="456">
        <v>0.01</v>
      </c>
      <c r="AU36" s="238"/>
      <c r="AV36" s="353">
        <v>2.5000000000000001E-3</v>
      </c>
      <c r="AW36" s="425"/>
      <c r="AX36" s="354">
        <v>-8.1000000000000003E-2</v>
      </c>
      <c r="AY36" s="354"/>
      <c r="AZ36" s="488">
        <v>0.63</v>
      </c>
      <c r="BA36" s="488">
        <v>0.5</v>
      </c>
      <c r="BB36" s="433">
        <v>-4.4200000000000003E-2</v>
      </c>
      <c r="BC36" s="428"/>
      <c r="BD36" s="355">
        <v>5.0209999999999999</v>
      </c>
      <c r="BE36" s="238">
        <v>4.8485158730158728</v>
      </c>
      <c r="BF36" s="319"/>
      <c r="BG36" s="238"/>
      <c r="BH36" s="293"/>
      <c r="BI36" s="293"/>
      <c r="BJ36" s="238"/>
      <c r="BK36" s="319"/>
      <c r="BL36" s="238"/>
      <c r="BM36" s="238"/>
      <c r="BN36" s="256"/>
      <c r="BO36" s="256"/>
      <c r="BP36" s="293"/>
      <c r="BQ36" s="238"/>
      <c r="BR36" s="293"/>
      <c r="BS36" s="238"/>
      <c r="BT36" s="238"/>
      <c r="BU36" s="238"/>
      <c r="BV36" s="238"/>
      <c r="BW36" s="238"/>
      <c r="BX36" s="238"/>
      <c r="BY36" s="238"/>
      <c r="BZ36" s="238"/>
      <c r="CA36" s="238"/>
      <c r="CB36" s="238"/>
      <c r="CC36" s="238"/>
      <c r="CD36" s="238"/>
      <c r="CE36" s="238"/>
      <c r="CF36" s="238"/>
      <c r="CG36" s="238"/>
    </row>
    <row r="37" spans="1:85">
      <c r="A37" s="356">
        <v>37043</v>
      </c>
      <c r="B37" s="461">
        <v>3.738</v>
      </c>
      <c r="C37" s="489">
        <v>3.2300000000000002E-2</v>
      </c>
      <c r="D37" s="359">
        <v>1.26E-2</v>
      </c>
      <c r="E37" s="359">
        <v>0.17752961777196941</v>
      </c>
      <c r="F37" s="469">
        <v>0.25800000000000001</v>
      </c>
      <c r="G37" s="470">
        <v>0.20749999999999999</v>
      </c>
      <c r="H37" s="470">
        <v>0.188</v>
      </c>
      <c r="I37" s="471">
        <v>0.20749999999999999</v>
      </c>
      <c r="J37" s="470">
        <v>5.8999999999999997E-2</v>
      </c>
      <c r="K37" s="470">
        <v>0.185</v>
      </c>
      <c r="L37" s="470">
        <v>0.39200000000000002</v>
      </c>
      <c r="M37" s="469">
        <v>-1.1280000000000001</v>
      </c>
      <c r="N37" s="470">
        <v>7.9620000000000006</v>
      </c>
      <c r="O37" s="471">
        <v>2.1219999999999999</v>
      </c>
      <c r="P37" s="419">
        <v>0.22199999999999998</v>
      </c>
      <c r="Q37" s="474">
        <v>0.2</v>
      </c>
      <c r="R37" s="475">
        <v>0.53</v>
      </c>
      <c r="S37" s="365">
        <v>0.53</v>
      </c>
      <c r="T37" s="274">
        <v>0.43</v>
      </c>
      <c r="U37" s="464">
        <v>0.53</v>
      </c>
      <c r="V37" s="225">
        <v>3.7703000000000002</v>
      </c>
      <c r="W37" s="225">
        <v>3.7505999999999999</v>
      </c>
      <c r="X37" s="368">
        <v>3.9155296177719694</v>
      </c>
      <c r="Y37" s="490" t="s">
        <v>241</v>
      </c>
      <c r="Z37" s="465">
        <v>0</v>
      </c>
      <c r="AA37" s="481">
        <v>0.19500000000000001</v>
      </c>
      <c r="AB37" s="487">
        <v>5.4749999999999996</v>
      </c>
      <c r="AC37" s="312">
        <v>5.4463999999999997</v>
      </c>
      <c r="AD37" s="368">
        <v>5.68</v>
      </c>
      <c r="AE37" s="418">
        <v>3.96</v>
      </c>
      <c r="AF37" s="373">
        <v>2.61</v>
      </c>
      <c r="AG37" s="374">
        <v>5.86</v>
      </c>
      <c r="AH37" s="423">
        <v>-0.59799999999999998</v>
      </c>
      <c r="AI37" s="467">
        <v>1.5129999999999999</v>
      </c>
      <c r="AJ37" s="478">
        <v>1</v>
      </c>
      <c r="AK37" s="478">
        <v>1</v>
      </c>
      <c r="AL37" s="354">
        <v>1</v>
      </c>
      <c r="AM37" s="377">
        <v>1</v>
      </c>
      <c r="AN37" s="353">
        <v>0.20749999999999999</v>
      </c>
      <c r="AO37" s="378">
        <v>0.124</v>
      </c>
      <c r="AP37" s="238"/>
      <c r="AQ37" s="353">
        <v>-3.6020780403172505</v>
      </c>
      <c r="AR37" s="379">
        <v>-3.6343780403172508</v>
      </c>
      <c r="AS37" s="238"/>
      <c r="AT37" s="456">
        <v>0.01</v>
      </c>
      <c r="AU37" s="238"/>
      <c r="AV37" s="353">
        <v>5.0000000000000001E-3</v>
      </c>
      <c r="AW37" s="425">
        <v>-0.02</v>
      </c>
      <c r="AX37" s="354">
        <v>-9.8000000000000004E-2</v>
      </c>
      <c r="AY37" s="354"/>
      <c r="AZ37" s="488">
        <v>0.63500000000000001</v>
      </c>
      <c r="BA37" s="488">
        <v>0.5</v>
      </c>
      <c r="BB37" s="433">
        <v>3.2300000000000002E-2</v>
      </c>
      <c r="BC37" s="428"/>
      <c r="BD37" s="355">
        <v>3.7770000000000001</v>
      </c>
      <c r="BE37" s="238">
        <v>3.7737866358228689</v>
      </c>
      <c r="BF37" s="319"/>
      <c r="BG37" s="238"/>
      <c r="BH37" s="293"/>
      <c r="BI37" s="293"/>
      <c r="BJ37" s="238"/>
      <c r="BK37" s="319"/>
      <c r="BL37" s="238"/>
      <c r="BM37" s="238"/>
      <c r="BN37" s="256"/>
      <c r="BO37" s="256"/>
      <c r="BP37" s="293"/>
      <c r="BQ37" s="238"/>
      <c r="BR37" s="293"/>
      <c r="BS37" s="238"/>
      <c r="BT37" s="238"/>
      <c r="BU37" s="238"/>
      <c r="BV37" s="238"/>
      <c r="BW37" s="238"/>
      <c r="BX37" s="238"/>
      <c r="BY37" s="238"/>
      <c r="BZ37" s="238"/>
      <c r="CA37" s="238"/>
      <c r="CB37" s="238"/>
      <c r="CC37" s="238"/>
      <c r="CD37" s="238"/>
      <c r="CE37" s="238"/>
      <c r="CF37" s="238"/>
      <c r="CG37" s="238"/>
    </row>
    <row r="38" spans="1:85">
      <c r="A38" s="356">
        <v>37073</v>
      </c>
      <c r="B38" s="461">
        <v>3.1819999999999999</v>
      </c>
      <c r="C38" s="489">
        <v>-0.21310000000000001</v>
      </c>
      <c r="D38" s="359">
        <v>-0.22969999999999999</v>
      </c>
      <c r="E38" s="359">
        <v>-0.62890000000000001</v>
      </c>
      <c r="F38" s="469">
        <v>0.09</v>
      </c>
      <c r="G38" s="470">
        <v>0.1</v>
      </c>
      <c r="H38" s="470">
        <v>0.12</v>
      </c>
      <c r="I38" s="471">
        <v>0.14800000000000002</v>
      </c>
      <c r="J38" s="470">
        <v>-1.1000000000000001E-2</v>
      </c>
      <c r="K38" s="470">
        <v>0.11900000000000001</v>
      </c>
      <c r="L38" s="470">
        <v>0.438</v>
      </c>
      <c r="M38" s="469">
        <v>-1.1520000000000001</v>
      </c>
      <c r="N38" s="470">
        <v>1.518</v>
      </c>
      <c r="O38" s="471">
        <v>8.8000000000000009E-2</v>
      </c>
      <c r="P38" s="419">
        <v>-0.51200000000000001</v>
      </c>
      <c r="Q38" s="474">
        <v>0.15</v>
      </c>
      <c r="R38" s="475">
        <v>0.4</v>
      </c>
      <c r="S38" s="365">
        <v>0.4</v>
      </c>
      <c r="T38" s="274">
        <v>0.48</v>
      </c>
      <c r="U38" s="464">
        <v>0.4</v>
      </c>
      <c r="V38" s="225">
        <v>2.9689000000000001</v>
      </c>
      <c r="W38" s="225">
        <v>2.9523000000000001</v>
      </c>
      <c r="X38" s="368">
        <v>2.5531000000000001</v>
      </c>
      <c r="Y38" s="415">
        <v>4.5041073017936135</v>
      </c>
      <c r="Z38" s="465">
        <v>0</v>
      </c>
      <c r="AA38" s="481">
        <v>0</v>
      </c>
      <c r="AB38" s="487">
        <v>4.2557999999999998</v>
      </c>
      <c r="AC38" s="312">
        <v>4.2320000000000002</v>
      </c>
      <c r="AD38" s="368">
        <v>3.6597</v>
      </c>
      <c r="AE38" s="418">
        <v>2.67</v>
      </c>
      <c r="AF38" s="373">
        <v>2.0299999999999998</v>
      </c>
      <c r="AG38" s="374">
        <v>3.27</v>
      </c>
      <c r="AH38" s="423">
        <v>-0.84200000000000008</v>
      </c>
      <c r="AI38" s="467">
        <v>1.5358000000000001</v>
      </c>
      <c r="AJ38" s="478">
        <v>1</v>
      </c>
      <c r="AK38" s="478">
        <v>1</v>
      </c>
      <c r="AL38" s="354">
        <v>1</v>
      </c>
      <c r="AM38" s="377">
        <v>1</v>
      </c>
      <c r="AN38" s="353">
        <v>0.1</v>
      </c>
      <c r="AO38" s="378">
        <v>0.12</v>
      </c>
      <c r="AP38" s="238"/>
      <c r="AQ38" s="353">
        <v>-3.1819999999999999</v>
      </c>
      <c r="AR38" s="379">
        <v>-2.9689000000000001</v>
      </c>
      <c r="AS38" s="238"/>
      <c r="AT38" s="456">
        <v>0.01</v>
      </c>
      <c r="AU38" s="238"/>
      <c r="AV38" s="353">
        <v>5.0000000000000001E-3</v>
      </c>
      <c r="AW38" s="425">
        <v>-4.4999999999999998E-2</v>
      </c>
      <c r="AX38" s="354">
        <v>-0.17200000000000001</v>
      </c>
      <c r="AY38" s="354"/>
      <c r="AZ38" s="488">
        <v>0.67500000000000004</v>
      </c>
      <c r="BA38" s="488">
        <v>0.55000000000000004</v>
      </c>
      <c r="BB38" s="433">
        <v>-0.21310000000000001</v>
      </c>
      <c r="BC38" s="428"/>
      <c r="BD38" s="355">
        <v>3.1259999999999999</v>
      </c>
      <c r="BE38" s="238">
        <v>2.9723348743325957</v>
      </c>
      <c r="BF38" s="319"/>
      <c r="BG38" s="238"/>
      <c r="BH38" s="293"/>
      <c r="BI38" s="293"/>
      <c r="BJ38" s="238"/>
      <c r="BK38" s="319"/>
      <c r="BL38" s="238"/>
      <c r="BM38" s="238"/>
      <c r="BN38" s="256"/>
      <c r="BO38" s="256"/>
      <c r="BP38" s="293"/>
      <c r="BQ38" s="238"/>
      <c r="BR38" s="293"/>
      <c r="BS38" s="238"/>
      <c r="BT38" s="238"/>
      <c r="BU38" s="238"/>
      <c r="BV38" s="238"/>
      <c r="BW38" s="238"/>
      <c r="BX38" s="238"/>
      <c r="BY38" s="238"/>
      <c r="BZ38" s="238"/>
      <c r="CA38" s="238"/>
      <c r="CB38" s="238"/>
      <c r="CC38" s="238"/>
      <c r="CD38" s="238"/>
      <c r="CE38" s="238"/>
      <c r="CF38" s="238"/>
      <c r="CG38" s="238"/>
    </row>
    <row r="39" spans="1:85">
      <c r="A39" s="356">
        <v>37104</v>
      </c>
      <c r="B39" s="461">
        <v>3.1670000000000003</v>
      </c>
      <c r="C39" s="489">
        <v>-0.71510000000000007</v>
      </c>
      <c r="D39" s="359">
        <v>-0.72300000000000031</v>
      </c>
      <c r="E39" s="359">
        <v>-0.79060000000000041</v>
      </c>
      <c r="F39" s="469">
        <v>0</v>
      </c>
      <c r="G39" s="470">
        <v>-0.01</v>
      </c>
      <c r="H39" s="470">
        <v>0.03</v>
      </c>
      <c r="I39" s="471">
        <v>0</v>
      </c>
      <c r="J39" s="470">
        <v>0.219</v>
      </c>
      <c r="K39" s="470">
        <v>0.26900000000000002</v>
      </c>
      <c r="L39" s="470">
        <v>0.46300000000000002</v>
      </c>
      <c r="M39" s="469">
        <v>-0.89700000000000024</v>
      </c>
      <c r="N39" s="470">
        <v>0.57300000000000006</v>
      </c>
      <c r="O39" s="471">
        <v>-2.7E-2</v>
      </c>
      <c r="P39" s="419">
        <v>-0.747</v>
      </c>
      <c r="Q39" s="474">
        <v>0.33500000000000002</v>
      </c>
      <c r="R39" s="475">
        <v>0.68500000000000005</v>
      </c>
      <c r="S39" s="365">
        <v>0.68500000000000005</v>
      </c>
      <c r="T39" s="274">
        <v>0.53</v>
      </c>
      <c r="U39" s="464">
        <v>0.68500000000000005</v>
      </c>
      <c r="V39" s="225">
        <v>2.4519000000000002</v>
      </c>
      <c r="W39" s="225">
        <v>2.444</v>
      </c>
      <c r="X39" s="368">
        <v>2.3763999999999998</v>
      </c>
      <c r="Y39" s="415">
        <v>3.8272668559842757</v>
      </c>
      <c r="Z39" s="465">
        <v>1.1400000000000077E-2</v>
      </c>
      <c r="AA39" s="481">
        <v>-9.8500000000000032E-2</v>
      </c>
      <c r="AB39" s="487">
        <v>3.5691999999999999</v>
      </c>
      <c r="AC39" s="312">
        <v>3.5577999999999999</v>
      </c>
      <c r="AD39" s="368">
        <v>3.4592999999999998</v>
      </c>
      <c r="AE39" s="418">
        <v>2.42</v>
      </c>
      <c r="AF39" s="373">
        <v>2.27</v>
      </c>
      <c r="AG39" s="374">
        <v>3.14</v>
      </c>
      <c r="AH39" s="423">
        <v>-0.70700000000000007</v>
      </c>
      <c r="AI39" s="467">
        <v>1.5505</v>
      </c>
      <c r="AJ39" s="478">
        <v>1</v>
      </c>
      <c r="AK39" s="478">
        <v>1</v>
      </c>
      <c r="AL39" s="354">
        <v>1</v>
      </c>
      <c r="AM39" s="377">
        <v>1</v>
      </c>
      <c r="AN39" s="353">
        <v>-0.01</v>
      </c>
      <c r="AO39" s="378">
        <v>0.12</v>
      </c>
      <c r="AP39" s="238"/>
      <c r="AQ39" s="353">
        <v>-3.1687198548597522</v>
      </c>
      <c r="AR39" s="379">
        <v>-2.4536198548597521</v>
      </c>
      <c r="AS39" s="238"/>
      <c r="AT39" s="456">
        <v>0.01</v>
      </c>
      <c r="AU39" s="238"/>
      <c r="AV39" s="353">
        <v>2.5000000000000001E-3</v>
      </c>
      <c r="AW39" s="425">
        <v>-3.5000000000000003E-2</v>
      </c>
      <c r="AX39" s="354">
        <v>-7.6999999999999999E-2</v>
      </c>
      <c r="AY39" s="354"/>
      <c r="AZ39" s="488">
        <v>0.72499999999999998</v>
      </c>
      <c r="BA39" s="488">
        <v>0.6</v>
      </c>
      <c r="BB39" s="433">
        <v>-0.71510000000000007</v>
      </c>
      <c r="BC39" s="428"/>
      <c r="BD39" s="355">
        <v>3.351</v>
      </c>
      <c r="BE39" s="238">
        <v>2.4536011544663014</v>
      </c>
      <c r="BF39" s="319"/>
      <c r="BG39" s="238"/>
      <c r="BH39" s="293"/>
      <c r="BI39" s="293"/>
      <c r="BJ39" s="238"/>
      <c r="BK39" s="319"/>
      <c r="BL39" s="238"/>
      <c r="BM39" s="238"/>
      <c r="BN39" s="256"/>
      <c r="BO39" s="256"/>
      <c r="BP39" s="293"/>
      <c r="BQ39" s="238"/>
      <c r="BR39" s="293"/>
      <c r="BS39" s="238"/>
      <c r="BT39" s="238"/>
      <c r="BU39" s="238"/>
      <c r="BV39" s="238"/>
      <c r="BW39" s="238"/>
      <c r="BX39" s="238"/>
      <c r="BY39" s="238"/>
      <c r="BZ39" s="238"/>
      <c r="CA39" s="238"/>
      <c r="CB39" s="238"/>
      <c r="CC39" s="238"/>
      <c r="CD39" s="238"/>
      <c r="CE39" s="238"/>
      <c r="CF39" s="238"/>
      <c r="CG39" s="238"/>
    </row>
    <row r="40" spans="1:85">
      <c r="A40" s="356">
        <v>37135</v>
      </c>
      <c r="B40" s="461">
        <v>2.2949999999999999</v>
      </c>
      <c r="C40" s="489">
        <v>-2.5895789799072588E-2</v>
      </c>
      <c r="D40" s="359">
        <v>-3.0883038098297622E-2</v>
      </c>
      <c r="E40" s="359">
        <v>-0.2163397175714743</v>
      </c>
      <c r="F40" s="469">
        <v>0.14000000000000001</v>
      </c>
      <c r="G40" s="470">
        <v>0.15</v>
      </c>
      <c r="H40" s="470">
        <v>0.15</v>
      </c>
      <c r="I40" s="471">
        <v>0.14000000000000001</v>
      </c>
      <c r="J40" s="470">
        <v>0.04</v>
      </c>
      <c r="K40" s="470">
        <v>0.11</v>
      </c>
      <c r="L40" s="470">
        <v>0.28499999999999998</v>
      </c>
      <c r="M40" s="469">
        <v>-0.23</v>
      </c>
      <c r="N40" s="470">
        <v>0.30499999999999999</v>
      </c>
      <c r="O40" s="471">
        <v>0.125</v>
      </c>
      <c r="P40" s="419">
        <v>-9.5000000000000001E-2</v>
      </c>
      <c r="Q40" s="474">
        <v>0.49</v>
      </c>
      <c r="R40" s="475">
        <v>0.74</v>
      </c>
      <c r="S40" s="365">
        <v>0.74</v>
      </c>
      <c r="T40" s="274">
        <v>0.78</v>
      </c>
      <c r="U40" s="464">
        <v>0.74</v>
      </c>
      <c r="V40" s="225">
        <v>2.2691042102009273</v>
      </c>
      <c r="W40" s="225">
        <v>2.2694999999999999</v>
      </c>
      <c r="X40" s="368">
        <v>2.0836000000000001</v>
      </c>
      <c r="Y40" s="415">
        <v>3.8739517473992384</v>
      </c>
      <c r="Z40" s="465">
        <v>0</v>
      </c>
      <c r="AA40" s="481">
        <v>-2.5000000000000001E-3</v>
      </c>
      <c r="AB40" s="487">
        <v>3.3395999999999999</v>
      </c>
      <c r="AC40" s="312">
        <v>3.3401999999999998</v>
      </c>
      <c r="AD40" s="368">
        <v>3.0666000000000002</v>
      </c>
      <c r="AE40" s="418">
        <v>2.2000000000000002</v>
      </c>
      <c r="AF40" s="373">
        <v>2.0649999999999999</v>
      </c>
      <c r="AG40" s="374">
        <v>2.42</v>
      </c>
      <c r="AH40" s="423">
        <v>-0.70700000000000007</v>
      </c>
      <c r="AI40" s="467">
        <v>1.5565</v>
      </c>
      <c r="AJ40" s="478">
        <v>1</v>
      </c>
      <c r="AK40" s="478">
        <v>1</v>
      </c>
      <c r="AL40" s="354">
        <v>1</v>
      </c>
      <c r="AM40" s="377">
        <v>1</v>
      </c>
      <c r="AN40" s="353">
        <v>0.15</v>
      </c>
      <c r="AO40" s="378">
        <v>0.124</v>
      </c>
      <c r="AP40" s="238"/>
      <c r="AQ40" s="353">
        <v>-2.2966938885319625</v>
      </c>
      <c r="AR40" s="379">
        <v>-2.27079809873289</v>
      </c>
      <c r="AS40" s="238"/>
      <c r="AT40" s="456">
        <v>0.01</v>
      </c>
      <c r="AU40" s="238"/>
      <c r="AV40" s="353">
        <v>2.5000000000000001E-3</v>
      </c>
      <c r="AW40" s="425">
        <v>-4.4999999999999998E-2</v>
      </c>
      <c r="AX40" s="354">
        <v>-5.5E-2</v>
      </c>
      <c r="AY40" s="354"/>
      <c r="AZ40" s="488">
        <v>0.92500000000000004</v>
      </c>
      <c r="BA40" s="488">
        <v>0.6</v>
      </c>
      <c r="BB40" s="433">
        <v>-2.5895789799072588E-2</v>
      </c>
      <c r="BC40" s="428"/>
      <c r="BD40" s="355">
        <v>2.29</v>
      </c>
      <c r="BE40" s="238">
        <v>2.2880332477559997</v>
      </c>
      <c r="BF40" s="319"/>
      <c r="BG40" s="238">
        <v>0.83</v>
      </c>
      <c r="BH40" s="293"/>
      <c r="BI40" s="293"/>
      <c r="BJ40" s="238"/>
      <c r="BK40" s="319"/>
      <c r="BL40" s="238"/>
      <c r="BM40" s="238"/>
      <c r="BN40" s="256"/>
      <c r="BO40" s="256"/>
      <c r="BP40" s="293"/>
      <c r="BQ40" s="238"/>
      <c r="BR40" s="293"/>
      <c r="BS40" s="238"/>
      <c r="BT40" s="238"/>
      <c r="BU40" s="238"/>
      <c r="BV40" s="238"/>
      <c r="BW40" s="238"/>
      <c r="BX40" s="238"/>
      <c r="BY40" s="238"/>
      <c r="BZ40" s="238"/>
      <c r="CA40" s="238"/>
      <c r="CB40" s="238"/>
      <c r="CC40" s="238"/>
      <c r="CD40" s="238"/>
      <c r="CE40" s="238"/>
      <c r="CF40" s="238"/>
      <c r="CG40" s="238"/>
    </row>
    <row r="41" spans="1:85">
      <c r="A41" s="356">
        <v>37165</v>
      </c>
      <c r="B41" s="461">
        <v>2.42</v>
      </c>
      <c r="C41" s="489">
        <v>-0.44467933201669529</v>
      </c>
      <c r="D41" s="359">
        <v>-0.44467933201669529</v>
      </c>
      <c r="E41" s="359">
        <v>-0.34303332851841173</v>
      </c>
      <c r="F41" s="469">
        <v>0.04</v>
      </c>
      <c r="G41" s="470">
        <v>0.05</v>
      </c>
      <c r="H41" s="470">
        <v>7.0000000000000007E-2</v>
      </c>
      <c r="I41" s="471">
        <v>0.04</v>
      </c>
      <c r="J41" s="470">
        <v>0</v>
      </c>
      <c r="K41" s="470">
        <v>4.4999999999999998E-2</v>
      </c>
      <c r="L41" s="470">
        <v>0.29499999999999998</v>
      </c>
      <c r="M41" s="469">
        <v>-0.41499999999999998</v>
      </c>
      <c r="N41" s="470">
        <v>8.5000000000000006E-2</v>
      </c>
      <c r="O41" s="471">
        <v>-0.1</v>
      </c>
      <c r="P41" s="419">
        <v>-0.255</v>
      </c>
      <c r="Q41" s="474">
        <v>0.58250000000000002</v>
      </c>
      <c r="R41" s="475">
        <v>0.755</v>
      </c>
      <c r="S41" s="365">
        <v>0.755</v>
      </c>
      <c r="T41" s="274">
        <v>0.73</v>
      </c>
      <c r="U41" s="464">
        <v>0.755</v>
      </c>
      <c r="V41" s="225">
        <v>1.9753206679833046</v>
      </c>
      <c r="W41" s="225">
        <v>1.9753206679833046</v>
      </c>
      <c r="X41" s="368">
        <v>2.0769666714815882</v>
      </c>
      <c r="Y41" s="318" t="s">
        <v>240</v>
      </c>
      <c r="Z41" s="465">
        <v>0</v>
      </c>
      <c r="AA41" s="481">
        <v>0.15</v>
      </c>
      <c r="AB41" s="487">
        <v>2.915</v>
      </c>
      <c r="AC41" s="312">
        <v>2.915</v>
      </c>
      <c r="AD41" s="368">
        <v>3.0649999999999999</v>
      </c>
      <c r="AE41" s="418">
        <v>2.165</v>
      </c>
      <c r="AF41" s="373">
        <v>2.0049999999999999</v>
      </c>
      <c r="AG41" s="374">
        <v>2.3199999999999998</v>
      </c>
      <c r="AH41" s="423">
        <v>-0.13</v>
      </c>
      <c r="AI41" s="467">
        <v>1.5569564424898701</v>
      </c>
      <c r="AJ41" s="478">
        <v>4.0969718985986302E-2</v>
      </c>
      <c r="AK41" s="478">
        <v>3.6770683196706101E-2</v>
      </c>
      <c r="AL41" s="354">
        <v>0.99711723893294502</v>
      </c>
      <c r="AM41" s="377">
        <v>0.99740964283607858</v>
      </c>
      <c r="AN41" s="353">
        <v>0.05</v>
      </c>
      <c r="AO41" s="378">
        <v>0.12</v>
      </c>
      <c r="AP41" s="238"/>
      <c r="AQ41" s="353">
        <v>-2.257396483239428</v>
      </c>
      <c r="AR41" s="379">
        <v>-1.8127171512227327</v>
      </c>
      <c r="AS41" s="238"/>
      <c r="AT41" s="456">
        <v>0.01</v>
      </c>
      <c r="AU41" s="238"/>
      <c r="AV41" s="353">
        <v>0</v>
      </c>
      <c r="AW41" s="425">
        <v>-3.5000000000000003E-2</v>
      </c>
      <c r="AX41" s="354">
        <v>-7.0000000000000007E-2</v>
      </c>
      <c r="AY41" s="354"/>
      <c r="AZ41" s="488">
        <v>0.92500000000000004</v>
      </c>
      <c r="BA41" s="488">
        <v>0.65</v>
      </c>
      <c r="BB41" s="433">
        <v>-0.44467933201669529</v>
      </c>
      <c r="BC41" s="428"/>
      <c r="BD41" s="355">
        <v>2.3849999999999998</v>
      </c>
      <c r="BE41" s="238">
        <v>1.9753206679833046</v>
      </c>
      <c r="BF41" s="319"/>
      <c r="BG41" s="238">
        <v>0.83</v>
      </c>
      <c r="BH41" s="293"/>
      <c r="BI41" s="293"/>
      <c r="BJ41" s="238"/>
      <c r="BK41" s="319"/>
      <c r="BL41" s="238"/>
      <c r="BM41" s="238"/>
      <c r="BN41" s="256"/>
      <c r="BO41" s="256"/>
      <c r="BP41" s="293"/>
      <c r="BQ41" s="238"/>
      <c r="BR41" s="293"/>
      <c r="BS41" s="238"/>
      <c r="BT41" s="238"/>
      <c r="BU41" s="238"/>
      <c r="BV41" s="238"/>
      <c r="BW41" s="238"/>
      <c r="BX41" s="238"/>
      <c r="BY41" s="238"/>
      <c r="BZ41" s="238"/>
      <c r="CA41" s="238"/>
      <c r="CB41" s="238"/>
      <c r="CC41" s="238"/>
      <c r="CD41" s="238"/>
      <c r="CE41" s="238"/>
      <c r="CF41" s="238"/>
      <c r="CG41" s="238"/>
    </row>
    <row r="42" spans="1:85">
      <c r="A42" s="460">
        <v>37196</v>
      </c>
      <c r="B42" s="461">
        <v>2.7240000000000002</v>
      </c>
      <c r="C42" s="468">
        <v>-0.46</v>
      </c>
      <c r="D42" s="359">
        <v>-0.35161216266321782</v>
      </c>
      <c r="E42" s="359">
        <v>-0.29064400416127789</v>
      </c>
      <c r="F42" s="469">
        <v>0.1</v>
      </c>
      <c r="G42" s="470">
        <v>0.24</v>
      </c>
      <c r="H42" s="470">
        <v>0.255</v>
      </c>
      <c r="I42" s="471">
        <v>0.38500000000000001</v>
      </c>
      <c r="J42" s="470">
        <v>0.05</v>
      </c>
      <c r="K42" s="470">
        <v>7.4999999999999997E-2</v>
      </c>
      <c r="L42" s="470">
        <v>0.47</v>
      </c>
      <c r="M42" s="469">
        <v>-0.33250000000000002</v>
      </c>
      <c r="N42" s="470">
        <v>0.15</v>
      </c>
      <c r="O42" s="471">
        <v>0.125</v>
      </c>
      <c r="P42" s="491">
        <v>0.05</v>
      </c>
      <c r="Q42" s="388">
        <v>0.64</v>
      </c>
      <c r="R42" s="475">
        <v>0.66</v>
      </c>
      <c r="S42" s="365">
        <v>0.81</v>
      </c>
      <c r="T42" s="274">
        <v>0.79</v>
      </c>
      <c r="U42" s="464">
        <v>0.66</v>
      </c>
      <c r="V42" s="225">
        <v>2.2640000000000002</v>
      </c>
      <c r="W42" s="225">
        <v>2.3723878373367824</v>
      </c>
      <c r="X42" s="368">
        <v>2.4333559958387223</v>
      </c>
      <c r="Y42" s="415"/>
      <c r="Z42" s="465">
        <v>0.16</v>
      </c>
      <c r="AA42" s="481">
        <v>0.25</v>
      </c>
      <c r="AB42" s="487">
        <v>3.3420724031465823</v>
      </c>
      <c r="AC42" s="312">
        <v>3.5020724031465824</v>
      </c>
      <c r="AD42" s="368">
        <v>3.5920724031465823</v>
      </c>
      <c r="AE42" s="418">
        <v>2.774</v>
      </c>
      <c r="AF42" s="373">
        <v>2.3915000000000002</v>
      </c>
      <c r="AG42" s="374">
        <v>2.8490000000000002</v>
      </c>
      <c r="AH42" s="423">
        <v>-0.23499999999999999</v>
      </c>
      <c r="AI42" s="467">
        <v>1.5574529776387898</v>
      </c>
      <c r="AJ42" s="478">
        <v>4.0335868485250601E-2</v>
      </c>
      <c r="AK42" s="478">
        <v>3.6338612674823502E-2</v>
      </c>
      <c r="AL42" s="354">
        <v>0.99378729949116018</v>
      </c>
      <c r="AM42" s="377">
        <v>0.99439575247807521</v>
      </c>
      <c r="AN42" s="353">
        <v>0.25</v>
      </c>
      <c r="AO42" s="378">
        <v>0.124</v>
      </c>
      <c r="AP42" s="238"/>
      <c r="AQ42" s="353">
        <v>-2.5007147928153066</v>
      </c>
      <c r="AR42" s="379">
        <v>-2.0407147928153067</v>
      </c>
      <c r="AS42" s="238"/>
      <c r="AT42" s="492">
        <v>7.4999999999999997E-3</v>
      </c>
      <c r="AU42" s="238"/>
      <c r="AV42" s="353">
        <v>4.0000000000000001E-3</v>
      </c>
      <c r="AW42" s="425">
        <v>1.7500000000000002E-2</v>
      </c>
      <c r="AX42" s="354">
        <v>-5.0000000000000001E-3</v>
      </c>
      <c r="AY42" s="354"/>
      <c r="AZ42" s="488">
        <v>1.1399999999999999</v>
      </c>
      <c r="BA42" s="488">
        <v>1</v>
      </c>
      <c r="BB42" s="433">
        <v>-0.46</v>
      </c>
      <c r="BC42" s="428"/>
      <c r="BD42" s="355">
        <v>2.7915000000000001</v>
      </c>
      <c r="BE42" s="238">
        <v>2.2667096959334199</v>
      </c>
      <c r="BF42" s="319"/>
      <c r="BG42" s="238">
        <v>0.79</v>
      </c>
      <c r="BH42" s="293"/>
      <c r="BI42" s="293"/>
      <c r="BJ42" s="238"/>
      <c r="BK42" s="319"/>
      <c r="BL42" s="238"/>
      <c r="BM42" s="238"/>
      <c r="BN42" s="256"/>
      <c r="BO42" s="256"/>
      <c r="BP42" s="293"/>
      <c r="BQ42" s="238"/>
      <c r="BR42" s="293"/>
      <c r="BS42" s="238"/>
      <c r="BT42" s="238"/>
      <c r="BU42" s="238"/>
      <c r="BV42" s="238"/>
      <c r="BW42" s="238"/>
      <c r="BX42" s="238"/>
      <c r="BY42" s="238"/>
      <c r="BZ42" s="238"/>
      <c r="CA42" s="238"/>
      <c r="CB42" s="238"/>
      <c r="CC42" s="238"/>
      <c r="CD42" s="238"/>
      <c r="CE42" s="238"/>
      <c r="CF42" s="238"/>
      <c r="CG42" s="238"/>
    </row>
    <row r="43" spans="1:85">
      <c r="A43" s="356">
        <v>37226</v>
      </c>
      <c r="B43" s="461">
        <v>3.0470000000000002</v>
      </c>
      <c r="C43" s="493">
        <v>-0.45500000000000002</v>
      </c>
      <c r="D43" s="359">
        <v>-0.34663648350715004</v>
      </c>
      <c r="E43" s="359">
        <v>-0.28568200547992229</v>
      </c>
      <c r="F43" s="469">
        <v>0.13</v>
      </c>
      <c r="G43" s="470">
        <v>0.27</v>
      </c>
      <c r="H43" s="470">
        <v>0.28499999999999998</v>
      </c>
      <c r="I43" s="471">
        <v>0.41499999999999998</v>
      </c>
      <c r="J43" s="470">
        <v>7.4999999999999997E-2</v>
      </c>
      <c r="K43" s="470">
        <v>7.4999999999999997E-2</v>
      </c>
      <c r="L43" s="470">
        <v>0.85</v>
      </c>
      <c r="M43" s="469">
        <v>-0.29749999999999999</v>
      </c>
      <c r="N43" s="470">
        <v>0.19500000000000001</v>
      </c>
      <c r="O43" s="471">
        <v>0.215</v>
      </c>
      <c r="P43" s="491">
        <v>0.33</v>
      </c>
      <c r="Q43" s="388">
        <v>0.58499999999999996</v>
      </c>
      <c r="R43" s="475">
        <v>0.6</v>
      </c>
      <c r="S43" s="365">
        <v>0.85</v>
      </c>
      <c r="T43" s="274">
        <v>0.99</v>
      </c>
      <c r="U43" s="464">
        <v>0.6</v>
      </c>
      <c r="V43" s="225">
        <v>2.5920000000000001</v>
      </c>
      <c r="W43" s="225">
        <v>2.7003635164928501</v>
      </c>
      <c r="X43" s="368">
        <v>2.7613179945200779</v>
      </c>
      <c r="Y43" s="318" t="s">
        <v>238</v>
      </c>
      <c r="Z43" s="465">
        <v>0.16</v>
      </c>
      <c r="AA43" s="481">
        <v>0.25</v>
      </c>
      <c r="AB43" s="487">
        <v>3.8271183274803029</v>
      </c>
      <c r="AC43" s="312">
        <v>3.987118327480303</v>
      </c>
      <c r="AD43" s="368">
        <v>4.0771183274803029</v>
      </c>
      <c r="AE43" s="418">
        <v>3.3770000000000002</v>
      </c>
      <c r="AF43" s="373">
        <v>2.7495000000000003</v>
      </c>
      <c r="AG43" s="374">
        <v>3.262</v>
      </c>
      <c r="AH43" s="423">
        <v>-0.20499999999999999</v>
      </c>
      <c r="AI43" s="467">
        <v>1.55780252859493</v>
      </c>
      <c r="AJ43" s="478">
        <v>3.9551318961528602E-2</v>
      </c>
      <c r="AK43" s="478">
        <v>3.5973232162518805E-2</v>
      </c>
      <c r="AL43" s="354">
        <v>0.99071447278248748</v>
      </c>
      <c r="AM43" s="377">
        <v>0.9915435340932568</v>
      </c>
      <c r="AN43" s="353">
        <v>0.28000000000000003</v>
      </c>
      <c r="AO43" s="378">
        <v>0.12</v>
      </c>
      <c r="AP43" s="238"/>
      <c r="AQ43" s="353">
        <v>-2.8257527782498824</v>
      </c>
      <c r="AR43" s="379">
        <v>-2.3707527782498823</v>
      </c>
      <c r="AS43" s="238"/>
      <c r="AT43" s="456">
        <v>7.4999999999999997E-3</v>
      </c>
      <c r="AU43" s="238"/>
      <c r="AV43" s="353">
        <v>4.0000000000000001E-3</v>
      </c>
      <c r="AW43" s="425">
        <v>1.7500000000000002E-2</v>
      </c>
      <c r="AX43" s="354">
        <v>0.01</v>
      </c>
      <c r="AY43" s="354"/>
      <c r="AZ43" s="488">
        <v>1.34</v>
      </c>
      <c r="BA43" s="488">
        <v>1.2</v>
      </c>
      <c r="BB43" s="433">
        <v>-0.45500000000000002</v>
      </c>
      <c r="BC43" s="428"/>
      <c r="BD43" s="355">
        <v>3.1395000000000004</v>
      </c>
      <c r="BE43" s="238">
        <v>2.5947090879123214</v>
      </c>
      <c r="BF43" s="319"/>
      <c r="BG43" s="238">
        <v>1.0900000000000001</v>
      </c>
      <c r="BH43" s="293"/>
      <c r="BI43" s="293"/>
      <c r="BJ43" s="238"/>
      <c r="BK43" s="319"/>
      <c r="BL43" s="238"/>
      <c r="BM43" s="238"/>
      <c r="BN43" s="256"/>
      <c r="BO43" s="256"/>
      <c r="BP43" s="293"/>
      <c r="BQ43" s="238"/>
      <c r="BR43" s="293"/>
      <c r="BS43" s="238"/>
      <c r="BT43" s="238"/>
      <c r="BU43" s="238"/>
      <c r="BV43" s="238"/>
      <c r="BW43" s="238"/>
      <c r="BX43" s="238"/>
      <c r="BY43" s="238"/>
      <c r="BZ43" s="238"/>
      <c r="CA43" s="238"/>
      <c r="CB43" s="238"/>
      <c r="CC43" s="238"/>
      <c r="CD43" s="238"/>
      <c r="CE43" s="238"/>
      <c r="CF43" s="238"/>
      <c r="CG43" s="238"/>
    </row>
    <row r="44" spans="1:85">
      <c r="A44" s="356">
        <v>37257</v>
      </c>
      <c r="B44" s="461">
        <v>3.1920000000000002</v>
      </c>
      <c r="C44" s="493">
        <v>-0.44500000000000001</v>
      </c>
      <c r="D44" s="359">
        <v>-0.3366556769655995</v>
      </c>
      <c r="E44" s="359">
        <v>-0.27571199525874945</v>
      </c>
      <c r="F44" s="469">
        <v>0.14000000000000001</v>
      </c>
      <c r="G44" s="470">
        <v>0.28000000000000003</v>
      </c>
      <c r="H44" s="470">
        <v>0.29499999999999998</v>
      </c>
      <c r="I44" s="471">
        <v>0.42499999999999999</v>
      </c>
      <c r="J44" s="470">
        <v>0.13500000000000001</v>
      </c>
      <c r="K44" s="470">
        <v>0.105</v>
      </c>
      <c r="L44" s="470">
        <v>1.865</v>
      </c>
      <c r="M44" s="469">
        <v>-0.29749999999999999</v>
      </c>
      <c r="N44" s="470">
        <v>0.20499999999999999</v>
      </c>
      <c r="O44" s="471">
        <v>0.23</v>
      </c>
      <c r="P44" s="491">
        <v>0.44</v>
      </c>
      <c r="Q44" s="388">
        <v>0.60499999999999998</v>
      </c>
      <c r="R44" s="475">
        <v>0.59250000000000003</v>
      </c>
      <c r="S44" s="365">
        <v>0.84250000000000003</v>
      </c>
      <c r="T44" s="274">
        <v>0.99</v>
      </c>
      <c r="U44" s="464">
        <v>0.59250000000000003</v>
      </c>
      <c r="V44" s="225">
        <v>2.7470000000000003</v>
      </c>
      <c r="W44" s="225">
        <v>2.8553443230344007</v>
      </c>
      <c r="X44" s="368">
        <v>2.9162880047412507</v>
      </c>
      <c r="Y44" s="415"/>
      <c r="Z44" s="465">
        <v>0.16</v>
      </c>
      <c r="AA44" s="481">
        <v>0.25</v>
      </c>
      <c r="AB44" s="487">
        <v>4.0566961672781767</v>
      </c>
      <c r="AC44" s="312">
        <v>4.2166961672781769</v>
      </c>
      <c r="AD44" s="368">
        <v>4.3066961672781767</v>
      </c>
      <c r="AE44" s="418">
        <v>3.6320000000000001</v>
      </c>
      <c r="AF44" s="373">
        <v>2.8945000000000003</v>
      </c>
      <c r="AG44" s="374">
        <v>3.4220000000000002</v>
      </c>
      <c r="AH44" s="423">
        <v>-0.20499999999999999</v>
      </c>
      <c r="AI44" s="467">
        <v>1.5580784970745698</v>
      </c>
      <c r="AJ44" s="478">
        <v>3.8979248349933396E-2</v>
      </c>
      <c r="AK44" s="478">
        <v>3.5783114518006497E-2</v>
      </c>
      <c r="AL44" s="354">
        <v>0.98760570849046536</v>
      </c>
      <c r="AM44" s="377">
        <v>0.98860727143404348</v>
      </c>
      <c r="AN44" s="353">
        <v>0.28999999999999998</v>
      </c>
      <c r="AO44" s="378">
        <v>0.12</v>
      </c>
      <c r="AP44" s="238"/>
      <c r="AQ44" s="353">
        <v>-2.9707827554933637</v>
      </c>
      <c r="AR44" s="379">
        <v>-2.5257827554933638</v>
      </c>
      <c r="AS44" s="238"/>
      <c r="AT44" s="456">
        <v>7.4999999999999997E-3</v>
      </c>
      <c r="AU44" s="238"/>
      <c r="AV44" s="353">
        <v>4.0000000000000001E-3</v>
      </c>
      <c r="AW44" s="425">
        <v>1.7500000000000002E-2</v>
      </c>
      <c r="AX44" s="354">
        <v>1.4999999999999999E-2</v>
      </c>
      <c r="AY44" s="354"/>
      <c r="AZ44" s="488">
        <v>1.34</v>
      </c>
      <c r="BA44" s="488">
        <v>1.2</v>
      </c>
      <c r="BB44" s="433">
        <v>-0.44500000000000001</v>
      </c>
      <c r="BC44" s="428"/>
      <c r="BD44" s="355">
        <v>3.3445</v>
      </c>
      <c r="BE44" s="238">
        <v>2.7497086080758604</v>
      </c>
      <c r="BF44" s="319"/>
      <c r="BG44" s="238">
        <v>1.0900000000000001</v>
      </c>
      <c r="BH44" s="293"/>
      <c r="BI44" s="293"/>
      <c r="BJ44" s="238"/>
      <c r="BK44" s="319"/>
      <c r="BL44" s="238"/>
      <c r="BM44" s="238"/>
      <c r="BN44" s="256"/>
      <c r="BO44" s="256"/>
      <c r="BP44" s="293"/>
      <c r="BQ44" s="238"/>
      <c r="BR44" s="293"/>
      <c r="BS44" s="238"/>
      <c r="BT44" s="238"/>
      <c r="BU44" s="238"/>
      <c r="BV44" s="238"/>
      <c r="BW44" s="238"/>
      <c r="BX44" s="238"/>
      <c r="BY44" s="238"/>
      <c r="BZ44" s="238"/>
      <c r="CA44" s="238"/>
      <c r="CB44" s="238"/>
      <c r="CC44" s="238"/>
      <c r="CD44" s="238"/>
      <c r="CE44" s="238"/>
      <c r="CF44" s="238"/>
      <c r="CG44" s="238"/>
    </row>
    <row r="45" spans="1:85">
      <c r="A45" s="356">
        <v>37288</v>
      </c>
      <c r="B45" s="461">
        <v>3.1590000000000003</v>
      </c>
      <c r="C45" s="493">
        <v>-0.44500000000000001</v>
      </c>
      <c r="D45" s="359">
        <v>-0.33666599145120069</v>
      </c>
      <c r="E45" s="359">
        <v>-0.27572811164250144</v>
      </c>
      <c r="F45" s="469">
        <v>0.20499999999999999</v>
      </c>
      <c r="G45" s="470">
        <v>0.34499999999999997</v>
      </c>
      <c r="H45" s="470">
        <v>0.36</v>
      </c>
      <c r="I45" s="471">
        <v>0.49</v>
      </c>
      <c r="J45" s="470">
        <v>0.14000000000000001</v>
      </c>
      <c r="K45" s="470">
        <v>0.155</v>
      </c>
      <c r="L45" s="470">
        <v>1.865</v>
      </c>
      <c r="M45" s="469">
        <v>-0.3175</v>
      </c>
      <c r="N45" s="470">
        <v>0.16</v>
      </c>
      <c r="O45" s="471">
        <v>0.22500000000000001</v>
      </c>
      <c r="P45" s="491">
        <v>0.19</v>
      </c>
      <c r="Q45" s="388">
        <v>0.58499999999999996</v>
      </c>
      <c r="R45" s="475">
        <v>0.56999999999999995</v>
      </c>
      <c r="S45" s="365">
        <v>0.72</v>
      </c>
      <c r="T45" s="274">
        <v>0.99</v>
      </c>
      <c r="U45" s="464">
        <v>0.56999999999999995</v>
      </c>
      <c r="V45" s="225">
        <v>2.7140000000000004</v>
      </c>
      <c r="W45" s="225">
        <v>2.8223340085487996</v>
      </c>
      <c r="X45" s="368">
        <v>2.8832718883574988</v>
      </c>
      <c r="Y45" s="226"/>
      <c r="Z45" s="465">
        <v>0.16</v>
      </c>
      <c r="AA45" s="481">
        <v>0.25</v>
      </c>
      <c r="AB45" s="487">
        <v>4.0083442477289628</v>
      </c>
      <c r="AC45" s="312">
        <v>4.1683442477289629</v>
      </c>
      <c r="AD45" s="368">
        <v>4.2583442477289628</v>
      </c>
      <c r="AE45" s="418">
        <v>3.3490000000000002</v>
      </c>
      <c r="AF45" s="373">
        <v>2.8415000000000004</v>
      </c>
      <c r="AG45" s="374">
        <v>3.3840000000000003</v>
      </c>
      <c r="AH45" s="423">
        <v>-0.23</v>
      </c>
      <c r="AI45" s="467">
        <v>1.55822684179511</v>
      </c>
      <c r="AJ45" s="478">
        <v>3.8618054331461198E-2</v>
      </c>
      <c r="AK45" s="478">
        <v>3.5849344955682899E-2</v>
      </c>
      <c r="AL45" s="354">
        <v>0.98451743221564214</v>
      </c>
      <c r="AM45" s="377">
        <v>0.98560969424581779</v>
      </c>
      <c r="AN45" s="353">
        <v>0.35499999999999998</v>
      </c>
      <c r="AO45" s="378">
        <v>0.13300000000000001</v>
      </c>
      <c r="AP45" s="238"/>
      <c r="AQ45" s="353">
        <v>-2.9387988651406713</v>
      </c>
      <c r="AR45" s="379">
        <v>-2.4937988651406715</v>
      </c>
      <c r="AS45" s="238"/>
      <c r="AT45" s="456">
        <v>7.4999999999999997E-3</v>
      </c>
      <c r="AU45" s="238"/>
      <c r="AV45" s="353">
        <v>4.0000000000000001E-3</v>
      </c>
      <c r="AW45" s="425">
        <v>1.7500000000000002E-2</v>
      </c>
      <c r="AX45" s="354">
        <v>0.01</v>
      </c>
      <c r="AY45" s="354"/>
      <c r="AZ45" s="488">
        <v>1.34</v>
      </c>
      <c r="BA45" s="488">
        <v>1.2</v>
      </c>
      <c r="BB45" s="433">
        <v>-0.44500000000000001</v>
      </c>
      <c r="BC45" s="428"/>
      <c r="BD45" s="355">
        <v>3.3165000000000004</v>
      </c>
      <c r="BE45" s="238">
        <v>2.7167083502137204</v>
      </c>
      <c r="BF45" s="319"/>
      <c r="BG45" s="238">
        <v>1.0900000000000001</v>
      </c>
      <c r="BH45" s="293"/>
      <c r="BI45" s="293"/>
      <c r="BJ45" s="238"/>
      <c r="BK45" s="319"/>
      <c r="BL45" s="238"/>
      <c r="BM45" s="238"/>
      <c r="BN45" s="256"/>
      <c r="BO45" s="256"/>
      <c r="BP45" s="293"/>
      <c r="BQ45" s="238"/>
      <c r="BR45" s="293"/>
      <c r="BS45" s="238"/>
      <c r="BT45" s="238"/>
      <c r="BU45" s="238"/>
      <c r="BV45" s="238"/>
      <c r="BW45" s="238"/>
      <c r="BX45" s="238"/>
      <c r="BY45" s="238"/>
      <c r="BZ45" s="238"/>
      <c r="CA45" s="238"/>
      <c r="CB45" s="238"/>
      <c r="CC45" s="238"/>
      <c r="CD45" s="238"/>
      <c r="CE45" s="238"/>
      <c r="CF45" s="238"/>
      <c r="CG45" s="238"/>
    </row>
    <row r="46" spans="1:85">
      <c r="A46" s="356">
        <v>37316</v>
      </c>
      <c r="B46" s="461">
        <v>3.0870000000000002</v>
      </c>
      <c r="C46" s="493">
        <v>-0.44500000000000001</v>
      </c>
      <c r="D46" s="359">
        <v>-0.33666867572371251</v>
      </c>
      <c r="E46" s="359">
        <v>-0.27573230581830099</v>
      </c>
      <c r="F46" s="469">
        <v>0.22500000000000001</v>
      </c>
      <c r="G46" s="470">
        <v>0.36499999999999999</v>
      </c>
      <c r="H46" s="470">
        <v>0.38</v>
      </c>
      <c r="I46" s="471">
        <v>0.51</v>
      </c>
      <c r="J46" s="470">
        <v>0.125</v>
      </c>
      <c r="K46" s="470">
        <v>0.16500000000000001</v>
      </c>
      <c r="L46" s="470">
        <v>0.66</v>
      </c>
      <c r="M46" s="469">
        <v>-0.39750000000000002</v>
      </c>
      <c r="N46" s="470">
        <v>0.105</v>
      </c>
      <c r="O46" s="471">
        <v>0.09</v>
      </c>
      <c r="P46" s="491">
        <v>-0.2</v>
      </c>
      <c r="Q46" s="388">
        <v>0.53</v>
      </c>
      <c r="R46" s="475">
        <v>0.51249999999999996</v>
      </c>
      <c r="S46" s="365">
        <v>0.61250000000000004</v>
      </c>
      <c r="T46" s="274">
        <v>0.74</v>
      </c>
      <c r="U46" s="464">
        <v>0.51249999999999996</v>
      </c>
      <c r="V46" s="225">
        <v>2.6420000000000003</v>
      </c>
      <c r="W46" s="225">
        <v>2.7503313242762877</v>
      </c>
      <c r="X46" s="368">
        <v>2.8112676941816992</v>
      </c>
      <c r="Y46" s="226"/>
      <c r="Z46" s="465">
        <v>0.16</v>
      </c>
      <c r="AA46" s="481">
        <v>0.25</v>
      </c>
      <c r="AB46" s="487">
        <v>3.9021031342873518</v>
      </c>
      <c r="AC46" s="312">
        <v>4.0621031342873515</v>
      </c>
      <c r="AD46" s="368">
        <v>4.1521031342873513</v>
      </c>
      <c r="AE46" s="418">
        <v>2.887</v>
      </c>
      <c r="AF46" s="373">
        <v>2.6895000000000002</v>
      </c>
      <c r="AG46" s="374">
        <v>3.177</v>
      </c>
      <c r="AH46" s="423">
        <v>-0.25</v>
      </c>
      <c r="AI46" s="467">
        <v>1.55826545210018</v>
      </c>
      <c r="AJ46" s="478">
        <v>3.82918146104902E-2</v>
      </c>
      <c r="AK46" s="478">
        <v>3.5909165997432005E-2</v>
      </c>
      <c r="AL46" s="354">
        <v>0.9817871012502688</v>
      </c>
      <c r="AM46" s="377">
        <v>0.98290068820808141</v>
      </c>
      <c r="AN46" s="353">
        <v>0.375</v>
      </c>
      <c r="AO46" s="378">
        <v>0.12</v>
      </c>
      <c r="AP46" s="238"/>
      <c r="AQ46" s="353">
        <v>-2.8688030575633596</v>
      </c>
      <c r="AR46" s="379">
        <v>-2.4238030575633598</v>
      </c>
      <c r="AS46" s="238"/>
      <c r="AT46" s="456">
        <v>7.4999999999999997E-3</v>
      </c>
      <c r="AU46" s="238"/>
      <c r="AV46" s="353">
        <v>4.0000000000000001E-3</v>
      </c>
      <c r="AW46" s="425">
        <v>1.7500000000000002E-2</v>
      </c>
      <c r="AX46" s="354">
        <v>-5.0000000000000001E-3</v>
      </c>
      <c r="AY46" s="354"/>
      <c r="AZ46" s="488">
        <v>1.0900000000000001</v>
      </c>
      <c r="BA46" s="488">
        <v>0.95</v>
      </c>
      <c r="BB46" s="433">
        <v>-0.44500000000000001</v>
      </c>
      <c r="BC46" s="428"/>
      <c r="BD46" s="355">
        <v>3.2295000000000003</v>
      </c>
      <c r="BE46" s="238">
        <v>2.6447082831069073</v>
      </c>
      <c r="BF46" s="319"/>
      <c r="BG46" s="238">
        <v>0.74</v>
      </c>
      <c r="BH46" s="293"/>
      <c r="BI46" s="293"/>
      <c r="BJ46" s="238"/>
      <c r="BK46" s="319"/>
      <c r="BL46" s="238"/>
      <c r="BM46" s="238"/>
      <c r="BN46" s="256"/>
      <c r="BO46" s="256"/>
      <c r="BP46" s="293"/>
      <c r="BQ46" s="238"/>
      <c r="BR46" s="293"/>
      <c r="BS46" s="238"/>
      <c r="BT46" s="238"/>
      <c r="BU46" s="238"/>
      <c r="BV46" s="238"/>
      <c r="BW46" s="238"/>
      <c r="BX46" s="238"/>
      <c r="BY46" s="238"/>
      <c r="BZ46" s="238"/>
      <c r="CA46" s="238"/>
      <c r="CB46" s="238"/>
      <c r="CC46" s="238"/>
      <c r="CD46" s="238"/>
      <c r="CE46" s="238"/>
      <c r="CF46" s="238"/>
      <c r="CG46" s="238"/>
    </row>
    <row r="47" spans="1:85" ht="13.5" customHeight="1">
      <c r="A47" s="356">
        <v>37347</v>
      </c>
      <c r="B47" s="461">
        <v>2.992</v>
      </c>
      <c r="C47" s="484">
        <v>-0.45500000000000002</v>
      </c>
      <c r="D47" s="359">
        <v>-0.3551346453899531</v>
      </c>
      <c r="E47" s="359">
        <v>-0.38052414232471099</v>
      </c>
      <c r="F47" s="469">
        <v>0.11</v>
      </c>
      <c r="G47" s="470">
        <v>0.105</v>
      </c>
      <c r="H47" s="470">
        <v>0.155</v>
      </c>
      <c r="I47" s="471">
        <v>0.105</v>
      </c>
      <c r="J47" s="470">
        <v>2.5000000000000001E-2</v>
      </c>
      <c r="K47" s="470">
        <v>0.115</v>
      </c>
      <c r="L47" s="470">
        <v>0.4</v>
      </c>
      <c r="M47" s="469">
        <v>-0.56000000000000005</v>
      </c>
      <c r="N47" s="470">
        <v>0.08</v>
      </c>
      <c r="O47" s="471">
        <v>-0.04</v>
      </c>
      <c r="P47" s="485">
        <v>-0.3</v>
      </c>
      <c r="Q47" s="388">
        <v>0.48749999999999999</v>
      </c>
      <c r="R47" s="475">
        <v>0.47249999999999998</v>
      </c>
      <c r="S47" s="365">
        <v>0.47249999999999998</v>
      </c>
      <c r="T47" s="274">
        <v>0.48</v>
      </c>
      <c r="U47" s="464">
        <v>0.47249999999999998</v>
      </c>
      <c r="V47" s="225">
        <v>2.5369999999999999</v>
      </c>
      <c r="W47" s="225">
        <v>2.6368653546100469</v>
      </c>
      <c r="X47" s="368">
        <v>2.611475857675289</v>
      </c>
      <c r="Y47" s="226"/>
      <c r="Z47" s="465">
        <v>0.14749999999999999</v>
      </c>
      <c r="AA47" s="481">
        <v>0.11</v>
      </c>
      <c r="AB47" s="487">
        <v>3.7471203247732832</v>
      </c>
      <c r="AC47" s="312">
        <v>3.8946203247732831</v>
      </c>
      <c r="AD47" s="368">
        <v>3.857120324773283</v>
      </c>
      <c r="AE47" s="418">
        <v>2.6920000000000002</v>
      </c>
      <c r="AF47" s="373">
        <v>2.4319999999999999</v>
      </c>
      <c r="AG47" s="374">
        <v>2.952</v>
      </c>
      <c r="AH47" s="423">
        <v>-0.37</v>
      </c>
      <c r="AI47" s="467">
        <v>1.5583057869034298</v>
      </c>
      <c r="AJ47" s="478">
        <v>3.8093500742100203E-2</v>
      </c>
      <c r="AK47" s="478">
        <v>3.6019707170895199E-2</v>
      </c>
      <c r="AL47" s="354">
        <v>0.97874003559722733</v>
      </c>
      <c r="AM47" s="377">
        <v>0.97987552929343569</v>
      </c>
      <c r="AN47" s="353">
        <v>0.105</v>
      </c>
      <c r="AO47" s="378">
        <v>0.124</v>
      </c>
      <c r="AP47" s="238"/>
      <c r="AQ47" s="353">
        <v>-2.8705552722867549</v>
      </c>
      <c r="AR47" s="379">
        <v>-2.4155552722867548</v>
      </c>
      <c r="AS47" s="238"/>
      <c r="AT47" s="456">
        <v>7.4999999999999997E-3</v>
      </c>
      <c r="AU47" s="238"/>
      <c r="AV47" s="353">
        <v>2E-3</v>
      </c>
      <c r="AW47" s="425">
        <v>0</v>
      </c>
      <c r="AX47" s="354">
        <v>-0.09</v>
      </c>
      <c r="AY47" s="354"/>
      <c r="AZ47" s="488">
        <v>0.68</v>
      </c>
      <c r="BA47" s="488">
        <v>0.4</v>
      </c>
      <c r="BB47" s="433">
        <v>-0.45500000000000002</v>
      </c>
      <c r="BC47" s="428"/>
      <c r="BD47" s="355">
        <v>3.0169999999999999</v>
      </c>
      <c r="BE47" s="238">
        <v>2.5383541065031872</v>
      </c>
      <c r="BF47" s="319"/>
      <c r="BG47" s="238">
        <v>0.53</v>
      </c>
      <c r="BH47" s="293"/>
      <c r="BI47" s="293"/>
      <c r="BJ47" s="238"/>
      <c r="BK47" s="319"/>
      <c r="BL47" s="238"/>
      <c r="BM47" s="238"/>
      <c r="BN47" s="256"/>
      <c r="BO47" s="256"/>
      <c r="BP47" s="293"/>
      <c r="BQ47" s="238"/>
      <c r="BR47" s="293"/>
      <c r="BS47" s="238"/>
      <c r="BT47" s="238"/>
      <c r="BU47" s="238"/>
      <c r="BV47" s="238"/>
      <c r="BW47" s="238"/>
      <c r="BX47" s="238"/>
      <c r="BY47" s="238"/>
      <c r="BZ47" s="238"/>
      <c r="CA47" s="238"/>
      <c r="CB47" s="238"/>
      <c r="CC47" s="238"/>
      <c r="CD47" s="238"/>
      <c r="CE47" s="238"/>
      <c r="CF47" s="238"/>
      <c r="CG47" s="238"/>
    </row>
    <row r="48" spans="1:85">
      <c r="A48" s="356">
        <v>37377</v>
      </c>
      <c r="B48" s="461">
        <v>3.012</v>
      </c>
      <c r="C48" s="489">
        <v>-0.45500000000000002</v>
      </c>
      <c r="D48" s="359">
        <v>-0.35514117906148579</v>
      </c>
      <c r="E48" s="359">
        <v>-0.38052901489331159</v>
      </c>
      <c r="F48" s="469">
        <v>0.11</v>
      </c>
      <c r="G48" s="470">
        <v>0.105</v>
      </c>
      <c r="H48" s="470">
        <v>0.155</v>
      </c>
      <c r="I48" s="471">
        <v>0.105</v>
      </c>
      <c r="J48" s="470">
        <v>2.5000000000000001E-2</v>
      </c>
      <c r="K48" s="470">
        <v>0.115</v>
      </c>
      <c r="L48" s="470">
        <v>0.35</v>
      </c>
      <c r="M48" s="469">
        <v>-0.56000000000000005</v>
      </c>
      <c r="N48" s="470">
        <v>0.08</v>
      </c>
      <c r="O48" s="471">
        <v>-0.04</v>
      </c>
      <c r="P48" s="419">
        <v>-0.3</v>
      </c>
      <c r="Q48" s="388">
        <v>0.46</v>
      </c>
      <c r="R48" s="475">
        <v>0.4425</v>
      </c>
      <c r="S48" s="365">
        <v>0.4425</v>
      </c>
      <c r="T48" s="274">
        <v>0.53</v>
      </c>
      <c r="U48" s="464">
        <v>0.4425</v>
      </c>
      <c r="V48" s="225">
        <v>2.5569999999999999</v>
      </c>
      <c r="W48" s="225">
        <v>2.6568588209385142</v>
      </c>
      <c r="X48" s="368">
        <v>2.6314709851066884</v>
      </c>
      <c r="Y48" s="226"/>
      <c r="Z48" s="465">
        <v>0.14749999999999999</v>
      </c>
      <c r="AA48" s="481">
        <v>0.11</v>
      </c>
      <c r="AB48" s="487">
        <v>3.7769072021411749</v>
      </c>
      <c r="AC48" s="312">
        <v>3.9244072021411749</v>
      </c>
      <c r="AD48" s="368">
        <v>3.8869072021411748</v>
      </c>
      <c r="AE48" s="418">
        <v>2.7120000000000002</v>
      </c>
      <c r="AF48" s="373">
        <v>2.452</v>
      </c>
      <c r="AG48" s="374">
        <v>2.972</v>
      </c>
      <c r="AH48" s="423">
        <v>-0.37</v>
      </c>
      <c r="AI48" s="467">
        <v>1.5584077454291199</v>
      </c>
      <c r="AJ48" s="478">
        <v>3.8092986950266597E-2</v>
      </c>
      <c r="AK48" s="478">
        <v>3.6178252878011505E-2</v>
      </c>
      <c r="AL48" s="354">
        <v>0.97571153994953308</v>
      </c>
      <c r="AM48" s="377">
        <v>0.97690743409054093</v>
      </c>
      <c r="AN48" s="353">
        <v>0.105</v>
      </c>
      <c r="AO48" s="378">
        <v>0.12</v>
      </c>
      <c r="AP48" s="238"/>
      <c r="AQ48" s="353">
        <v>-2.8905601428186842</v>
      </c>
      <c r="AR48" s="379">
        <v>-2.4355601428186842</v>
      </c>
      <c r="AS48" s="238"/>
      <c r="AT48" s="456">
        <v>7.4999999999999997E-3</v>
      </c>
      <c r="AU48" s="238"/>
      <c r="AV48" s="353">
        <v>2E-3</v>
      </c>
      <c r="AW48" s="425">
        <v>0</v>
      </c>
      <c r="AX48" s="354">
        <v>-0.09</v>
      </c>
      <c r="AY48" s="354"/>
      <c r="AZ48" s="488">
        <v>0.73</v>
      </c>
      <c r="BA48" s="488">
        <v>0.45</v>
      </c>
      <c r="BB48" s="433">
        <v>-0.45500000000000002</v>
      </c>
      <c r="BC48" s="428"/>
      <c r="BD48" s="355">
        <v>3.0369999999999999</v>
      </c>
      <c r="BE48" s="238">
        <v>2.5583540179110305</v>
      </c>
      <c r="BF48" s="319"/>
      <c r="BG48" s="238">
        <v>0.57999999999999996</v>
      </c>
      <c r="BH48" s="293"/>
      <c r="BI48" s="293"/>
      <c r="BJ48" s="238"/>
      <c r="BK48" s="319"/>
      <c r="BL48" s="238"/>
      <c r="BM48" s="238"/>
      <c r="BN48" s="256"/>
      <c r="BO48" s="256"/>
      <c r="BP48" s="293"/>
      <c r="BQ48" s="238"/>
      <c r="BR48" s="293"/>
      <c r="BS48" s="238"/>
      <c r="BT48" s="238"/>
      <c r="BU48" s="238"/>
      <c r="BV48" s="238"/>
      <c r="BW48" s="238"/>
      <c r="BX48" s="238"/>
      <c r="BY48" s="238"/>
      <c r="BZ48" s="238"/>
      <c r="CA48" s="238"/>
      <c r="CB48" s="238"/>
      <c r="CC48" s="238"/>
      <c r="CD48" s="238"/>
      <c r="CE48" s="238"/>
      <c r="CF48" s="238"/>
      <c r="CG48" s="238"/>
    </row>
    <row r="49" spans="1:85">
      <c r="A49" s="356">
        <v>37408</v>
      </c>
      <c r="B49" s="461">
        <v>3.0489999999999999</v>
      </c>
      <c r="C49" s="489">
        <v>-0.45500000000000002</v>
      </c>
      <c r="D49" s="359">
        <v>-0.35514523865416248</v>
      </c>
      <c r="E49" s="359">
        <v>-0.38053204238615512</v>
      </c>
      <c r="F49" s="469">
        <v>0.11</v>
      </c>
      <c r="G49" s="470">
        <v>0.105</v>
      </c>
      <c r="H49" s="470">
        <v>0.155</v>
      </c>
      <c r="I49" s="471">
        <v>0.105</v>
      </c>
      <c r="J49" s="470">
        <v>2.5000000000000001E-2</v>
      </c>
      <c r="K49" s="470">
        <v>0.115</v>
      </c>
      <c r="L49" s="470">
        <v>0.35</v>
      </c>
      <c r="M49" s="469">
        <v>-0.56000000000000005</v>
      </c>
      <c r="N49" s="470">
        <v>0.15</v>
      </c>
      <c r="O49" s="471">
        <v>0.03</v>
      </c>
      <c r="P49" s="419">
        <v>-0.3</v>
      </c>
      <c r="Q49" s="388">
        <v>0.4375</v>
      </c>
      <c r="R49" s="475">
        <v>0.41749999999999998</v>
      </c>
      <c r="S49" s="365">
        <v>0.41749999999999998</v>
      </c>
      <c r="T49" s="274">
        <v>0.53</v>
      </c>
      <c r="U49" s="464">
        <v>0.41749999999999998</v>
      </c>
      <c r="V49" s="225">
        <v>2.5939999999999999</v>
      </c>
      <c r="W49" s="225">
        <v>2.6938547613458375</v>
      </c>
      <c r="X49" s="368">
        <v>2.6684679576138448</v>
      </c>
      <c r="Y49" s="490" t="s">
        <v>242</v>
      </c>
      <c r="Z49" s="465">
        <v>0.14749999999999999</v>
      </c>
      <c r="AA49" s="481">
        <v>0.11</v>
      </c>
      <c r="AB49" s="487">
        <v>3.8317151314883229</v>
      </c>
      <c r="AC49" s="312">
        <v>3.9792151314883228</v>
      </c>
      <c r="AD49" s="368">
        <v>3.9417151314883228</v>
      </c>
      <c r="AE49" s="418">
        <v>2.7490000000000001</v>
      </c>
      <c r="AF49" s="373">
        <v>2.4889999999999999</v>
      </c>
      <c r="AG49" s="374">
        <v>3.0789999999999997</v>
      </c>
      <c r="AH49" s="423">
        <v>-0.37</v>
      </c>
      <c r="AI49" s="467">
        <v>1.55847110245472</v>
      </c>
      <c r="AJ49" s="478">
        <v>3.8092456032038598E-2</v>
      </c>
      <c r="AK49" s="478">
        <v>3.6342083450908697E-2</v>
      </c>
      <c r="AL49" s="354">
        <v>0.97259202350437901</v>
      </c>
      <c r="AM49" s="377">
        <v>0.9738236833341043</v>
      </c>
      <c r="AN49" s="353">
        <v>0.105</v>
      </c>
      <c r="AO49" s="378">
        <v>0.124</v>
      </c>
      <c r="AP49" s="238"/>
      <c r="AQ49" s="353">
        <v>-2.9305631690460743</v>
      </c>
      <c r="AR49" s="379">
        <v>-2.4755631690460742</v>
      </c>
      <c r="AS49" s="238"/>
      <c r="AT49" s="456">
        <v>7.4999999999999997E-3</v>
      </c>
      <c r="AU49" s="238"/>
      <c r="AV49" s="353">
        <v>2E-3</v>
      </c>
      <c r="AW49" s="425">
        <v>0</v>
      </c>
      <c r="AX49" s="354">
        <v>-0.09</v>
      </c>
      <c r="AY49" s="354"/>
      <c r="AZ49" s="488">
        <v>0.73</v>
      </c>
      <c r="BA49" s="488">
        <v>0.45</v>
      </c>
      <c r="BB49" s="433">
        <v>-0.45500000000000002</v>
      </c>
      <c r="BC49" s="428"/>
      <c r="BD49" s="355">
        <v>3.0739999999999998</v>
      </c>
      <c r="BE49" s="238">
        <v>2.5953539628657061</v>
      </c>
      <c r="BF49" s="319"/>
      <c r="BG49" s="238">
        <v>0.57999999999999996</v>
      </c>
      <c r="BH49" s="293"/>
      <c r="BI49" s="293"/>
      <c r="BJ49" s="238"/>
      <c r="BK49" s="319"/>
      <c r="BL49" s="238"/>
      <c r="BM49" s="238"/>
      <c r="BN49" s="256"/>
      <c r="BO49" s="256"/>
      <c r="BP49" s="293"/>
      <c r="BQ49" s="238"/>
      <c r="BR49" s="293"/>
      <c r="BS49" s="238"/>
      <c r="BT49" s="238"/>
      <c r="BU49" s="238"/>
      <c r="BV49" s="238"/>
      <c r="BW49" s="238"/>
      <c r="BX49" s="238"/>
      <c r="BY49" s="238"/>
      <c r="BZ49" s="238"/>
      <c r="CA49" s="238"/>
      <c r="CB49" s="238"/>
      <c r="CC49" s="238"/>
      <c r="CD49" s="238"/>
      <c r="CE49" s="238"/>
      <c r="CF49" s="238"/>
      <c r="CG49" s="238"/>
    </row>
    <row r="50" spans="1:85">
      <c r="A50" s="356">
        <v>37438</v>
      </c>
      <c r="B50" s="461">
        <v>3.0910000000000002</v>
      </c>
      <c r="C50" s="489">
        <v>-0.45500000000000002</v>
      </c>
      <c r="D50" s="359">
        <v>-0.3551501688849461</v>
      </c>
      <c r="E50" s="359">
        <v>-0.38053571916843376</v>
      </c>
      <c r="F50" s="469">
        <v>0.11</v>
      </c>
      <c r="G50" s="470">
        <v>0.105</v>
      </c>
      <c r="H50" s="470">
        <v>0.155</v>
      </c>
      <c r="I50" s="471">
        <v>0.105</v>
      </c>
      <c r="J50" s="470">
        <v>2.5000000000000001E-2</v>
      </c>
      <c r="K50" s="470">
        <v>0.115</v>
      </c>
      <c r="L50" s="470">
        <v>0.41</v>
      </c>
      <c r="M50" s="469">
        <v>-0.56000000000000005</v>
      </c>
      <c r="N50" s="470">
        <v>0.28999999999999998</v>
      </c>
      <c r="O50" s="471">
        <v>0.1</v>
      </c>
      <c r="P50" s="419">
        <v>-0.3</v>
      </c>
      <c r="Q50" s="388">
        <v>0.44</v>
      </c>
      <c r="R50" s="475">
        <v>0.41499999999999998</v>
      </c>
      <c r="S50" s="365">
        <v>0.41499999999999998</v>
      </c>
      <c r="T50" s="274">
        <v>0.57999999999999996</v>
      </c>
      <c r="U50" s="464">
        <v>0.41499999999999998</v>
      </c>
      <c r="V50" s="225">
        <v>2.6360000000000001</v>
      </c>
      <c r="W50" s="225">
        <v>2.7358498311150541</v>
      </c>
      <c r="X50" s="368">
        <v>2.7104642808315664</v>
      </c>
      <c r="Y50" s="415">
        <v>4.1970708340126563</v>
      </c>
      <c r="Z50" s="465">
        <v>0.14749999999999999</v>
      </c>
      <c r="AA50" s="481">
        <v>0.11</v>
      </c>
      <c r="AB50" s="487">
        <v>3.8939474975374315</v>
      </c>
      <c r="AC50" s="312">
        <v>4.0414474975374315</v>
      </c>
      <c r="AD50" s="368">
        <v>4.0039474975374318</v>
      </c>
      <c r="AE50" s="418">
        <v>2.7910000000000004</v>
      </c>
      <c r="AF50" s="373">
        <v>2.5310000000000001</v>
      </c>
      <c r="AG50" s="374">
        <v>3.1910000000000003</v>
      </c>
      <c r="AH50" s="423">
        <v>-0.37</v>
      </c>
      <c r="AI50" s="467">
        <v>1.5585480542343899</v>
      </c>
      <c r="AJ50" s="478">
        <v>3.8195461504292101E-2</v>
      </c>
      <c r="AK50" s="478">
        <v>3.6559145260882005E-2</v>
      </c>
      <c r="AL50" s="354">
        <v>0.96950209084982297</v>
      </c>
      <c r="AM50" s="377">
        <v>0.97077776888542511</v>
      </c>
      <c r="AN50" s="353">
        <v>0.105</v>
      </c>
      <c r="AO50" s="378">
        <v>0.12</v>
      </c>
      <c r="AP50" s="238"/>
      <c r="AQ50" s="353">
        <v>-2.974566844291505</v>
      </c>
      <c r="AR50" s="379">
        <v>-2.5195668442915049</v>
      </c>
      <c r="AS50" s="238"/>
      <c r="AT50" s="456">
        <v>7.4999999999999997E-3</v>
      </c>
      <c r="AU50" s="238"/>
      <c r="AV50" s="353">
        <v>2E-3</v>
      </c>
      <c r="AW50" s="425">
        <v>0</v>
      </c>
      <c r="AX50" s="354">
        <v>-0.09</v>
      </c>
      <c r="AY50" s="354"/>
      <c r="AZ50" s="488">
        <v>0.78</v>
      </c>
      <c r="BA50" s="488">
        <v>0.5</v>
      </c>
      <c r="BB50" s="433">
        <v>-0.45500000000000002</v>
      </c>
      <c r="BC50" s="428"/>
      <c r="BD50" s="355">
        <v>3.1160000000000001</v>
      </c>
      <c r="BE50" s="238">
        <v>2.6373538960151195</v>
      </c>
      <c r="BF50" s="319"/>
      <c r="BG50" s="238">
        <v>0.63</v>
      </c>
      <c r="BH50" s="293"/>
      <c r="BI50" s="293"/>
      <c r="BJ50" s="238"/>
      <c r="BK50" s="319"/>
      <c r="BL50" s="238"/>
      <c r="BM50" s="238"/>
      <c r="BN50" s="256"/>
      <c r="BO50" s="256"/>
      <c r="BP50" s="293"/>
      <c r="BQ50" s="238"/>
      <c r="BR50" s="293"/>
      <c r="BS50" s="238"/>
      <c r="BT50" s="238"/>
      <c r="BU50" s="238"/>
      <c r="BV50" s="238"/>
      <c r="BW50" s="238"/>
      <c r="BX50" s="238"/>
      <c r="BY50" s="238"/>
      <c r="BZ50" s="238"/>
      <c r="CA50" s="238"/>
      <c r="CB50" s="238"/>
      <c r="CC50" s="238"/>
      <c r="CD50" s="238"/>
      <c r="CE50" s="238"/>
      <c r="CF50" s="238"/>
      <c r="CG50" s="238"/>
    </row>
    <row r="51" spans="1:85">
      <c r="A51" s="356">
        <v>37469</v>
      </c>
      <c r="B51" s="461">
        <v>3.1280000000000001</v>
      </c>
      <c r="C51" s="489">
        <v>-0.45500000000000002</v>
      </c>
      <c r="D51" s="359">
        <v>-0.3551562367451071</v>
      </c>
      <c r="E51" s="359">
        <v>-0.38054024435228362</v>
      </c>
      <c r="F51" s="469">
        <v>0.11</v>
      </c>
      <c r="G51" s="470">
        <v>0.105</v>
      </c>
      <c r="H51" s="470">
        <v>0.155</v>
      </c>
      <c r="I51" s="471">
        <v>0.105</v>
      </c>
      <c r="J51" s="470">
        <v>2.5000000000000001E-2</v>
      </c>
      <c r="K51" s="470">
        <v>0.115</v>
      </c>
      <c r="L51" s="470">
        <v>0.41</v>
      </c>
      <c r="M51" s="469">
        <v>-0.56000000000000005</v>
      </c>
      <c r="N51" s="470">
        <v>0.28999999999999998</v>
      </c>
      <c r="O51" s="471">
        <v>0.1</v>
      </c>
      <c r="P51" s="419">
        <v>-0.3</v>
      </c>
      <c r="Q51" s="388">
        <v>0.44500000000000001</v>
      </c>
      <c r="R51" s="475">
        <v>0.41499999999999998</v>
      </c>
      <c r="S51" s="365">
        <v>0.41499999999999998</v>
      </c>
      <c r="T51" s="274">
        <v>0.63</v>
      </c>
      <c r="U51" s="494">
        <v>0.41499999999999998</v>
      </c>
      <c r="V51" s="225">
        <v>2.673</v>
      </c>
      <c r="W51" s="225">
        <v>2.772843763254893</v>
      </c>
      <c r="X51" s="368">
        <v>2.7474597556477165</v>
      </c>
      <c r="Y51" s="415">
        <v>4.4146374185157145</v>
      </c>
      <c r="Z51" s="465">
        <v>0.14749999999999999</v>
      </c>
      <c r="AA51" s="481">
        <v>0.11</v>
      </c>
      <c r="AB51" s="487">
        <v>3.9488445461883042</v>
      </c>
      <c r="AC51" s="312">
        <v>4.0963445461883046</v>
      </c>
      <c r="AD51" s="368">
        <v>4.058844546188304</v>
      </c>
      <c r="AE51" s="418">
        <v>2.8280000000000003</v>
      </c>
      <c r="AF51" s="373">
        <v>2.5680000000000001</v>
      </c>
      <c r="AG51" s="374">
        <v>3.2280000000000002</v>
      </c>
      <c r="AH51" s="423">
        <v>-0.37</v>
      </c>
      <c r="AI51" s="467">
        <v>1.55864277273597</v>
      </c>
      <c r="AJ51" s="478">
        <v>3.8429854894772603E-2</v>
      </c>
      <c r="AK51" s="478">
        <v>3.68785221133483E-2</v>
      </c>
      <c r="AL51" s="354">
        <v>0.96619302066817858</v>
      </c>
      <c r="AM51" s="377">
        <v>0.96752314084959046</v>
      </c>
      <c r="AN51" s="353">
        <v>0.105</v>
      </c>
      <c r="AO51" s="378">
        <v>0.12</v>
      </c>
      <c r="AP51" s="238"/>
      <c r="AQ51" s="353">
        <v>-3.0195713675838851</v>
      </c>
      <c r="AR51" s="379">
        <v>-2.564571367583885</v>
      </c>
      <c r="AS51" s="238"/>
      <c r="AT51" s="456">
        <v>7.4999999999999997E-3</v>
      </c>
      <c r="AU51" s="238"/>
      <c r="AV51" s="353">
        <v>2E-3</v>
      </c>
      <c r="AW51" s="425">
        <v>0</v>
      </c>
      <c r="AX51" s="354">
        <v>-0.09</v>
      </c>
      <c r="AY51" s="354"/>
      <c r="AZ51" s="488">
        <v>0.83</v>
      </c>
      <c r="BA51" s="488">
        <v>0.55000000000000004</v>
      </c>
      <c r="BB51" s="433">
        <v>-0.45500000000000002</v>
      </c>
      <c r="BC51" s="428"/>
      <c r="BD51" s="355">
        <v>3.153</v>
      </c>
      <c r="BE51" s="238">
        <v>2.6743538137390495</v>
      </c>
      <c r="BF51" s="319"/>
      <c r="BG51" s="238">
        <v>0.68</v>
      </c>
      <c r="BH51" s="293"/>
      <c r="BI51" s="293"/>
      <c r="BJ51" s="238"/>
      <c r="BK51" s="319"/>
      <c r="BL51" s="238"/>
      <c r="BM51" s="238"/>
      <c r="BN51" s="256"/>
      <c r="BO51" s="256"/>
      <c r="BP51" s="293"/>
      <c r="BQ51" s="238"/>
      <c r="BR51" s="293"/>
      <c r="BS51" s="238"/>
      <c r="BT51" s="238"/>
      <c r="BU51" s="238"/>
      <c r="BV51" s="238"/>
      <c r="BW51" s="238"/>
      <c r="BX51" s="238"/>
      <c r="BY51" s="238"/>
      <c r="BZ51" s="238"/>
      <c r="CA51" s="238"/>
      <c r="CB51" s="238"/>
      <c r="CC51" s="238"/>
      <c r="CD51" s="238"/>
      <c r="CE51" s="238"/>
      <c r="CF51" s="238"/>
      <c r="CG51" s="238"/>
    </row>
    <row r="52" spans="1:85">
      <c r="A52" s="356">
        <v>37500</v>
      </c>
      <c r="B52" s="461">
        <v>3.1280000000000001</v>
      </c>
      <c r="C52" s="489">
        <v>-0.45500000000000002</v>
      </c>
      <c r="D52" s="359">
        <v>-0.35516088915715782</v>
      </c>
      <c r="E52" s="359">
        <v>-0.38054371394771058</v>
      </c>
      <c r="F52" s="469">
        <v>0.11</v>
      </c>
      <c r="G52" s="470">
        <v>0.105</v>
      </c>
      <c r="H52" s="470">
        <v>0.155</v>
      </c>
      <c r="I52" s="471">
        <v>0.105</v>
      </c>
      <c r="J52" s="470">
        <v>2.5000000000000001E-2</v>
      </c>
      <c r="K52" s="470">
        <v>0.115</v>
      </c>
      <c r="L52" s="470">
        <v>0.37</v>
      </c>
      <c r="M52" s="469">
        <v>-0.56000000000000005</v>
      </c>
      <c r="N52" s="470">
        <v>0.28999999999999998</v>
      </c>
      <c r="O52" s="471">
        <v>0.1</v>
      </c>
      <c r="P52" s="419">
        <v>-0.3</v>
      </c>
      <c r="Q52" s="388">
        <v>0.44500000000000001</v>
      </c>
      <c r="R52" s="475">
        <v>0.41499999999999998</v>
      </c>
      <c r="S52" s="365">
        <v>0.41499999999999998</v>
      </c>
      <c r="T52" s="274">
        <v>0.63</v>
      </c>
      <c r="U52" s="494">
        <v>0.41499999999999998</v>
      </c>
      <c r="V52" s="225">
        <v>2.673</v>
      </c>
      <c r="W52" s="225">
        <v>2.7728391108428423</v>
      </c>
      <c r="X52" s="368">
        <v>2.7474562860522895</v>
      </c>
      <c r="Y52" s="415">
        <v>4.0416661307961865</v>
      </c>
      <c r="Z52" s="465">
        <v>0.14749999999999999</v>
      </c>
      <c r="AA52" s="481">
        <v>0.11</v>
      </c>
      <c r="AB52" s="487">
        <v>3.9490285587640983</v>
      </c>
      <c r="AC52" s="312">
        <v>4.0965285587640983</v>
      </c>
      <c r="AD52" s="368">
        <v>4.0590285587640986</v>
      </c>
      <c r="AE52" s="418">
        <v>2.8280000000000003</v>
      </c>
      <c r="AF52" s="373">
        <v>2.5680000000000001</v>
      </c>
      <c r="AG52" s="374">
        <v>3.2280000000000002</v>
      </c>
      <c r="AH52" s="423">
        <v>-0.37</v>
      </c>
      <c r="AI52" s="467">
        <v>1.5587154040760998</v>
      </c>
      <c r="AJ52" s="478">
        <v>3.8664248303701403E-2</v>
      </c>
      <c r="AK52" s="478">
        <v>3.7197899000089796E-2</v>
      </c>
      <c r="AL52" s="354">
        <v>0.96285767966736369</v>
      </c>
      <c r="AM52" s="377">
        <v>0.96422813827850606</v>
      </c>
      <c r="AN52" s="353">
        <v>0.105</v>
      </c>
      <c r="AO52" s="378">
        <v>0.124</v>
      </c>
      <c r="AP52" s="238"/>
      <c r="AQ52" s="353">
        <v>-3.0195748357290655</v>
      </c>
      <c r="AR52" s="379">
        <v>-2.5645748357290654</v>
      </c>
      <c r="AS52" s="238"/>
      <c r="AT52" s="456">
        <v>7.4999999999999997E-3</v>
      </c>
      <c r="AU52" s="238"/>
      <c r="AV52" s="353">
        <v>2E-3</v>
      </c>
      <c r="AW52" s="425">
        <v>0</v>
      </c>
      <c r="AX52" s="354">
        <v>-0.09</v>
      </c>
      <c r="AY52" s="354"/>
      <c r="AZ52" s="488">
        <v>0.83</v>
      </c>
      <c r="BA52" s="488">
        <v>0.55000000000000004</v>
      </c>
      <c r="BB52" s="433">
        <v>-0.45500000000000002</v>
      </c>
      <c r="BC52" s="428"/>
      <c r="BD52" s="355">
        <v>3.153</v>
      </c>
      <c r="BE52" s="238">
        <v>2.6743537506554964</v>
      </c>
      <c r="BF52" s="319"/>
      <c r="BG52" s="238">
        <v>0.68</v>
      </c>
      <c r="BH52" s="293"/>
      <c r="BI52" s="293"/>
      <c r="BJ52" s="238"/>
      <c r="BK52" s="319"/>
      <c r="BL52" s="238"/>
      <c r="BM52" s="238"/>
      <c r="BN52" s="256"/>
      <c r="BO52" s="256"/>
      <c r="BP52" s="293"/>
      <c r="BQ52" s="238"/>
      <c r="BR52" s="293"/>
      <c r="BS52" s="238"/>
      <c r="BT52" s="238"/>
      <c r="BU52" s="238"/>
      <c r="BV52" s="238"/>
      <c r="BW52" s="238"/>
      <c r="BX52" s="238"/>
      <c r="BY52" s="238"/>
      <c r="BZ52" s="238"/>
      <c r="CA52" s="238"/>
      <c r="CB52" s="238"/>
      <c r="CC52" s="238"/>
      <c r="CD52" s="238"/>
      <c r="CE52" s="238"/>
      <c r="CF52" s="238"/>
      <c r="CG52" s="238"/>
    </row>
    <row r="53" spans="1:85">
      <c r="A53" s="356">
        <v>37530</v>
      </c>
      <c r="B53" s="461">
        <v>3.1420000000000003</v>
      </c>
      <c r="C53" s="489">
        <v>-0.45500000000000002</v>
      </c>
      <c r="D53" s="359">
        <v>-0.35517062473635264</v>
      </c>
      <c r="E53" s="359">
        <v>-0.38055097437965291</v>
      </c>
      <c r="F53" s="469">
        <v>0.11</v>
      </c>
      <c r="G53" s="470">
        <v>0.105</v>
      </c>
      <c r="H53" s="470">
        <v>0.155</v>
      </c>
      <c r="I53" s="471">
        <v>0.105</v>
      </c>
      <c r="J53" s="470">
        <v>2.5000000000000001E-2</v>
      </c>
      <c r="K53" s="470">
        <v>0.115</v>
      </c>
      <c r="L53" s="470">
        <v>0.38</v>
      </c>
      <c r="M53" s="469">
        <v>-0.56000000000000005</v>
      </c>
      <c r="N53" s="470">
        <v>0.11</v>
      </c>
      <c r="O53" s="471">
        <v>0.09</v>
      </c>
      <c r="P53" s="419">
        <v>-0.3</v>
      </c>
      <c r="Q53" s="388">
        <v>0.44</v>
      </c>
      <c r="R53" s="475">
        <v>0.41</v>
      </c>
      <c r="S53" s="365">
        <v>0.41</v>
      </c>
      <c r="T53" s="274">
        <v>0.68</v>
      </c>
      <c r="U53" s="494">
        <v>0.41</v>
      </c>
      <c r="V53" s="225">
        <v>2.6870000000000003</v>
      </c>
      <c r="W53" s="225">
        <v>2.7868293752636477</v>
      </c>
      <c r="X53" s="368">
        <v>2.7614490256203474</v>
      </c>
      <c r="Y53" s="318" t="s">
        <v>240</v>
      </c>
      <c r="Z53" s="465">
        <v>0.14749999999999999</v>
      </c>
      <c r="AA53" s="481">
        <v>0.11</v>
      </c>
      <c r="AB53" s="487">
        <v>3.9700989709020535</v>
      </c>
      <c r="AC53" s="312">
        <v>4.117598970902054</v>
      </c>
      <c r="AD53" s="368">
        <v>4.0800989709020534</v>
      </c>
      <c r="AE53" s="418">
        <v>2.8420000000000005</v>
      </c>
      <c r="AF53" s="373">
        <v>2.5820000000000003</v>
      </c>
      <c r="AG53" s="374">
        <v>3.2320000000000002</v>
      </c>
      <c r="AH53" s="423">
        <v>-0.36</v>
      </c>
      <c r="AI53" s="467">
        <v>1.55886741341423</v>
      </c>
      <c r="AJ53" s="478">
        <v>3.8999917374178801E-2</v>
      </c>
      <c r="AK53" s="478">
        <v>3.7553007590876805E-2</v>
      </c>
      <c r="AL53" s="354">
        <v>0.95949559167540244</v>
      </c>
      <c r="AM53" s="377">
        <v>0.9609549702392518</v>
      </c>
      <c r="AN53" s="353">
        <v>0.105</v>
      </c>
      <c r="AO53" s="378">
        <v>0.12</v>
      </c>
      <c r="AP53" s="238"/>
      <c r="AQ53" s="353">
        <v>-3.0335820931262396</v>
      </c>
      <c r="AR53" s="379">
        <v>-2.5785820931262395</v>
      </c>
      <c r="AS53" s="238"/>
      <c r="AT53" s="456">
        <v>7.4999999999999997E-3</v>
      </c>
      <c r="AU53" s="238"/>
      <c r="AV53" s="353">
        <v>2E-3</v>
      </c>
      <c r="AW53" s="425">
        <v>0</v>
      </c>
      <c r="AX53" s="354">
        <v>-0.09</v>
      </c>
      <c r="AY53" s="354"/>
      <c r="AZ53" s="488">
        <v>0.88</v>
      </c>
      <c r="BA53" s="488">
        <v>0.6</v>
      </c>
      <c r="BB53" s="433">
        <v>-0.45500000000000002</v>
      </c>
      <c r="BC53" s="428"/>
      <c r="BD53" s="355">
        <v>3.1670000000000003</v>
      </c>
      <c r="BE53" s="238">
        <v>2.6883536186476431</v>
      </c>
      <c r="BF53" s="319"/>
      <c r="BG53" s="238">
        <v>0.73</v>
      </c>
      <c r="BH53" s="293"/>
      <c r="BI53" s="293"/>
      <c r="BJ53" s="238"/>
      <c r="BK53" s="319"/>
      <c r="BL53" s="238"/>
      <c r="BM53" s="238"/>
      <c r="BN53" s="256"/>
      <c r="BO53" s="256"/>
      <c r="BP53" s="293"/>
      <c r="BQ53" s="238"/>
      <c r="BR53" s="293"/>
      <c r="BS53" s="238"/>
      <c r="BT53" s="238"/>
      <c r="BU53" s="238"/>
      <c r="BV53" s="238"/>
      <c r="BW53" s="238"/>
      <c r="BX53" s="238"/>
      <c r="BY53" s="238"/>
      <c r="BZ53" s="238"/>
      <c r="CA53" s="238"/>
      <c r="CB53" s="238"/>
      <c r="CC53" s="238"/>
      <c r="CD53" s="238"/>
      <c r="CE53" s="238"/>
      <c r="CF53" s="238"/>
      <c r="CG53" s="238"/>
    </row>
    <row r="54" spans="1:85">
      <c r="A54" s="460">
        <v>37561</v>
      </c>
      <c r="B54" s="461">
        <v>3.298</v>
      </c>
      <c r="C54" s="468">
        <v>-0.42499999999999999</v>
      </c>
      <c r="D54" s="359">
        <v>-0.33026268620716204</v>
      </c>
      <c r="E54" s="359">
        <v>-0.15</v>
      </c>
      <c r="F54" s="469">
        <v>0.19500000000000001</v>
      </c>
      <c r="G54" s="470">
        <v>0.33500000000000002</v>
      </c>
      <c r="H54" s="470">
        <v>0.35499999999999998</v>
      </c>
      <c r="I54" s="471">
        <v>0.48499999999999999</v>
      </c>
      <c r="J54" s="470">
        <v>0.1</v>
      </c>
      <c r="K54" s="470">
        <v>0.12</v>
      </c>
      <c r="L54" s="470">
        <v>0.57999999999999996</v>
      </c>
      <c r="M54" s="469">
        <v>-0.255</v>
      </c>
      <c r="N54" s="470">
        <v>0.2</v>
      </c>
      <c r="O54" s="471">
        <v>0.2</v>
      </c>
      <c r="P54" s="495">
        <v>7.0000000000000007E-2</v>
      </c>
      <c r="Q54" s="388">
        <v>0.45</v>
      </c>
      <c r="R54" s="475">
        <v>0.41499999999999998</v>
      </c>
      <c r="S54" s="365">
        <v>0.41499999999999998</v>
      </c>
      <c r="T54" s="274">
        <v>0.85</v>
      </c>
      <c r="U54" s="494">
        <v>0.41499999999999998</v>
      </c>
      <c r="V54" s="225">
        <v>2.8730000000000002</v>
      </c>
      <c r="W54" s="225">
        <v>2.967737313792838</v>
      </c>
      <c r="X54" s="368">
        <v>3.1480000000000001</v>
      </c>
      <c r="Y54" s="415"/>
      <c r="Z54" s="465">
        <v>0.14000000000000001</v>
      </c>
      <c r="AA54" s="481">
        <v>0.40638686551940761</v>
      </c>
      <c r="AB54" s="487">
        <v>4.2456344168627602</v>
      </c>
      <c r="AC54" s="312">
        <v>4.3856344168627599</v>
      </c>
      <c r="AD54" s="368">
        <v>4.6520212823821678</v>
      </c>
      <c r="AE54" s="418">
        <v>3.3679999999999999</v>
      </c>
      <c r="AF54" s="373">
        <v>3.0430000000000001</v>
      </c>
      <c r="AG54" s="374">
        <v>3.4980000000000002</v>
      </c>
      <c r="AH54" s="423">
        <v>-0.18</v>
      </c>
      <c r="AI54" s="467">
        <v>1.5591305483179798</v>
      </c>
      <c r="AJ54" s="478">
        <v>3.9475306459110897E-2</v>
      </c>
      <c r="AK54" s="478">
        <v>3.7985472106488498E-2</v>
      </c>
      <c r="AL54" s="354">
        <v>0.95584029389690517</v>
      </c>
      <c r="AM54" s="377">
        <v>0.95745570287690429</v>
      </c>
      <c r="AN54" s="353">
        <v>0.34499999999999997</v>
      </c>
      <c r="AO54" s="378">
        <v>0.124</v>
      </c>
      <c r="AP54" s="238"/>
      <c r="AQ54" s="353">
        <v>-2.9675857805925725</v>
      </c>
      <c r="AR54" s="379">
        <v>-2.5425857805925727</v>
      </c>
      <c r="AS54" s="238"/>
      <c r="AT54" s="456">
        <v>7.4999999999999997E-3</v>
      </c>
      <c r="AU54" s="238"/>
      <c r="AV54" s="353">
        <v>8.0000000000000002E-3</v>
      </c>
      <c r="AW54" s="425">
        <v>2.5000000000000001E-2</v>
      </c>
      <c r="AX54" s="354">
        <v>5.0000000000000001E-3</v>
      </c>
      <c r="AY54" s="354"/>
      <c r="AZ54" s="488">
        <v>1.05</v>
      </c>
      <c r="BA54" s="488">
        <v>0.8</v>
      </c>
      <c r="BB54" s="433">
        <v>-0.42499999999999999</v>
      </c>
      <c r="BC54" s="428"/>
      <c r="BD54" s="355">
        <v>3.423</v>
      </c>
      <c r="BE54" s="238">
        <v>2.8784135607881622</v>
      </c>
      <c r="BF54" s="319"/>
      <c r="BG54" s="238">
        <v>0.85</v>
      </c>
      <c r="BH54" s="293"/>
      <c r="BI54" s="293"/>
      <c r="BJ54" s="238"/>
      <c r="BK54" s="319"/>
      <c r="BL54" s="238"/>
      <c r="BM54" s="238"/>
      <c r="BN54" s="256"/>
      <c r="BO54" s="256"/>
      <c r="BP54" s="293"/>
      <c r="BQ54" s="238"/>
      <c r="BR54" s="293"/>
      <c r="BS54" s="238"/>
      <c r="BT54" s="238"/>
      <c r="BU54" s="238"/>
      <c r="BV54" s="238"/>
      <c r="BW54" s="238"/>
      <c r="BX54" s="238"/>
      <c r="BY54" s="238"/>
      <c r="BZ54" s="238"/>
      <c r="CA54" s="238"/>
      <c r="CB54" s="238"/>
      <c r="CC54" s="238"/>
      <c r="CD54" s="238"/>
      <c r="CE54" s="238"/>
      <c r="CF54" s="238"/>
      <c r="CG54" s="238"/>
    </row>
    <row r="55" spans="1:85">
      <c r="A55" s="356">
        <v>37591</v>
      </c>
      <c r="B55" s="461">
        <v>3.468</v>
      </c>
      <c r="C55" s="493">
        <v>-0.42499999999999999</v>
      </c>
      <c r="D55" s="359">
        <v>-0.33027879705899865</v>
      </c>
      <c r="E55" s="359">
        <v>-0.13</v>
      </c>
      <c r="F55" s="469">
        <v>0.215</v>
      </c>
      <c r="G55" s="470">
        <v>0.35499999999999998</v>
      </c>
      <c r="H55" s="470">
        <v>0.375</v>
      </c>
      <c r="I55" s="471">
        <v>0.505</v>
      </c>
      <c r="J55" s="470">
        <v>0.12</v>
      </c>
      <c r="K55" s="470">
        <v>0.14000000000000001</v>
      </c>
      <c r="L55" s="470">
        <v>0.88</v>
      </c>
      <c r="M55" s="469">
        <v>-0.255</v>
      </c>
      <c r="N55" s="470">
        <v>0.2</v>
      </c>
      <c r="O55" s="471">
        <v>0.2</v>
      </c>
      <c r="P55" s="495">
        <v>0.35</v>
      </c>
      <c r="Q55" s="388">
        <v>0.45</v>
      </c>
      <c r="R55" s="475">
        <v>0.41499999999999998</v>
      </c>
      <c r="S55" s="365">
        <v>0.41499999999999998</v>
      </c>
      <c r="T55" s="274">
        <v>1.05</v>
      </c>
      <c r="U55" s="494">
        <v>0.41499999999999998</v>
      </c>
      <c r="V55" s="225">
        <v>3.0430000000000001</v>
      </c>
      <c r="W55" s="225">
        <v>3.1377212029410013</v>
      </c>
      <c r="X55" s="368">
        <v>3.3380000000000001</v>
      </c>
      <c r="Y55" s="318" t="s">
        <v>238</v>
      </c>
      <c r="Z55" s="465">
        <v>0.14000000000000001</v>
      </c>
      <c r="AA55" s="481">
        <v>0.43601642206470359</v>
      </c>
      <c r="AB55" s="487">
        <v>4.4976202452301433</v>
      </c>
      <c r="AC55" s="312">
        <v>4.6376202452301429</v>
      </c>
      <c r="AD55" s="368">
        <v>4.9336366672948468</v>
      </c>
      <c r="AE55" s="418">
        <v>3.8180000000000001</v>
      </c>
      <c r="AF55" s="373">
        <v>3.2130000000000001</v>
      </c>
      <c r="AG55" s="374">
        <v>3.6680000000000001</v>
      </c>
      <c r="AH55" s="423">
        <v>-0.18</v>
      </c>
      <c r="AI55" s="467">
        <v>1.5593957362640598</v>
      </c>
      <c r="AJ55" s="478">
        <v>3.99353604844861E-2</v>
      </c>
      <c r="AK55" s="478">
        <v>3.8403986213660701E-2</v>
      </c>
      <c r="AL55" s="354">
        <v>0.95224453118462071</v>
      </c>
      <c r="AM55" s="377">
        <v>0.95401610138777015</v>
      </c>
      <c r="AN55" s="353">
        <v>0.36499999999999999</v>
      </c>
      <c r="AO55" s="378">
        <v>0.12</v>
      </c>
      <c r="AP55" s="238"/>
      <c r="AQ55" s="353">
        <v>-3.1195686457888776</v>
      </c>
      <c r="AR55" s="379">
        <v>-2.6945686457888778</v>
      </c>
      <c r="AS55" s="238"/>
      <c r="AT55" s="456">
        <v>7.4999999999999997E-3</v>
      </c>
      <c r="AU55" s="238"/>
      <c r="AV55" s="353">
        <v>8.0000000000000002E-3</v>
      </c>
      <c r="AW55" s="425">
        <v>2.5000000000000001E-2</v>
      </c>
      <c r="AX55" s="354">
        <v>0.01</v>
      </c>
      <c r="AY55" s="354"/>
      <c r="AZ55" s="488">
        <v>1.25</v>
      </c>
      <c r="BA55" s="488">
        <v>1</v>
      </c>
      <c r="BB55" s="433">
        <v>-0.42499999999999999</v>
      </c>
      <c r="BC55" s="428"/>
      <c r="BD55" s="355">
        <v>3.613</v>
      </c>
      <c r="BE55" s="238">
        <v>3.0484126401680576</v>
      </c>
      <c r="BF55" s="319"/>
      <c r="BG55" s="238">
        <v>1.1499999999999999</v>
      </c>
      <c r="BH55" s="293"/>
      <c r="BI55" s="293"/>
      <c r="BJ55" s="238"/>
      <c r="BK55" s="319"/>
      <c r="BL55" s="238"/>
      <c r="BM55" s="238"/>
      <c r="BN55" s="256"/>
      <c r="BO55" s="256"/>
      <c r="BP55" s="293"/>
      <c r="BQ55" s="238"/>
      <c r="BR55" s="293"/>
      <c r="BS55" s="238"/>
      <c r="BT55" s="238"/>
      <c r="BU55" s="238"/>
      <c r="BV55" s="238"/>
      <c r="BW55" s="238"/>
      <c r="BX55" s="238"/>
      <c r="BY55" s="238"/>
      <c r="BZ55" s="238"/>
      <c r="CA55" s="238"/>
      <c r="CB55" s="238"/>
      <c r="CC55" s="238"/>
      <c r="CD55" s="238"/>
      <c r="CE55" s="238"/>
      <c r="CF55" s="238"/>
      <c r="CG55" s="238"/>
    </row>
    <row r="56" spans="1:85">
      <c r="A56" s="356">
        <v>37622</v>
      </c>
      <c r="B56" s="461">
        <v>3.5470000000000002</v>
      </c>
      <c r="C56" s="493">
        <v>-0.42499999999999999</v>
      </c>
      <c r="D56" s="359">
        <v>-0.33029137181393242</v>
      </c>
      <c r="E56" s="359">
        <v>-0.12</v>
      </c>
      <c r="F56" s="469">
        <v>0.22500000000000001</v>
      </c>
      <c r="G56" s="470">
        <v>0.36499999999999999</v>
      </c>
      <c r="H56" s="470">
        <v>0.38500000000000001</v>
      </c>
      <c r="I56" s="471">
        <v>0.51500000000000001</v>
      </c>
      <c r="J56" s="470">
        <v>0.13</v>
      </c>
      <c r="K56" s="470">
        <v>0.15</v>
      </c>
      <c r="L56" s="470">
        <v>1.65</v>
      </c>
      <c r="M56" s="469">
        <v>-0.255</v>
      </c>
      <c r="N56" s="470">
        <v>0.16</v>
      </c>
      <c r="O56" s="471">
        <v>0.2</v>
      </c>
      <c r="P56" s="495">
        <v>0.45</v>
      </c>
      <c r="Q56" s="388">
        <v>0.45</v>
      </c>
      <c r="R56" s="475">
        <v>0.41499999999999998</v>
      </c>
      <c r="S56" s="365">
        <v>0.41499999999999998</v>
      </c>
      <c r="T56" s="274">
        <v>1.08</v>
      </c>
      <c r="U56" s="494">
        <v>0.41499999999999998</v>
      </c>
      <c r="V56" s="225">
        <v>3.1220000000000003</v>
      </c>
      <c r="W56" s="225">
        <v>3.2167086281860677</v>
      </c>
      <c r="X56" s="368">
        <v>3.427</v>
      </c>
      <c r="Y56" s="415"/>
      <c r="Z56" s="465">
        <v>0.14000000000000001</v>
      </c>
      <c r="AA56" s="481">
        <v>0.45085649341377998</v>
      </c>
      <c r="AB56" s="487">
        <v>4.6149966309436836</v>
      </c>
      <c r="AC56" s="312">
        <v>4.7549966309436833</v>
      </c>
      <c r="AD56" s="368">
        <v>5.0658531243574636</v>
      </c>
      <c r="AE56" s="418">
        <v>3.9970000000000003</v>
      </c>
      <c r="AF56" s="373">
        <v>3.2920000000000003</v>
      </c>
      <c r="AG56" s="374">
        <v>3.7470000000000003</v>
      </c>
      <c r="AH56" s="423">
        <v>-0.18</v>
      </c>
      <c r="AI56" s="467">
        <v>1.55960278201695</v>
      </c>
      <c r="AJ56" s="478">
        <v>4.0410749718645902E-2</v>
      </c>
      <c r="AK56" s="478">
        <v>3.8874942038940902E-2</v>
      </c>
      <c r="AL56" s="354">
        <v>0.94846941378163663</v>
      </c>
      <c r="AM56" s="377">
        <v>0.95036012617528287</v>
      </c>
      <c r="AN56" s="353">
        <v>0.375</v>
      </c>
      <c r="AO56" s="378">
        <v>0.12</v>
      </c>
      <c r="AP56" s="238"/>
      <c r="AQ56" s="353">
        <v>-3.189566239883967</v>
      </c>
      <c r="AR56" s="379">
        <v>-2.7645662398839672</v>
      </c>
      <c r="AS56" s="238"/>
      <c r="AT56" s="456">
        <v>7.4999999999999997E-3</v>
      </c>
      <c r="AU56" s="238"/>
      <c r="AV56" s="353">
        <v>8.0000000000000002E-3</v>
      </c>
      <c r="AW56" s="425">
        <v>2.5000000000000001E-2</v>
      </c>
      <c r="AX56" s="354">
        <v>0.03</v>
      </c>
      <c r="AY56" s="354"/>
      <c r="AZ56" s="488">
        <v>1.25</v>
      </c>
      <c r="BA56" s="488">
        <v>1</v>
      </c>
      <c r="BB56" s="433">
        <v>-0.42499999999999999</v>
      </c>
      <c r="BC56" s="428"/>
      <c r="BD56" s="355">
        <v>3.702</v>
      </c>
      <c r="BE56" s="238">
        <v>3.1274119216106326</v>
      </c>
      <c r="BF56" s="319"/>
      <c r="BG56" s="238">
        <v>1.18</v>
      </c>
      <c r="BH56" s="293"/>
      <c r="BI56" s="293"/>
      <c r="BJ56" s="238"/>
      <c r="BK56" s="319"/>
      <c r="BL56" s="238"/>
      <c r="BM56" s="238"/>
      <c r="BN56" s="256"/>
      <c r="BO56" s="256"/>
      <c r="BP56" s="293"/>
      <c r="BQ56" s="238"/>
      <c r="BR56" s="293"/>
      <c r="BS56" s="238"/>
      <c r="BT56" s="238"/>
      <c r="BU56" s="238"/>
      <c r="BV56" s="238"/>
      <c r="BW56" s="238"/>
      <c r="BX56" s="238"/>
      <c r="BY56" s="238"/>
      <c r="BZ56" s="238"/>
      <c r="CA56" s="238"/>
      <c r="CB56" s="238"/>
      <c r="CC56" s="238"/>
      <c r="CD56" s="238"/>
      <c r="CE56" s="238"/>
      <c r="CF56" s="238"/>
      <c r="CG56" s="238"/>
    </row>
    <row r="57" spans="1:85">
      <c r="A57" s="356">
        <v>37653</v>
      </c>
      <c r="B57" s="461">
        <v>3.4320000000000004</v>
      </c>
      <c r="C57" s="493">
        <v>-0.42499999999999999</v>
      </c>
      <c r="D57" s="359">
        <v>-0.33029790042646301</v>
      </c>
      <c r="E57" s="359">
        <v>-0.12</v>
      </c>
      <c r="F57" s="469">
        <v>0.22500000000000001</v>
      </c>
      <c r="G57" s="470">
        <v>0.36499999999999999</v>
      </c>
      <c r="H57" s="470">
        <v>0.38500000000000001</v>
      </c>
      <c r="I57" s="471">
        <v>0.51500000000000001</v>
      </c>
      <c r="J57" s="470">
        <v>0.13</v>
      </c>
      <c r="K57" s="470">
        <v>0.15</v>
      </c>
      <c r="L57" s="470">
        <v>1.65</v>
      </c>
      <c r="M57" s="469">
        <v>-0.255</v>
      </c>
      <c r="N57" s="470">
        <v>0.16</v>
      </c>
      <c r="O57" s="471">
        <v>0.2</v>
      </c>
      <c r="P57" s="495">
        <v>0.25</v>
      </c>
      <c r="Q57" s="388">
        <v>0.4375</v>
      </c>
      <c r="R57" s="475">
        <v>0.40250000000000002</v>
      </c>
      <c r="S57" s="365">
        <v>0.40250000000000002</v>
      </c>
      <c r="T57" s="274">
        <v>1.08</v>
      </c>
      <c r="U57" s="494">
        <v>0.40250000000000002</v>
      </c>
      <c r="V57" s="225">
        <v>3.0070000000000006</v>
      </c>
      <c r="W57" s="225">
        <v>3.1017020995735374</v>
      </c>
      <c r="X57" s="368">
        <v>3.3120000000000003</v>
      </c>
      <c r="Y57" s="226"/>
      <c r="Z57" s="465">
        <v>0.14000000000000001</v>
      </c>
      <c r="AA57" s="481">
        <v>0.45088757474529917</v>
      </c>
      <c r="AB57" s="487">
        <v>4.4453079910134941</v>
      </c>
      <c r="AC57" s="312">
        <v>4.5853079910134937</v>
      </c>
      <c r="AD57" s="368">
        <v>4.8961955657587932</v>
      </c>
      <c r="AE57" s="418">
        <v>3.6820000000000004</v>
      </c>
      <c r="AF57" s="373">
        <v>3.1770000000000005</v>
      </c>
      <c r="AG57" s="374">
        <v>3.6320000000000006</v>
      </c>
      <c r="AH57" s="423">
        <v>-0.18</v>
      </c>
      <c r="AI57" s="467">
        <v>1.5597102985589399</v>
      </c>
      <c r="AJ57" s="478">
        <v>4.0886139028616597E-2</v>
      </c>
      <c r="AK57" s="478">
        <v>3.9392637244123598E-2</v>
      </c>
      <c r="AL57" s="354">
        <v>0.94463467686443658</v>
      </c>
      <c r="AM57" s="377">
        <v>0.94658299639020582</v>
      </c>
      <c r="AN57" s="353">
        <v>0.375</v>
      </c>
      <c r="AO57" s="378">
        <v>0.13300000000000001</v>
      </c>
      <c r="AP57" s="238"/>
      <c r="AQ57" s="353">
        <v>-3.0745765713136688</v>
      </c>
      <c r="AR57" s="379">
        <v>-2.649576571313669</v>
      </c>
      <c r="AS57" s="238"/>
      <c r="AT57" s="456">
        <v>7.4999999999999997E-3</v>
      </c>
      <c r="AU57" s="238"/>
      <c r="AV57" s="353">
        <v>8.0000000000000002E-3</v>
      </c>
      <c r="AW57" s="425">
        <v>2.5000000000000001E-2</v>
      </c>
      <c r="AX57" s="354">
        <v>2.5000000000000001E-2</v>
      </c>
      <c r="AY57" s="354"/>
      <c r="AZ57" s="488">
        <v>1.25</v>
      </c>
      <c r="BA57" s="488">
        <v>1</v>
      </c>
      <c r="BB57" s="433">
        <v>-0.42499999999999999</v>
      </c>
      <c r="BC57" s="428"/>
      <c r="BD57" s="355">
        <v>3.5870000000000002</v>
      </c>
      <c r="BE57" s="238">
        <v>3.0124115485470599</v>
      </c>
      <c r="BF57" s="319"/>
      <c r="BG57" s="238">
        <v>1.18</v>
      </c>
      <c r="BH57" s="293"/>
      <c r="BI57" s="293"/>
      <c r="BJ57" s="238"/>
      <c r="BK57" s="319"/>
      <c r="BL57" s="238"/>
      <c r="BM57" s="238"/>
      <c r="BN57" s="256"/>
      <c r="BO57" s="256"/>
      <c r="BP57" s="293"/>
      <c r="BQ57" s="238"/>
      <c r="BR57" s="293"/>
      <c r="BS57" s="238"/>
      <c r="BT57" s="238"/>
      <c r="BU57" s="238"/>
      <c r="BV57" s="238"/>
      <c r="BW57" s="238"/>
      <c r="BX57" s="238"/>
      <c r="BY57" s="238"/>
      <c r="BZ57" s="238"/>
      <c r="CA57" s="238"/>
      <c r="CB57" s="238"/>
      <c r="CC57" s="238"/>
      <c r="CD57" s="238"/>
      <c r="CE57" s="238"/>
      <c r="CF57" s="238"/>
      <c r="CG57" s="238"/>
    </row>
    <row r="58" spans="1:85">
      <c r="A58" s="356">
        <v>37681</v>
      </c>
      <c r="B58" s="461">
        <v>3.3130000000000002</v>
      </c>
      <c r="C58" s="493">
        <v>-0.42499999999999999</v>
      </c>
      <c r="D58" s="359">
        <v>-0.3303032212333874</v>
      </c>
      <c r="E58" s="359">
        <v>-0.12999999999999945</v>
      </c>
      <c r="F58" s="469">
        <v>0.215</v>
      </c>
      <c r="G58" s="470">
        <v>0.35499999999999998</v>
      </c>
      <c r="H58" s="470">
        <v>0.375</v>
      </c>
      <c r="I58" s="471">
        <v>0.505</v>
      </c>
      <c r="J58" s="470">
        <v>0.12</v>
      </c>
      <c r="K58" s="470">
        <v>0.14000000000000001</v>
      </c>
      <c r="L58" s="470">
        <v>0.67</v>
      </c>
      <c r="M58" s="469">
        <v>-0.255</v>
      </c>
      <c r="N58" s="470">
        <v>0.16</v>
      </c>
      <c r="O58" s="471">
        <v>0.2</v>
      </c>
      <c r="P58" s="495">
        <v>-0.1</v>
      </c>
      <c r="Q58" s="388">
        <v>0.42249999999999999</v>
      </c>
      <c r="R58" s="475">
        <v>0.38750000000000001</v>
      </c>
      <c r="S58" s="365">
        <v>0.38750000000000001</v>
      </c>
      <c r="T58" s="274">
        <v>0.83</v>
      </c>
      <c r="U58" s="494">
        <v>0.38750000000000001</v>
      </c>
      <c r="V58" s="225">
        <v>2.8880000000000003</v>
      </c>
      <c r="W58" s="225">
        <v>2.9826967787666128</v>
      </c>
      <c r="X58" s="368">
        <v>3.1830000000000007</v>
      </c>
      <c r="Y58" s="226"/>
      <c r="Z58" s="465">
        <v>0.14000000000000001</v>
      </c>
      <c r="AA58" s="481">
        <v>0.43612887933376232</v>
      </c>
      <c r="AB58" s="487">
        <v>4.2696278085284884</v>
      </c>
      <c r="AC58" s="312">
        <v>4.4096278085284881</v>
      </c>
      <c r="AD58" s="368">
        <v>4.7057566878622508</v>
      </c>
      <c r="AE58" s="418">
        <v>3.2130000000000001</v>
      </c>
      <c r="AF58" s="373">
        <v>3.0580000000000003</v>
      </c>
      <c r="AG58" s="374">
        <v>3.5130000000000003</v>
      </c>
      <c r="AH58" s="423">
        <v>-0.18</v>
      </c>
      <c r="AI58" s="467">
        <v>1.5597979353029199</v>
      </c>
      <c r="AJ58" s="478">
        <v>4.1315522986639298E-2</v>
      </c>
      <c r="AK58" s="478">
        <v>3.9860232990634403E-2</v>
      </c>
      <c r="AL58" s="354">
        <v>0.94112052377544542</v>
      </c>
      <c r="AM58" s="377">
        <v>0.94311458391014891</v>
      </c>
      <c r="AN58" s="353">
        <v>0.36499999999999999</v>
      </c>
      <c r="AO58" s="378">
        <v>0.12</v>
      </c>
      <c r="AP58" s="238"/>
      <c r="AQ58" s="353">
        <v>-2.9655993319480762</v>
      </c>
      <c r="AR58" s="379">
        <v>-2.5405993319480764</v>
      </c>
      <c r="AS58" s="238"/>
      <c r="AT58" s="456">
        <v>7.4999999999999997E-3</v>
      </c>
      <c r="AU58" s="238"/>
      <c r="AV58" s="353">
        <v>8.0000000000000002E-3</v>
      </c>
      <c r="AW58" s="425">
        <v>2.5000000000000001E-2</v>
      </c>
      <c r="AX58" s="354">
        <v>5.0000000000000001E-3</v>
      </c>
      <c r="AY58" s="354"/>
      <c r="AZ58" s="488">
        <v>1</v>
      </c>
      <c r="BA58" s="488">
        <v>0.75</v>
      </c>
      <c r="BB58" s="433">
        <v>-0.42499999999999999</v>
      </c>
      <c r="BC58" s="428"/>
      <c r="BD58" s="355">
        <v>3.4580000000000002</v>
      </c>
      <c r="BE58" s="238">
        <v>2.8934112445009497</v>
      </c>
      <c r="BF58" s="319"/>
      <c r="BG58" s="238">
        <v>0.83</v>
      </c>
      <c r="BH58" s="293"/>
      <c r="BI58" s="293"/>
      <c r="BJ58" s="238"/>
      <c r="BK58" s="319"/>
      <c r="BL58" s="238"/>
      <c r="BM58" s="238"/>
      <c r="BN58" s="256"/>
      <c r="BO58" s="256"/>
      <c r="BP58" s="293"/>
      <c r="BQ58" s="238"/>
      <c r="BR58" s="293"/>
      <c r="BS58" s="238"/>
      <c r="BT58" s="238"/>
      <c r="BU58" s="238"/>
      <c r="BV58" s="238"/>
      <c r="BW58" s="238"/>
      <c r="BX58" s="238"/>
      <c r="BY58" s="238"/>
      <c r="BZ58" s="238"/>
      <c r="CA58" s="238"/>
      <c r="CB58" s="238"/>
      <c r="CC58" s="238"/>
      <c r="CD58" s="238"/>
      <c r="CE58" s="238"/>
      <c r="CF58" s="238"/>
      <c r="CG58" s="238"/>
    </row>
    <row r="59" spans="1:85">
      <c r="A59" s="356">
        <v>37712</v>
      </c>
      <c r="B59" s="461">
        <v>3.133</v>
      </c>
      <c r="C59" s="484">
        <v>-0.45</v>
      </c>
      <c r="D59" s="359">
        <v>-0.35531005228955337</v>
      </c>
      <c r="E59" s="359">
        <v>-0.38236432306396662</v>
      </c>
      <c r="F59" s="469">
        <v>0.12</v>
      </c>
      <c r="G59" s="470">
        <v>0.12</v>
      </c>
      <c r="H59" s="470">
        <v>0.155</v>
      </c>
      <c r="I59" s="471">
        <v>0.155</v>
      </c>
      <c r="J59" s="470">
        <v>3.5000000000000003E-2</v>
      </c>
      <c r="K59" s="470">
        <v>0.12</v>
      </c>
      <c r="L59" s="470">
        <v>0.4</v>
      </c>
      <c r="M59" s="469">
        <v>-0.46500000000000002</v>
      </c>
      <c r="N59" s="470">
        <v>0.26500000000000001</v>
      </c>
      <c r="O59" s="471">
        <v>0.14499999999999999</v>
      </c>
      <c r="P59" s="485">
        <v>-0.27</v>
      </c>
      <c r="Q59" s="388">
        <v>0.36749999999999999</v>
      </c>
      <c r="R59" s="475">
        <v>0.33250000000000002</v>
      </c>
      <c r="S59" s="365">
        <v>0.33250000000000002</v>
      </c>
      <c r="T59" s="274">
        <v>0.43</v>
      </c>
      <c r="U59" s="494">
        <v>0.33250000000000002</v>
      </c>
      <c r="V59" s="225">
        <v>2.6829999999999998</v>
      </c>
      <c r="W59" s="225">
        <v>2.7776899477104466</v>
      </c>
      <c r="X59" s="368">
        <v>2.7506356769360334</v>
      </c>
      <c r="Y59" s="226"/>
      <c r="Z59" s="465">
        <v>0.14000000000000001</v>
      </c>
      <c r="AA59" s="481">
        <v>0.1</v>
      </c>
      <c r="AB59" s="487">
        <v>3.9668413499246316</v>
      </c>
      <c r="AC59" s="312">
        <v>4.1068413499246317</v>
      </c>
      <c r="AD59" s="368">
        <v>4.0668413499246316</v>
      </c>
      <c r="AE59" s="418">
        <v>2.863</v>
      </c>
      <c r="AF59" s="373">
        <v>2.6680000000000001</v>
      </c>
      <c r="AG59" s="374">
        <v>3.278</v>
      </c>
      <c r="AH59" s="423">
        <v>-0.33500000000000002</v>
      </c>
      <c r="AI59" s="467">
        <v>1.5599104611576899</v>
      </c>
      <c r="AJ59" s="478">
        <v>4.1790912440846199E-2</v>
      </c>
      <c r="AK59" s="478">
        <v>4.0367095920031702E-2</v>
      </c>
      <c r="AL59" s="354">
        <v>0.937174732823429</v>
      </c>
      <c r="AM59" s="377">
        <v>0.93922818481460191</v>
      </c>
      <c r="AN59" s="353">
        <v>0.12</v>
      </c>
      <c r="AO59" s="378">
        <v>0.124</v>
      </c>
      <c r="AP59" s="238"/>
      <c r="AQ59" s="353">
        <v>-3.0383925939173899</v>
      </c>
      <c r="AR59" s="379">
        <v>-2.5883925939173897</v>
      </c>
      <c r="AS59" s="238"/>
      <c r="AT59" s="456">
        <v>7.4999999999999997E-3</v>
      </c>
      <c r="AU59" s="238"/>
      <c r="AV59" s="353">
        <v>2.5000000000000001E-3</v>
      </c>
      <c r="AW59" s="425">
        <v>5.0000000000000001E-3</v>
      </c>
      <c r="AX59" s="354">
        <v>-8.5000000000000006E-2</v>
      </c>
      <c r="AY59" s="354"/>
      <c r="AZ59" s="488">
        <v>0.6</v>
      </c>
      <c r="BA59" s="488">
        <v>0.4</v>
      </c>
      <c r="BB59" s="433">
        <v>-0.45</v>
      </c>
      <c r="BC59" s="428"/>
      <c r="BD59" s="355">
        <v>3.173</v>
      </c>
      <c r="BE59" s="238">
        <v>2.6846908919234007</v>
      </c>
      <c r="BF59" s="319"/>
      <c r="BG59" s="238">
        <v>0.48</v>
      </c>
      <c r="BH59" s="293"/>
      <c r="BI59" s="293"/>
      <c r="BJ59" s="238"/>
      <c r="BK59" s="319"/>
      <c r="BL59" s="238"/>
      <c r="BM59" s="238"/>
      <c r="BN59" s="256"/>
      <c r="BO59" s="256"/>
      <c r="BP59" s="293"/>
      <c r="BQ59" s="238"/>
      <c r="BR59" s="293"/>
      <c r="BS59" s="238"/>
      <c r="BT59" s="238"/>
      <c r="BU59" s="238"/>
      <c r="BV59" s="238"/>
      <c r="BW59" s="238"/>
      <c r="BX59" s="238"/>
      <c r="BY59" s="238"/>
      <c r="BZ59" s="238"/>
      <c r="CA59" s="238"/>
      <c r="CB59" s="238"/>
      <c r="CC59" s="238"/>
      <c r="CD59" s="238"/>
      <c r="CE59" s="238"/>
      <c r="CF59" s="238"/>
      <c r="CG59" s="238"/>
    </row>
    <row r="60" spans="1:85">
      <c r="A60" s="356">
        <v>37742</v>
      </c>
      <c r="B60" s="461">
        <v>3.1380000000000003</v>
      </c>
      <c r="C60" s="489">
        <v>-0.45</v>
      </c>
      <c r="D60" s="359">
        <v>-0.35531916729390201</v>
      </c>
      <c r="E60" s="359">
        <v>-0.3823708337813585</v>
      </c>
      <c r="F60" s="469">
        <v>0.12</v>
      </c>
      <c r="G60" s="470">
        <v>0.12</v>
      </c>
      <c r="H60" s="470">
        <v>0.155</v>
      </c>
      <c r="I60" s="471">
        <v>0.155</v>
      </c>
      <c r="J60" s="470">
        <v>3.5000000000000003E-2</v>
      </c>
      <c r="K60" s="470">
        <v>0.12</v>
      </c>
      <c r="L60" s="470">
        <v>0.35</v>
      </c>
      <c r="M60" s="469">
        <v>-0.46500000000000002</v>
      </c>
      <c r="N60" s="470">
        <v>0.26500000000000001</v>
      </c>
      <c r="O60" s="471">
        <v>0.14499999999999999</v>
      </c>
      <c r="P60" s="419">
        <v>-0.27</v>
      </c>
      <c r="Q60" s="388">
        <v>0.36</v>
      </c>
      <c r="R60" s="475">
        <v>0.32500000000000001</v>
      </c>
      <c r="S60" s="365">
        <v>0.32500000000000001</v>
      </c>
      <c r="T60" s="274">
        <v>0.48</v>
      </c>
      <c r="U60" s="494">
        <v>0.32500000000000001</v>
      </c>
      <c r="V60" s="225">
        <v>2.6880000000000002</v>
      </c>
      <c r="W60" s="225">
        <v>2.7826808327060983</v>
      </c>
      <c r="X60" s="368">
        <v>2.7556291662186418</v>
      </c>
      <c r="Y60" s="226"/>
      <c r="Z60" s="465">
        <v>0.14000000000000001</v>
      </c>
      <c r="AA60" s="481">
        <v>0.1</v>
      </c>
      <c r="AB60" s="487">
        <v>3.9746165009780552</v>
      </c>
      <c r="AC60" s="312">
        <v>4.1146165009780553</v>
      </c>
      <c r="AD60" s="368">
        <v>4.0746165009780553</v>
      </c>
      <c r="AE60" s="418">
        <v>2.8680000000000003</v>
      </c>
      <c r="AF60" s="373">
        <v>2.6730000000000005</v>
      </c>
      <c r="AG60" s="374">
        <v>3.2830000000000004</v>
      </c>
      <c r="AH60" s="423">
        <v>-0.33500000000000002</v>
      </c>
      <c r="AI60" s="467">
        <v>1.56006063506544</v>
      </c>
      <c r="AJ60" s="478">
        <v>4.2250966823502302E-2</v>
      </c>
      <c r="AK60" s="478">
        <v>4.0838156591138201E-2</v>
      </c>
      <c r="AL60" s="354">
        <v>0.93330188493059274</v>
      </c>
      <c r="AM60" s="377">
        <v>0.93543689772732974</v>
      </c>
      <c r="AN60" s="353">
        <v>0.12</v>
      </c>
      <c r="AO60" s="378">
        <v>0.12</v>
      </c>
      <c r="AP60" s="238"/>
      <c r="AQ60" s="353">
        <v>-3.0433991019133844</v>
      </c>
      <c r="AR60" s="379">
        <v>-2.5933991019133842</v>
      </c>
      <c r="AS60" s="238"/>
      <c r="AT60" s="456">
        <v>7.4999999999999997E-3</v>
      </c>
      <c r="AU60" s="238"/>
      <c r="AV60" s="353">
        <v>2.5000000000000001E-3</v>
      </c>
      <c r="AW60" s="425">
        <v>5.0000000000000001E-3</v>
      </c>
      <c r="AX60" s="354">
        <v>-8.5000000000000006E-2</v>
      </c>
      <c r="AY60" s="354"/>
      <c r="AZ60" s="488">
        <v>0.65</v>
      </c>
      <c r="BA60" s="488">
        <v>0.45</v>
      </c>
      <c r="BB60" s="433">
        <v>-0.45</v>
      </c>
      <c r="BC60" s="428"/>
      <c r="BD60" s="355">
        <v>3.1780000000000004</v>
      </c>
      <c r="BE60" s="238">
        <v>2.6896907291554664</v>
      </c>
      <c r="BF60" s="319"/>
      <c r="BG60" s="238">
        <v>0.53</v>
      </c>
      <c r="BH60" s="293"/>
      <c r="BI60" s="293"/>
      <c r="BJ60" s="238"/>
      <c r="BK60" s="319"/>
      <c r="BL60" s="238"/>
      <c r="BM60" s="238"/>
      <c r="BN60" s="256"/>
      <c r="BO60" s="256"/>
      <c r="BP60" s="293"/>
      <c r="BQ60" s="238"/>
      <c r="BR60" s="293"/>
      <c r="BS60" s="238"/>
      <c r="BT60" s="238"/>
      <c r="BU60" s="238"/>
      <c r="BV60" s="238"/>
      <c r="BW60" s="238"/>
      <c r="BX60" s="238"/>
      <c r="BY60" s="238"/>
      <c r="BZ60" s="238"/>
      <c r="CA60" s="238"/>
      <c r="CB60" s="238"/>
      <c r="CC60" s="238"/>
      <c r="CD60" s="238"/>
      <c r="CE60" s="238"/>
      <c r="CF60" s="238"/>
      <c r="CG60" s="238"/>
    </row>
    <row r="61" spans="1:85">
      <c r="A61" s="356">
        <v>37773</v>
      </c>
      <c r="B61" s="461">
        <v>3.1660000000000004</v>
      </c>
      <c r="C61" s="489">
        <v>-0.45</v>
      </c>
      <c r="D61" s="359">
        <v>-0.35532840472348326</v>
      </c>
      <c r="E61" s="359">
        <v>-0.38237743194534524</v>
      </c>
      <c r="F61" s="469">
        <v>0.12</v>
      </c>
      <c r="G61" s="470">
        <v>0.12</v>
      </c>
      <c r="H61" s="470">
        <v>0.155</v>
      </c>
      <c r="I61" s="471">
        <v>0.155</v>
      </c>
      <c r="J61" s="470">
        <v>3.5000000000000003E-2</v>
      </c>
      <c r="K61" s="470">
        <v>0.12</v>
      </c>
      <c r="L61" s="470">
        <v>0.39</v>
      </c>
      <c r="M61" s="469">
        <v>-0.46500000000000002</v>
      </c>
      <c r="N61" s="470">
        <v>0.26500000000000001</v>
      </c>
      <c r="O61" s="471">
        <v>0.14499999999999999</v>
      </c>
      <c r="P61" s="419">
        <v>-0.27</v>
      </c>
      <c r="Q61" s="388">
        <v>0.35249999999999998</v>
      </c>
      <c r="R61" s="475">
        <v>0.3175</v>
      </c>
      <c r="S61" s="365">
        <v>0.3175</v>
      </c>
      <c r="T61" s="274">
        <v>0.48</v>
      </c>
      <c r="U61" s="494">
        <v>0.3175</v>
      </c>
      <c r="V61" s="225">
        <v>2.7160000000000002</v>
      </c>
      <c r="W61" s="225">
        <v>2.8106715952765171</v>
      </c>
      <c r="X61" s="368">
        <v>2.7836225680546551</v>
      </c>
      <c r="Y61" s="490" t="s">
        <v>243</v>
      </c>
      <c r="Z61" s="465">
        <v>0.14000000000000001</v>
      </c>
      <c r="AA61" s="481">
        <v>0.1</v>
      </c>
      <c r="AB61" s="487">
        <v>4.0164106128073138</v>
      </c>
      <c r="AC61" s="312">
        <v>4.1564106128073135</v>
      </c>
      <c r="AD61" s="368">
        <v>4.1164106128073135</v>
      </c>
      <c r="AE61" s="418">
        <v>2.8960000000000004</v>
      </c>
      <c r="AF61" s="373">
        <v>2.7010000000000005</v>
      </c>
      <c r="AG61" s="374">
        <v>3.3110000000000004</v>
      </c>
      <c r="AH61" s="423">
        <v>-0.33500000000000002</v>
      </c>
      <c r="AI61" s="467">
        <v>1.56021285548823</v>
      </c>
      <c r="AJ61" s="478">
        <v>4.2726356426767705E-2</v>
      </c>
      <c r="AK61" s="478">
        <v>4.13249193627978E-2</v>
      </c>
      <c r="AL61" s="354">
        <v>0.9292446654201898</v>
      </c>
      <c r="AM61" s="377">
        <v>0.93146127393667588</v>
      </c>
      <c r="AN61" s="353">
        <v>0.12</v>
      </c>
      <c r="AO61" s="378">
        <v>0.124</v>
      </c>
      <c r="AP61" s="238"/>
      <c r="AQ61" s="353">
        <v>-3.0714056973194226</v>
      </c>
      <c r="AR61" s="379">
        <v>-2.6214056973194224</v>
      </c>
      <c r="AS61" s="238"/>
      <c r="AT61" s="456">
        <v>7.4999999999999997E-3</v>
      </c>
      <c r="AU61" s="238"/>
      <c r="AV61" s="353">
        <v>2.5000000000000001E-3</v>
      </c>
      <c r="AW61" s="425">
        <v>5.0000000000000001E-3</v>
      </c>
      <c r="AX61" s="354">
        <v>-8.5000000000000006E-2</v>
      </c>
      <c r="AY61" s="354"/>
      <c r="AZ61" s="488">
        <v>0.65</v>
      </c>
      <c r="BA61" s="488">
        <v>0.45</v>
      </c>
      <c r="BB61" s="433">
        <v>-0.45</v>
      </c>
      <c r="BC61" s="428"/>
      <c r="BD61" s="355">
        <v>3.2060000000000004</v>
      </c>
      <c r="BE61" s="238">
        <v>2.7176905642013667</v>
      </c>
      <c r="BF61" s="319"/>
      <c r="BG61" s="238">
        <v>0.53</v>
      </c>
      <c r="BH61" s="293"/>
      <c r="BI61" s="293"/>
      <c r="BJ61" s="238"/>
      <c r="BK61" s="319"/>
      <c r="BL61" s="238"/>
      <c r="BM61" s="238"/>
      <c r="BN61" s="256"/>
      <c r="BO61" s="256"/>
      <c r="BP61" s="293"/>
      <c r="BQ61" s="238"/>
      <c r="BR61" s="293"/>
      <c r="BS61" s="238"/>
      <c r="BT61" s="238"/>
      <c r="BU61" s="238"/>
      <c r="BV61" s="238"/>
      <c r="BW61" s="238"/>
      <c r="BX61" s="238"/>
      <c r="BY61" s="238"/>
      <c r="BZ61" s="238"/>
      <c r="CA61" s="238"/>
      <c r="CB61" s="238"/>
      <c r="CC61" s="238"/>
      <c r="CD61" s="238"/>
      <c r="CE61" s="238"/>
      <c r="CF61" s="238"/>
      <c r="CG61" s="238"/>
    </row>
    <row r="62" spans="1:85">
      <c r="A62" s="356">
        <v>37803</v>
      </c>
      <c r="B62" s="461">
        <v>3.194</v>
      </c>
      <c r="C62" s="489">
        <v>-0.45</v>
      </c>
      <c r="D62" s="359">
        <v>-0.3553376832972841</v>
      </c>
      <c r="E62" s="359">
        <v>-0.38238405949806031</v>
      </c>
      <c r="F62" s="469">
        <v>0.12</v>
      </c>
      <c r="G62" s="470">
        <v>0.12</v>
      </c>
      <c r="H62" s="470">
        <v>0.155</v>
      </c>
      <c r="I62" s="471">
        <v>0.155</v>
      </c>
      <c r="J62" s="470">
        <v>3.5000000000000003E-2</v>
      </c>
      <c r="K62" s="470">
        <v>0.12</v>
      </c>
      <c r="L62" s="470">
        <v>0.43</v>
      </c>
      <c r="M62" s="469">
        <v>-0.46500000000000002</v>
      </c>
      <c r="N62" s="470">
        <v>0.26500000000000001</v>
      </c>
      <c r="O62" s="471">
        <v>0.14499999999999999</v>
      </c>
      <c r="P62" s="419">
        <v>-0.27</v>
      </c>
      <c r="Q62" s="388">
        <v>0.35249999999999998</v>
      </c>
      <c r="R62" s="475">
        <v>0.3175</v>
      </c>
      <c r="S62" s="365">
        <v>0.3175</v>
      </c>
      <c r="T62" s="274">
        <v>0.53</v>
      </c>
      <c r="U62" s="494">
        <v>0.3175</v>
      </c>
      <c r="V62" s="225">
        <v>2.7439999999999998</v>
      </c>
      <c r="W62" s="225">
        <v>2.8386623167027158</v>
      </c>
      <c r="X62" s="368">
        <v>2.8116159405019396</v>
      </c>
      <c r="Y62" s="415">
        <v>4.2298149639238201</v>
      </c>
      <c r="Z62" s="465">
        <v>0.14000000000000001</v>
      </c>
      <c r="AA62" s="481">
        <v>0.1</v>
      </c>
      <c r="AB62" s="487">
        <v>4.0582146452895635</v>
      </c>
      <c r="AC62" s="312">
        <v>4.1982146452895632</v>
      </c>
      <c r="AD62" s="368">
        <v>4.1582146452895632</v>
      </c>
      <c r="AE62" s="418">
        <v>2.9239999999999999</v>
      </c>
      <c r="AF62" s="373">
        <v>2.7290000000000001</v>
      </c>
      <c r="AG62" s="374">
        <v>3.339</v>
      </c>
      <c r="AH62" s="423">
        <v>-0.33500000000000002</v>
      </c>
      <c r="AI62" s="467">
        <v>1.56036578381947</v>
      </c>
      <c r="AJ62" s="478">
        <v>4.3186410953641299E-2</v>
      </c>
      <c r="AK62" s="478">
        <v>4.1792927929846305E-2</v>
      </c>
      <c r="AL62" s="354">
        <v>0.92526567642124746</v>
      </c>
      <c r="AM62" s="377">
        <v>0.92756370217172457</v>
      </c>
      <c r="AN62" s="353">
        <v>0.12</v>
      </c>
      <c r="AO62" s="378">
        <v>0.12</v>
      </c>
      <c r="AP62" s="238"/>
      <c r="AQ62" s="353">
        <v>-3.1044123221019042</v>
      </c>
      <c r="AR62" s="379">
        <v>-2.654412322101904</v>
      </c>
      <c r="AS62" s="238"/>
      <c r="AT62" s="456">
        <v>7.4999999999999997E-3</v>
      </c>
      <c r="AU62" s="238"/>
      <c r="AV62" s="353">
        <v>2.5000000000000001E-3</v>
      </c>
      <c r="AW62" s="425">
        <v>5.0000000000000001E-3</v>
      </c>
      <c r="AX62" s="354">
        <v>-8.5000000000000006E-2</v>
      </c>
      <c r="AY62" s="354"/>
      <c r="AZ62" s="488">
        <v>0.7</v>
      </c>
      <c r="BA62" s="488">
        <v>0.5</v>
      </c>
      <c r="BB62" s="433">
        <v>-0.45</v>
      </c>
      <c r="BC62" s="428"/>
      <c r="BD62" s="355">
        <v>3.234</v>
      </c>
      <c r="BE62" s="238">
        <v>2.7456903985125485</v>
      </c>
      <c r="BF62" s="319"/>
      <c r="BG62" s="238">
        <v>0.57999999999999996</v>
      </c>
      <c r="BH62" s="293"/>
      <c r="BI62" s="293"/>
      <c r="BJ62" s="238"/>
      <c r="BK62" s="319"/>
      <c r="BL62" s="238"/>
      <c r="BM62" s="238"/>
      <c r="BN62" s="256"/>
      <c r="BO62" s="256"/>
      <c r="BP62" s="293"/>
      <c r="BQ62" s="238"/>
      <c r="BR62" s="293"/>
      <c r="BS62" s="238"/>
      <c r="BT62" s="238"/>
      <c r="BU62" s="238"/>
      <c r="BV62" s="238"/>
      <c r="BW62" s="238"/>
      <c r="BX62" s="238"/>
      <c r="BY62" s="238"/>
      <c r="BZ62" s="238"/>
      <c r="CA62" s="238"/>
      <c r="CB62" s="238"/>
      <c r="CC62" s="238"/>
      <c r="CD62" s="238"/>
      <c r="CE62" s="238"/>
      <c r="CF62" s="238"/>
      <c r="CG62" s="238"/>
    </row>
    <row r="63" spans="1:85">
      <c r="A63" s="356">
        <v>37834</v>
      </c>
      <c r="B63" s="461">
        <v>3.214</v>
      </c>
      <c r="C63" s="489">
        <v>-0.45</v>
      </c>
      <c r="D63" s="359">
        <v>-0.35534790835586616</v>
      </c>
      <c r="E63" s="359">
        <v>-0.38239136311133315</v>
      </c>
      <c r="F63" s="469">
        <v>0.12</v>
      </c>
      <c r="G63" s="470">
        <v>0.12</v>
      </c>
      <c r="H63" s="470">
        <v>0.155</v>
      </c>
      <c r="I63" s="471">
        <v>0.155</v>
      </c>
      <c r="J63" s="470">
        <v>3.5000000000000003E-2</v>
      </c>
      <c r="K63" s="470">
        <v>0.12</v>
      </c>
      <c r="L63" s="470">
        <v>0.43</v>
      </c>
      <c r="M63" s="469">
        <v>-0.46500000000000002</v>
      </c>
      <c r="N63" s="470">
        <v>0.26500000000000001</v>
      </c>
      <c r="O63" s="471">
        <v>0.14499999999999999</v>
      </c>
      <c r="P63" s="419">
        <v>-0.27</v>
      </c>
      <c r="Q63" s="388">
        <v>0.35249999999999998</v>
      </c>
      <c r="R63" s="475">
        <v>0.3175</v>
      </c>
      <c r="S63" s="365">
        <v>0.3175</v>
      </c>
      <c r="T63" s="274">
        <v>0.57999999999999996</v>
      </c>
      <c r="U63" s="494">
        <v>0.3175</v>
      </c>
      <c r="V63" s="225">
        <v>2.7639999999999998</v>
      </c>
      <c r="W63" s="225">
        <v>2.8586520916441338</v>
      </c>
      <c r="X63" s="368">
        <v>2.8316086368886668</v>
      </c>
      <c r="Y63" s="415">
        <v>4.4896068817907375</v>
      </c>
      <c r="Z63" s="465">
        <v>0.14000000000000001</v>
      </c>
      <c r="AA63" s="481">
        <v>0.1</v>
      </c>
      <c r="AB63" s="487">
        <v>4.088235064628706</v>
      </c>
      <c r="AC63" s="312">
        <v>4.2282350646287057</v>
      </c>
      <c r="AD63" s="368">
        <v>4.1882350646287057</v>
      </c>
      <c r="AE63" s="418">
        <v>2.944</v>
      </c>
      <c r="AF63" s="373">
        <v>2.7490000000000001</v>
      </c>
      <c r="AG63" s="374">
        <v>3.359</v>
      </c>
      <c r="AH63" s="423">
        <v>-0.33500000000000002</v>
      </c>
      <c r="AI63" s="467">
        <v>1.5605343467246398</v>
      </c>
      <c r="AJ63" s="478">
        <v>4.3661800705896904E-2</v>
      </c>
      <c r="AK63" s="478">
        <v>4.2272172480167097E-2</v>
      </c>
      <c r="AL63" s="354">
        <v>0.92110054418128429</v>
      </c>
      <c r="AM63" s="377">
        <v>0.92348797685939443</v>
      </c>
      <c r="AN63" s="353">
        <v>0.12</v>
      </c>
      <c r="AO63" s="378">
        <v>0.12</v>
      </c>
      <c r="AP63" s="238"/>
      <c r="AQ63" s="353">
        <v>-3.1274196226623592</v>
      </c>
      <c r="AR63" s="379">
        <v>-2.677419622662359</v>
      </c>
      <c r="AS63" s="238"/>
      <c r="AT63" s="456">
        <v>7.4999999999999997E-3</v>
      </c>
      <c r="AU63" s="238"/>
      <c r="AV63" s="353">
        <v>2.5000000000000001E-3</v>
      </c>
      <c r="AW63" s="425">
        <v>5.0000000000000001E-3</v>
      </c>
      <c r="AX63" s="354">
        <v>-8.5000000000000006E-2</v>
      </c>
      <c r="AY63" s="354"/>
      <c r="AZ63" s="488">
        <v>0.75</v>
      </c>
      <c r="BA63" s="488">
        <v>0.55000000000000004</v>
      </c>
      <c r="BB63" s="433">
        <v>-0.45</v>
      </c>
      <c r="BC63" s="428"/>
      <c r="BD63" s="355">
        <v>3.254</v>
      </c>
      <c r="BE63" s="238">
        <v>2.7656902159222163</v>
      </c>
      <c r="BF63" s="319"/>
      <c r="BG63" s="238">
        <v>0.63</v>
      </c>
      <c r="BH63" s="293"/>
      <c r="BI63" s="293"/>
      <c r="BJ63" s="238"/>
      <c r="BK63" s="319"/>
      <c r="BL63" s="238"/>
      <c r="BM63" s="238"/>
      <c r="BN63" s="256"/>
      <c r="BO63" s="256"/>
      <c r="BP63" s="293"/>
      <c r="BQ63" s="238"/>
      <c r="BR63" s="293"/>
      <c r="BS63" s="238"/>
      <c r="BT63" s="238"/>
      <c r="BU63" s="238"/>
      <c r="BV63" s="238"/>
      <c r="BW63" s="238"/>
      <c r="BX63" s="238"/>
      <c r="BY63" s="238"/>
      <c r="BZ63" s="238"/>
      <c r="CA63" s="238"/>
      <c r="CB63" s="238"/>
      <c r="CC63" s="238"/>
      <c r="CD63" s="238"/>
      <c r="CE63" s="238"/>
      <c r="CF63" s="238"/>
      <c r="CG63" s="238"/>
    </row>
    <row r="64" spans="1:85">
      <c r="A64" s="356">
        <v>37865</v>
      </c>
      <c r="B64" s="461">
        <v>3.2149999999999999</v>
      </c>
      <c r="C64" s="489">
        <v>-0.45</v>
      </c>
      <c r="D64" s="359">
        <v>-0.35535806692234218</v>
      </c>
      <c r="E64" s="359">
        <v>-0.38239861923024465</v>
      </c>
      <c r="F64" s="469">
        <v>0.12</v>
      </c>
      <c r="G64" s="470">
        <v>0.12</v>
      </c>
      <c r="H64" s="470">
        <v>0.155</v>
      </c>
      <c r="I64" s="471">
        <v>0.155</v>
      </c>
      <c r="J64" s="470">
        <v>3.5000000000000003E-2</v>
      </c>
      <c r="K64" s="470">
        <v>0.12</v>
      </c>
      <c r="L64" s="470">
        <v>0.38</v>
      </c>
      <c r="M64" s="469">
        <v>-0.46500000000000002</v>
      </c>
      <c r="N64" s="470">
        <v>0.26500000000000001</v>
      </c>
      <c r="O64" s="471">
        <v>0.14499999999999999</v>
      </c>
      <c r="P64" s="419">
        <v>-0.27</v>
      </c>
      <c r="Q64" s="388">
        <v>0.35260000000000002</v>
      </c>
      <c r="R64" s="475">
        <v>0.31759999999999999</v>
      </c>
      <c r="S64" s="365">
        <v>0.31759999999999999</v>
      </c>
      <c r="T64" s="274">
        <v>0.57999999999999996</v>
      </c>
      <c r="U64" s="494">
        <v>0.31759999999999999</v>
      </c>
      <c r="V64" s="225">
        <v>2.7650000000000001</v>
      </c>
      <c r="W64" s="225">
        <v>2.8596419330776577</v>
      </c>
      <c r="X64" s="368">
        <v>2.8326013807697552</v>
      </c>
      <c r="Y64" s="415">
        <v>4.0442493083045923</v>
      </c>
      <c r="Z64" s="465">
        <v>0.14000000000000001</v>
      </c>
      <c r="AA64" s="481">
        <v>0.1</v>
      </c>
      <c r="AB64" s="487">
        <v>4.0901531426071625</v>
      </c>
      <c r="AC64" s="312">
        <v>4.2301531426071621</v>
      </c>
      <c r="AD64" s="368">
        <v>4.1901531426071621</v>
      </c>
      <c r="AE64" s="418">
        <v>2.9449999999999998</v>
      </c>
      <c r="AF64" s="373">
        <v>2.75</v>
      </c>
      <c r="AG64" s="374">
        <v>3.36</v>
      </c>
      <c r="AH64" s="423">
        <v>-0.33500000000000002</v>
      </c>
      <c r="AI64" s="467">
        <v>1.56070184955752</v>
      </c>
      <c r="AJ64" s="478">
        <v>4.4137190533842997E-2</v>
      </c>
      <c r="AK64" s="478">
        <v>4.2751417107463704E-2</v>
      </c>
      <c r="AL64" s="354">
        <v>0.91688193947838759</v>
      </c>
      <c r="AM64" s="377">
        <v>0.91935710810781146</v>
      </c>
      <c r="AN64" s="353">
        <v>0.12</v>
      </c>
      <c r="AO64" s="378">
        <v>0.124</v>
      </c>
      <c r="AP64" s="238"/>
      <c r="AQ64" s="353">
        <v>-3.1284268757483056</v>
      </c>
      <c r="AR64" s="379">
        <v>-2.6784268757483054</v>
      </c>
      <c r="AS64" s="238"/>
      <c r="AT64" s="456">
        <v>7.4999999999999997E-3</v>
      </c>
      <c r="AU64" s="238"/>
      <c r="AV64" s="353">
        <v>2.5000000000000001E-3</v>
      </c>
      <c r="AW64" s="425">
        <v>5.0000000000000001E-3</v>
      </c>
      <c r="AX64" s="354">
        <v>-8.5000000000000006E-2</v>
      </c>
      <c r="AY64" s="354"/>
      <c r="AZ64" s="488">
        <v>0.75</v>
      </c>
      <c r="BA64" s="488">
        <v>0.55000000000000004</v>
      </c>
      <c r="BB64" s="433">
        <v>-0.45</v>
      </c>
      <c r="BC64" s="428"/>
      <c r="BD64" s="355">
        <v>3.2549999999999999</v>
      </c>
      <c r="BE64" s="238">
        <v>2.7666900345192436</v>
      </c>
      <c r="BF64" s="319"/>
      <c r="BG64" s="238">
        <v>0.63</v>
      </c>
      <c r="BH64" s="293"/>
      <c r="BI64" s="293"/>
      <c r="BJ64" s="238"/>
      <c r="BK64" s="319"/>
      <c r="BL64" s="238"/>
      <c r="BM64" s="238"/>
      <c r="BN64" s="256"/>
      <c r="BO64" s="256"/>
      <c r="BP64" s="293"/>
      <c r="BQ64" s="238"/>
      <c r="BR64" s="293"/>
      <c r="BS64" s="238"/>
      <c r="BT64" s="238"/>
      <c r="BU64" s="238"/>
      <c r="BV64" s="238"/>
      <c r="BW64" s="238"/>
      <c r="BX64" s="238"/>
      <c r="BY64" s="238"/>
      <c r="BZ64" s="238"/>
      <c r="CA64" s="238"/>
      <c r="CB64" s="238"/>
      <c r="CC64" s="238"/>
      <c r="CD64" s="238"/>
      <c r="CE64" s="238"/>
      <c r="CF64" s="238"/>
      <c r="CG64" s="238"/>
    </row>
    <row r="65" spans="1:85">
      <c r="A65" s="356">
        <v>37895</v>
      </c>
      <c r="B65" s="461">
        <v>3.22</v>
      </c>
      <c r="C65" s="489">
        <v>-0.45</v>
      </c>
      <c r="D65" s="359">
        <v>-0.35534980105331959</v>
      </c>
      <c r="E65" s="359">
        <v>-0.38239271503808503</v>
      </c>
      <c r="F65" s="469">
        <v>0.12</v>
      </c>
      <c r="G65" s="470">
        <v>0.12</v>
      </c>
      <c r="H65" s="470">
        <v>0.155</v>
      </c>
      <c r="I65" s="471">
        <v>0.155</v>
      </c>
      <c r="J65" s="470">
        <v>3.5000000000000003E-2</v>
      </c>
      <c r="K65" s="470">
        <v>0.12</v>
      </c>
      <c r="L65" s="470">
        <v>0.42</v>
      </c>
      <c r="M65" s="469">
        <v>-0.46500000000000002</v>
      </c>
      <c r="N65" s="470">
        <v>0.26500000000000001</v>
      </c>
      <c r="O65" s="471">
        <v>0.14499999999999999</v>
      </c>
      <c r="P65" s="419">
        <v>-0.27</v>
      </c>
      <c r="Q65" s="388">
        <v>0.35249999999999998</v>
      </c>
      <c r="R65" s="475">
        <v>0.3175</v>
      </c>
      <c r="S65" s="365">
        <v>0.3175</v>
      </c>
      <c r="T65" s="274">
        <v>0.63</v>
      </c>
      <c r="U65" s="494">
        <v>0.3175</v>
      </c>
      <c r="V65" s="225">
        <v>2.77</v>
      </c>
      <c r="W65" s="225">
        <v>2.8646501989466806</v>
      </c>
      <c r="X65" s="368">
        <v>2.8376072849619152</v>
      </c>
      <c r="Y65" s="318" t="s">
        <v>240</v>
      </c>
      <c r="Z65" s="465">
        <v>0.14000000000000001</v>
      </c>
      <c r="AA65" s="481">
        <v>0.1</v>
      </c>
      <c r="AB65" s="487">
        <v>4.0971915993378767</v>
      </c>
      <c r="AC65" s="312">
        <v>4.2371915993378764</v>
      </c>
      <c r="AD65" s="368">
        <v>4.1971915993378763</v>
      </c>
      <c r="AE65" s="418">
        <v>2.95</v>
      </c>
      <c r="AF65" s="373">
        <v>2.7549999999999999</v>
      </c>
      <c r="AG65" s="374">
        <v>3.3650000000000002</v>
      </c>
      <c r="AH65" s="423">
        <v>-0.33500000000000002</v>
      </c>
      <c r="AI65" s="467">
        <v>1.5605655523577699</v>
      </c>
      <c r="AJ65" s="478">
        <v>4.4491782754402902E-2</v>
      </c>
      <c r="AK65" s="478">
        <v>4.3203856964039805E-2</v>
      </c>
      <c r="AL65" s="354">
        <v>0.9129443066738584</v>
      </c>
      <c r="AM65" s="377">
        <v>0.9153289021627804</v>
      </c>
      <c r="AN65" s="353">
        <v>0.12</v>
      </c>
      <c r="AO65" s="378">
        <v>0.12</v>
      </c>
      <c r="AP65" s="238"/>
      <c r="AQ65" s="353">
        <v>-3.1334209740240233</v>
      </c>
      <c r="AR65" s="379">
        <v>-2.6834209740240231</v>
      </c>
      <c r="AS65" s="238"/>
      <c r="AT65" s="456">
        <v>7.4999999999999997E-3</v>
      </c>
      <c r="AU65" s="238"/>
      <c r="AV65" s="353">
        <v>2.5000000000000001E-3</v>
      </c>
      <c r="AW65" s="425">
        <v>5.0000000000000001E-3</v>
      </c>
      <c r="AX65" s="354">
        <v>-8.5000000000000006E-2</v>
      </c>
      <c r="AY65" s="354"/>
      <c r="AZ65" s="488">
        <v>0.8</v>
      </c>
      <c r="BA65" s="488">
        <v>0.6</v>
      </c>
      <c r="BB65" s="433">
        <v>-0.45</v>
      </c>
      <c r="BC65" s="428"/>
      <c r="BD65" s="355">
        <v>3.26</v>
      </c>
      <c r="BE65" s="238">
        <v>2.7716901821240478</v>
      </c>
      <c r="BF65" s="319"/>
      <c r="BG65" s="238">
        <v>0.68</v>
      </c>
      <c r="BH65" s="293"/>
      <c r="BI65" s="293"/>
      <c r="BJ65" s="238"/>
      <c r="BK65" s="319"/>
      <c r="BL65" s="238"/>
      <c r="BM65" s="238"/>
      <c r="BN65" s="256"/>
      <c r="BO65" s="256"/>
      <c r="BP65" s="293"/>
      <c r="BQ65" s="238"/>
      <c r="BR65" s="293"/>
      <c r="BS65" s="238"/>
      <c r="BT65" s="238"/>
      <c r="BU65" s="238"/>
      <c r="BV65" s="238"/>
      <c r="BW65" s="238"/>
      <c r="BX65" s="238"/>
      <c r="BY65" s="238"/>
      <c r="BZ65" s="238"/>
      <c r="CA65" s="238"/>
      <c r="CB65" s="238"/>
      <c r="CC65" s="238"/>
      <c r="CD65" s="238"/>
      <c r="CE65" s="238"/>
      <c r="CF65" s="238"/>
      <c r="CG65" s="238"/>
    </row>
    <row r="66" spans="1:85">
      <c r="A66" s="460">
        <v>37926</v>
      </c>
      <c r="B66" s="461">
        <v>3.37</v>
      </c>
      <c r="C66" s="468">
        <v>-0.42</v>
      </c>
      <c r="D66" s="359">
        <v>-0.32533919045705595</v>
      </c>
      <c r="E66" s="359">
        <v>-0.12</v>
      </c>
      <c r="F66" s="469">
        <v>0.23499999999999999</v>
      </c>
      <c r="G66" s="470">
        <v>0.375</v>
      </c>
      <c r="H66" s="470">
        <v>0.38500000000000001</v>
      </c>
      <c r="I66" s="471">
        <v>0.52500000000000002</v>
      </c>
      <c r="J66" s="470">
        <v>0.13</v>
      </c>
      <c r="K66" s="470">
        <v>0.15</v>
      </c>
      <c r="L66" s="470">
        <v>0.72</v>
      </c>
      <c r="M66" s="469">
        <v>-0.27</v>
      </c>
      <c r="N66" s="470">
        <v>0.24</v>
      </c>
      <c r="O66" s="471">
        <v>0.24</v>
      </c>
      <c r="P66" s="495">
        <v>0.18</v>
      </c>
      <c r="Q66" s="388">
        <v>0.35499999999999998</v>
      </c>
      <c r="R66" s="475">
        <v>0.32</v>
      </c>
      <c r="S66" s="365">
        <v>0.32</v>
      </c>
      <c r="T66" s="274">
        <v>0.83</v>
      </c>
      <c r="U66" s="494">
        <v>0.32</v>
      </c>
      <c r="V66" s="225">
        <v>2.95</v>
      </c>
      <c r="W66" s="225">
        <v>3.0446608095429442</v>
      </c>
      <c r="X66" s="368">
        <v>3.25</v>
      </c>
      <c r="Y66" s="415"/>
      <c r="Z66" s="465">
        <v>0.14000000000000001</v>
      </c>
      <c r="AA66" s="481">
        <v>0.44368942335049688</v>
      </c>
      <c r="AB66" s="487">
        <v>4.3629459962798878</v>
      </c>
      <c r="AC66" s="312">
        <v>4.5029459962798875</v>
      </c>
      <c r="AD66" s="368">
        <v>4.8066354196303847</v>
      </c>
      <c r="AE66" s="418">
        <v>3.55</v>
      </c>
      <c r="AF66" s="373">
        <v>3.1</v>
      </c>
      <c r="AG66" s="374">
        <v>3.61</v>
      </c>
      <c r="AH66" s="423">
        <v>-0.18</v>
      </c>
      <c r="AI66" s="467">
        <v>1.56039062747494</v>
      </c>
      <c r="AJ66" s="478">
        <v>4.4841428921057198E-2</v>
      </c>
      <c r="AK66" s="478">
        <v>4.3657167315813698E-2</v>
      </c>
      <c r="AL66" s="354">
        <v>0.90887100854657499</v>
      </c>
      <c r="AM66" s="377">
        <v>0.91114282256329726</v>
      </c>
      <c r="AN66" s="353">
        <v>0.38500000000000001</v>
      </c>
      <c r="AO66" s="378">
        <v>0.124</v>
      </c>
      <c r="AP66" s="238"/>
      <c r="AQ66" s="353">
        <v>-3.0507172103949736</v>
      </c>
      <c r="AR66" s="379">
        <v>-2.6307172103949736</v>
      </c>
      <c r="AS66" s="238"/>
      <c r="AT66" s="456">
        <v>7.4999999999999997E-3</v>
      </c>
      <c r="AU66" s="238"/>
      <c r="AV66" s="353">
        <v>8.0000000000000002E-3</v>
      </c>
      <c r="AW66" s="425">
        <v>0.02</v>
      </c>
      <c r="AX66" s="354">
        <v>5.0000000000000001E-3</v>
      </c>
      <c r="AY66" s="354"/>
      <c r="AZ66" s="488">
        <v>1</v>
      </c>
      <c r="BA66" s="488">
        <v>0.8</v>
      </c>
      <c r="BB66" s="433">
        <v>-0.42</v>
      </c>
      <c r="BC66" s="428"/>
      <c r="BD66" s="355">
        <v>3.52</v>
      </c>
      <c r="BE66" s="238">
        <v>2.95540918911674</v>
      </c>
      <c r="BF66" s="319"/>
      <c r="BG66" s="238">
        <v>0.83</v>
      </c>
      <c r="BH66" s="293"/>
      <c r="BI66" s="293"/>
      <c r="BJ66" s="238"/>
      <c r="BK66" s="319"/>
      <c r="BL66" s="238"/>
      <c r="BM66" s="238"/>
      <c r="BN66" s="256"/>
      <c r="BO66" s="256"/>
      <c r="BP66" s="293"/>
      <c r="BQ66" s="238"/>
      <c r="BR66" s="293"/>
      <c r="BS66" s="238"/>
      <c r="BT66" s="238"/>
      <c r="BU66" s="238"/>
      <c r="BV66" s="238"/>
      <c r="BW66" s="238"/>
      <c r="BX66" s="238"/>
      <c r="BY66" s="238"/>
      <c r="BZ66" s="238"/>
      <c r="CA66" s="238"/>
      <c r="CB66" s="238"/>
      <c r="CC66" s="238"/>
      <c r="CD66" s="238"/>
      <c r="CE66" s="238"/>
      <c r="CF66" s="238"/>
      <c r="CG66" s="238"/>
    </row>
    <row r="67" spans="1:85">
      <c r="A67" s="356">
        <v>37956</v>
      </c>
      <c r="B67" s="461">
        <v>3.5260000000000002</v>
      </c>
      <c r="C67" s="493">
        <v>-0.42</v>
      </c>
      <c r="D67" s="359">
        <v>-0.32532737343044182</v>
      </c>
      <c r="E67" s="359">
        <v>-0.12</v>
      </c>
      <c r="F67" s="469">
        <v>0.23499999999999999</v>
      </c>
      <c r="G67" s="470">
        <v>0.375</v>
      </c>
      <c r="H67" s="470">
        <v>0.38500000000000001</v>
      </c>
      <c r="I67" s="471">
        <v>0.52500000000000002</v>
      </c>
      <c r="J67" s="470">
        <v>0.13</v>
      </c>
      <c r="K67" s="470">
        <v>0.15</v>
      </c>
      <c r="L67" s="470">
        <v>1</v>
      </c>
      <c r="M67" s="469">
        <v>-0.27</v>
      </c>
      <c r="N67" s="470">
        <v>0.24</v>
      </c>
      <c r="O67" s="471">
        <v>0.24</v>
      </c>
      <c r="P67" s="495">
        <v>0.28000000000000003</v>
      </c>
      <c r="Q67" s="388">
        <v>0.35499999999999998</v>
      </c>
      <c r="R67" s="475">
        <v>0.32</v>
      </c>
      <c r="S67" s="365">
        <v>0.32</v>
      </c>
      <c r="T67" s="274">
        <v>1.03</v>
      </c>
      <c r="U67" s="494">
        <v>0.32</v>
      </c>
      <c r="V67" s="225">
        <v>3.1060000000000003</v>
      </c>
      <c r="W67" s="225">
        <v>3.2006726265695584</v>
      </c>
      <c r="X67" s="368">
        <v>3.4060000000000006</v>
      </c>
      <c r="Y67" s="318" t="s">
        <v>238</v>
      </c>
      <c r="Z67" s="465">
        <v>0.14000000000000001</v>
      </c>
      <c r="AA67" s="481">
        <v>0.44363404208651236</v>
      </c>
      <c r="AB67" s="487">
        <v>4.593091115735688</v>
      </c>
      <c r="AC67" s="312">
        <v>4.7330911157356876</v>
      </c>
      <c r="AD67" s="368">
        <v>5.0367251578222003</v>
      </c>
      <c r="AE67" s="418">
        <v>3.806</v>
      </c>
      <c r="AF67" s="373">
        <v>3.2560000000000002</v>
      </c>
      <c r="AG67" s="374">
        <v>3.766</v>
      </c>
      <c r="AH67" s="423">
        <v>-0.18</v>
      </c>
      <c r="AI67" s="467">
        <v>1.56019585969209</v>
      </c>
      <c r="AJ67" s="478">
        <v>4.5179796218072006E-2</v>
      </c>
      <c r="AK67" s="478">
        <v>4.4095854818543098E-2</v>
      </c>
      <c r="AL67" s="354">
        <v>0.90489650425265522</v>
      </c>
      <c r="AM67" s="377">
        <v>0.90704515219071125</v>
      </c>
      <c r="AN67" s="353">
        <v>0.38500000000000001</v>
      </c>
      <c r="AO67" s="378">
        <v>0.12</v>
      </c>
      <c r="AP67" s="238"/>
      <c r="AQ67" s="353">
        <v>-3.210724337824828</v>
      </c>
      <c r="AR67" s="379">
        <v>-2.7907243378248281</v>
      </c>
      <c r="AS67" s="238"/>
      <c r="AT67" s="456">
        <v>7.4999999999999997E-3</v>
      </c>
      <c r="AU67" s="238"/>
      <c r="AV67" s="353">
        <v>8.0000000000000002E-3</v>
      </c>
      <c r="AW67" s="425">
        <v>0.02</v>
      </c>
      <c r="AX67" s="354">
        <v>0.01</v>
      </c>
      <c r="AY67" s="354"/>
      <c r="AZ67" s="488">
        <v>1.2</v>
      </c>
      <c r="BA67" s="488">
        <v>1</v>
      </c>
      <c r="BB67" s="433">
        <v>-0.42</v>
      </c>
      <c r="BC67" s="428"/>
      <c r="BD67" s="355">
        <v>3.6760000000000002</v>
      </c>
      <c r="BE67" s="238">
        <v>3.1114098643754038</v>
      </c>
      <c r="BF67" s="319"/>
      <c r="BG67" s="238">
        <v>1.1299999999999999</v>
      </c>
      <c r="BH67" s="293"/>
      <c r="BI67" s="293"/>
      <c r="BJ67" s="238"/>
      <c r="BK67" s="319"/>
      <c r="BL67" s="238"/>
      <c r="BM67" s="238"/>
      <c r="BN67" s="256"/>
      <c r="BO67" s="256"/>
      <c r="BP67" s="293"/>
      <c r="BQ67" s="238"/>
      <c r="BR67" s="293"/>
      <c r="BS67" s="238"/>
      <c r="BT67" s="238"/>
      <c r="BU67" s="238"/>
      <c r="BV67" s="238"/>
      <c r="BW67" s="238"/>
      <c r="BX67" s="238"/>
      <c r="BY67" s="238"/>
      <c r="BZ67" s="238"/>
      <c r="CA67" s="238"/>
      <c r="CB67" s="238"/>
      <c r="CC67" s="238"/>
      <c r="CD67" s="238"/>
      <c r="CE67" s="238"/>
      <c r="CF67" s="238"/>
      <c r="CG67" s="238"/>
    </row>
    <row r="68" spans="1:85">
      <c r="A68" s="356">
        <v>37987</v>
      </c>
      <c r="B68" s="461">
        <v>3.5820000000000003</v>
      </c>
      <c r="C68" s="493">
        <v>-0.42</v>
      </c>
      <c r="D68" s="359">
        <v>-0.3253153178776782</v>
      </c>
      <c r="E68" s="359">
        <v>-0.12</v>
      </c>
      <c r="F68" s="469">
        <v>0.23499999999999999</v>
      </c>
      <c r="G68" s="470">
        <v>0.375</v>
      </c>
      <c r="H68" s="470">
        <v>0.38500000000000001</v>
      </c>
      <c r="I68" s="471">
        <v>0.52500000000000002</v>
      </c>
      <c r="J68" s="470">
        <v>0.13</v>
      </c>
      <c r="K68" s="470">
        <v>0.15</v>
      </c>
      <c r="L68" s="470">
        <v>1.6</v>
      </c>
      <c r="M68" s="469">
        <v>-0.27</v>
      </c>
      <c r="N68" s="470">
        <v>0.24</v>
      </c>
      <c r="O68" s="471">
        <v>0.24</v>
      </c>
      <c r="P68" s="495">
        <v>0.45</v>
      </c>
      <c r="Q68" s="388">
        <v>0.35499999999999998</v>
      </c>
      <c r="R68" s="475">
        <v>0.32</v>
      </c>
      <c r="S68" s="365">
        <v>0.32</v>
      </c>
      <c r="T68" s="274">
        <v>1</v>
      </c>
      <c r="U68" s="494">
        <v>0.32</v>
      </c>
      <c r="V68" s="225">
        <v>3.1620000000000004</v>
      </c>
      <c r="W68" s="225">
        <v>3.2566846821223221</v>
      </c>
      <c r="X68" s="368">
        <v>3.4620000000000002</v>
      </c>
      <c r="Y68" s="415"/>
      <c r="Z68" s="465">
        <v>0.14000000000000001</v>
      </c>
      <c r="AA68" s="481">
        <v>0.44357755719917336</v>
      </c>
      <c r="AB68" s="487">
        <v>4.6753074528792862</v>
      </c>
      <c r="AC68" s="312">
        <v>4.8153074528792859</v>
      </c>
      <c r="AD68" s="368">
        <v>5.1188850100784595</v>
      </c>
      <c r="AE68" s="418">
        <v>4.032</v>
      </c>
      <c r="AF68" s="373">
        <v>3.3120000000000003</v>
      </c>
      <c r="AG68" s="374">
        <v>3.8220000000000001</v>
      </c>
      <c r="AH68" s="423">
        <v>-0.18</v>
      </c>
      <c r="AI68" s="467">
        <v>1.5599972106277697</v>
      </c>
      <c r="AJ68" s="478">
        <v>4.5529442465241501E-2</v>
      </c>
      <c r="AK68" s="478">
        <v>4.4541002297811404E-2</v>
      </c>
      <c r="AL68" s="354">
        <v>0.90075645246553071</v>
      </c>
      <c r="AM68" s="377">
        <v>0.90278031050510088</v>
      </c>
      <c r="AN68" s="353">
        <v>0.38500000000000001</v>
      </c>
      <c r="AO68" s="378">
        <v>0.12</v>
      </c>
      <c r="AP68" s="238"/>
      <c r="AQ68" s="353">
        <v>-3.2657317660790688</v>
      </c>
      <c r="AR68" s="379">
        <v>-2.8457317660790689</v>
      </c>
      <c r="AS68" s="238"/>
      <c r="AT68" s="456">
        <v>7.4999999999999997E-3</v>
      </c>
      <c r="AU68" s="238"/>
      <c r="AV68" s="353">
        <v>8.0000000000000002E-3</v>
      </c>
      <c r="AW68" s="425">
        <v>0.02</v>
      </c>
      <c r="AX68" s="354">
        <v>0.03</v>
      </c>
      <c r="AY68" s="354"/>
      <c r="AZ68" s="488">
        <v>1.2</v>
      </c>
      <c r="BA68" s="488">
        <v>1</v>
      </c>
      <c r="BB68" s="433">
        <v>-0.42</v>
      </c>
      <c r="BC68" s="428"/>
      <c r="BD68" s="355">
        <v>3.7320000000000002</v>
      </c>
      <c r="BE68" s="238">
        <v>3.167410553264133</v>
      </c>
      <c r="BF68" s="319"/>
      <c r="BG68" s="238">
        <v>1.1000000000000001</v>
      </c>
      <c r="BH68" s="293"/>
      <c r="BI68" s="293"/>
      <c r="BJ68" s="238"/>
      <c r="BK68" s="319"/>
      <c r="BL68" s="238"/>
      <c r="BM68" s="238"/>
      <c r="BN68" s="256"/>
      <c r="BO68" s="256"/>
      <c r="BP68" s="293"/>
      <c r="BQ68" s="238"/>
      <c r="BR68" s="293"/>
      <c r="BS68" s="238"/>
      <c r="BT68" s="238"/>
      <c r="BU68" s="238"/>
      <c r="BV68" s="238"/>
      <c r="BW68" s="238"/>
      <c r="BX68" s="238"/>
      <c r="BY68" s="238"/>
      <c r="BZ68" s="238"/>
      <c r="CA68" s="238"/>
      <c r="CB68" s="238"/>
      <c r="CC68" s="238"/>
      <c r="CD68" s="238"/>
      <c r="CE68" s="238"/>
      <c r="CF68" s="238"/>
      <c r="CG68" s="238"/>
    </row>
    <row r="69" spans="1:85">
      <c r="A69" s="356">
        <v>38018</v>
      </c>
      <c r="B69" s="461">
        <v>3.468</v>
      </c>
      <c r="C69" s="493">
        <v>-0.42</v>
      </c>
      <c r="D69" s="359">
        <v>-0.32530370511223916</v>
      </c>
      <c r="E69" s="359">
        <v>-0.12</v>
      </c>
      <c r="F69" s="469">
        <v>0.23499999999999999</v>
      </c>
      <c r="G69" s="470">
        <v>0.375</v>
      </c>
      <c r="H69" s="470">
        <v>0.38500000000000001</v>
      </c>
      <c r="I69" s="471">
        <v>0.52500000000000002</v>
      </c>
      <c r="J69" s="470">
        <v>0.13</v>
      </c>
      <c r="K69" s="470">
        <v>0.15</v>
      </c>
      <c r="L69" s="470">
        <v>1.6</v>
      </c>
      <c r="M69" s="469">
        <v>-0.27</v>
      </c>
      <c r="N69" s="470">
        <v>0.24</v>
      </c>
      <c r="O69" s="471">
        <v>0.24</v>
      </c>
      <c r="P69" s="495">
        <v>0.19</v>
      </c>
      <c r="Q69" s="388">
        <v>0.34749999999999998</v>
      </c>
      <c r="R69" s="475">
        <v>0.3125</v>
      </c>
      <c r="S69" s="365">
        <v>0.3125</v>
      </c>
      <c r="T69" s="274">
        <v>1</v>
      </c>
      <c r="U69" s="494">
        <v>0.3125</v>
      </c>
      <c r="V69" s="225">
        <v>3.048</v>
      </c>
      <c r="W69" s="225">
        <v>3.1426962948877608</v>
      </c>
      <c r="X69" s="368">
        <v>3.3480000000000003</v>
      </c>
      <c r="Y69" s="226"/>
      <c r="Z69" s="465">
        <v>0.14000000000000001</v>
      </c>
      <c r="AA69" s="481">
        <v>0.44352316053949892</v>
      </c>
      <c r="AB69" s="487">
        <v>4.5061953110813029</v>
      </c>
      <c r="AC69" s="312">
        <v>4.6461953110813026</v>
      </c>
      <c r="AD69" s="368">
        <v>4.9497184716208018</v>
      </c>
      <c r="AE69" s="418">
        <v>3.6579999999999999</v>
      </c>
      <c r="AF69" s="373">
        <v>3.198</v>
      </c>
      <c r="AG69" s="374">
        <v>3.7080000000000002</v>
      </c>
      <c r="AH69" s="423">
        <v>-0.18</v>
      </c>
      <c r="AI69" s="467">
        <v>1.5598059055538698</v>
      </c>
      <c r="AJ69" s="478">
        <v>4.5879088753318205E-2</v>
      </c>
      <c r="AK69" s="478">
        <v>4.4977442633699703E-2</v>
      </c>
      <c r="AL69" s="354">
        <v>0.89658343317304279</v>
      </c>
      <c r="AM69" s="377">
        <v>0.89848771852558718</v>
      </c>
      <c r="AN69" s="353">
        <v>0.38500000000000001</v>
      </c>
      <c r="AO69" s="378">
        <v>0.13300000000000001</v>
      </c>
      <c r="AP69" s="238"/>
      <c r="AQ69" s="353">
        <v>-3.1517392445746086</v>
      </c>
      <c r="AR69" s="379">
        <v>-2.7317392445746087</v>
      </c>
      <c r="AS69" s="238"/>
      <c r="AT69" s="456">
        <v>7.4999999999999997E-3</v>
      </c>
      <c r="AU69" s="238"/>
      <c r="AV69" s="353">
        <v>8.0000000000000002E-3</v>
      </c>
      <c r="AW69" s="425">
        <v>0.02</v>
      </c>
      <c r="AX69" s="354">
        <v>2.5000000000000001E-2</v>
      </c>
      <c r="AY69" s="354"/>
      <c r="AZ69" s="488">
        <v>1.2</v>
      </c>
      <c r="BA69" s="488">
        <v>1</v>
      </c>
      <c r="BB69" s="433">
        <v>-0.42</v>
      </c>
      <c r="BC69" s="428"/>
      <c r="BD69" s="355">
        <v>3.6179999999999999</v>
      </c>
      <c r="BE69" s="238">
        <v>3.053411216850729</v>
      </c>
      <c r="BF69" s="319"/>
      <c r="BG69" s="238">
        <v>1.1000000000000001</v>
      </c>
      <c r="BH69" s="293"/>
      <c r="BI69" s="293"/>
      <c r="BJ69" s="238"/>
      <c r="BK69" s="319"/>
      <c r="BL69" s="238"/>
      <c r="BM69" s="238"/>
      <c r="BN69" s="256"/>
      <c r="BO69" s="256"/>
      <c r="BP69" s="293"/>
      <c r="BQ69" s="238"/>
      <c r="BR69" s="293"/>
      <c r="BS69" s="238"/>
      <c r="BT69" s="238"/>
      <c r="BU69" s="238"/>
      <c r="BV69" s="238"/>
      <c r="BW69" s="238"/>
      <c r="BX69" s="238"/>
      <c r="BY69" s="238"/>
      <c r="BZ69" s="238"/>
      <c r="CA69" s="238"/>
      <c r="CB69" s="238"/>
      <c r="CC69" s="238"/>
      <c r="CD69" s="238"/>
      <c r="CE69" s="238"/>
      <c r="CF69" s="238"/>
      <c r="CG69" s="238"/>
    </row>
    <row r="70" spans="1:85">
      <c r="A70" s="356">
        <v>38047</v>
      </c>
      <c r="B70" s="461">
        <v>3.3360000000000003</v>
      </c>
      <c r="C70" s="493">
        <v>-0.42</v>
      </c>
      <c r="D70" s="359">
        <v>-0.32529160937874968</v>
      </c>
      <c r="E70" s="359">
        <v>-0.12000000000000055</v>
      </c>
      <c r="F70" s="469">
        <v>0.23499999999999999</v>
      </c>
      <c r="G70" s="470">
        <v>0.375</v>
      </c>
      <c r="H70" s="470">
        <v>0.38500000000000001</v>
      </c>
      <c r="I70" s="471">
        <v>0.52500000000000002</v>
      </c>
      <c r="J70" s="470">
        <v>0.13</v>
      </c>
      <c r="K70" s="470">
        <v>0.15</v>
      </c>
      <c r="L70" s="470">
        <v>0.71</v>
      </c>
      <c r="M70" s="469">
        <v>-0.27</v>
      </c>
      <c r="N70" s="470">
        <v>0.24</v>
      </c>
      <c r="O70" s="471">
        <v>0.24</v>
      </c>
      <c r="P70" s="495">
        <v>0.15</v>
      </c>
      <c r="Q70" s="388">
        <v>0.34</v>
      </c>
      <c r="R70" s="475">
        <v>0.30499999999999999</v>
      </c>
      <c r="S70" s="365">
        <v>0.30499999999999999</v>
      </c>
      <c r="T70" s="274">
        <v>0.75</v>
      </c>
      <c r="U70" s="494">
        <v>0.30499999999999999</v>
      </c>
      <c r="V70" s="225">
        <v>2.9160000000000004</v>
      </c>
      <c r="W70" s="225">
        <v>3.0107083906212506</v>
      </c>
      <c r="X70" s="368">
        <v>3.2159999999999997</v>
      </c>
      <c r="Y70" s="226"/>
      <c r="Z70" s="465">
        <v>0.14000000000000001</v>
      </c>
      <c r="AA70" s="481">
        <v>0.44346651573842699</v>
      </c>
      <c r="AB70" s="487">
        <v>4.3104945329775211</v>
      </c>
      <c r="AC70" s="312">
        <v>4.4504945329775207</v>
      </c>
      <c r="AD70" s="368">
        <v>4.753961048715948</v>
      </c>
      <c r="AE70" s="418">
        <v>3.4860000000000002</v>
      </c>
      <c r="AF70" s="373">
        <v>3.0660000000000003</v>
      </c>
      <c r="AG70" s="374">
        <v>3.5760000000000005</v>
      </c>
      <c r="AH70" s="423">
        <v>-0.18</v>
      </c>
      <c r="AI70" s="467">
        <v>1.5596066940964097</v>
      </c>
      <c r="AJ70" s="478">
        <v>4.6206177253385501E-2</v>
      </c>
      <c r="AK70" s="478">
        <v>4.5385725586280401E-2</v>
      </c>
      <c r="AL70" s="354">
        <v>0.89265036922002761</v>
      </c>
      <c r="AM70" s="377">
        <v>0.89443205353240385</v>
      </c>
      <c r="AN70" s="353">
        <v>0.38500000000000001</v>
      </c>
      <c r="AO70" s="378">
        <v>0.12</v>
      </c>
      <c r="AP70" s="238"/>
      <c r="AQ70" s="353">
        <v>-3.0197463708471846</v>
      </c>
      <c r="AR70" s="379">
        <v>-2.5997463708471846</v>
      </c>
      <c r="AS70" s="238"/>
      <c r="AT70" s="456">
        <v>7.4999999999999997E-3</v>
      </c>
      <c r="AU70" s="238"/>
      <c r="AV70" s="353">
        <v>8.0000000000000002E-3</v>
      </c>
      <c r="AW70" s="425">
        <v>0.02</v>
      </c>
      <c r="AX70" s="354">
        <v>5.0000000000000001E-3</v>
      </c>
      <c r="AY70" s="354"/>
      <c r="AZ70" s="488">
        <v>0.95</v>
      </c>
      <c r="BA70" s="488">
        <v>0.75</v>
      </c>
      <c r="BB70" s="433">
        <v>-0.42</v>
      </c>
      <c r="BC70" s="428"/>
      <c r="BD70" s="355">
        <v>3.4860000000000002</v>
      </c>
      <c r="BE70" s="238">
        <v>2.9214119080355005</v>
      </c>
      <c r="BF70" s="319"/>
      <c r="BG70" s="238">
        <v>0.75</v>
      </c>
      <c r="BH70" s="293"/>
      <c r="BI70" s="293"/>
      <c r="BJ70" s="238"/>
      <c r="BK70" s="319"/>
      <c r="BL70" s="238"/>
      <c r="BM70" s="238"/>
      <c r="BN70" s="256"/>
      <c r="BO70" s="256"/>
      <c r="BP70" s="293"/>
      <c r="BQ70" s="238"/>
      <c r="BR70" s="293"/>
      <c r="BS70" s="238"/>
      <c r="BT70" s="238"/>
      <c r="BU70" s="238"/>
      <c r="BV70" s="238"/>
      <c r="BW70" s="238"/>
      <c r="BX70" s="238"/>
      <c r="BY70" s="238"/>
      <c r="BZ70" s="238"/>
      <c r="CA70" s="238"/>
      <c r="CB70" s="238"/>
      <c r="CC70" s="238"/>
      <c r="CD70" s="238"/>
      <c r="CE70" s="238"/>
      <c r="CF70" s="238"/>
      <c r="CG70" s="238"/>
    </row>
    <row r="71" spans="1:85">
      <c r="A71" s="356">
        <v>38078</v>
      </c>
      <c r="B71" s="461">
        <v>3.1380000000000003</v>
      </c>
      <c r="C71" s="484">
        <v>-0.47</v>
      </c>
      <c r="D71" s="359">
        <v>-0.37528448305606332</v>
      </c>
      <c r="E71" s="359">
        <v>-0.40234605932575951</v>
      </c>
      <c r="F71" s="469">
        <v>0.13</v>
      </c>
      <c r="G71" s="470">
        <v>0.13</v>
      </c>
      <c r="H71" s="470">
        <v>0.16500000000000001</v>
      </c>
      <c r="I71" s="471">
        <v>0.16500000000000001</v>
      </c>
      <c r="J71" s="470">
        <v>4.4999999999999998E-2</v>
      </c>
      <c r="K71" s="470">
        <v>0.13</v>
      </c>
      <c r="L71" s="470">
        <v>0.4</v>
      </c>
      <c r="M71" s="469">
        <v>-0.43</v>
      </c>
      <c r="N71" s="470">
        <v>0.24</v>
      </c>
      <c r="O71" s="471">
        <v>0.12</v>
      </c>
      <c r="P71" s="485">
        <v>-0.3</v>
      </c>
      <c r="Q71" s="388">
        <v>0.3175</v>
      </c>
      <c r="R71" s="475">
        <v>0.28249999999999997</v>
      </c>
      <c r="S71" s="365">
        <v>0.28249999999999997</v>
      </c>
      <c r="T71" s="274">
        <v>0.4</v>
      </c>
      <c r="U71" s="494">
        <v>0.28249999999999997</v>
      </c>
      <c r="V71" s="225">
        <v>2.6680000000000001</v>
      </c>
      <c r="W71" s="225">
        <v>2.762715516943937</v>
      </c>
      <c r="X71" s="368">
        <v>2.7356539406742408</v>
      </c>
      <c r="Y71" s="226"/>
      <c r="Z71" s="465">
        <v>0.14000000000000001</v>
      </c>
      <c r="AA71" s="481">
        <v>0.1</v>
      </c>
      <c r="AB71" s="487">
        <v>3.9435988109645339</v>
      </c>
      <c r="AC71" s="312">
        <v>4.083598810964534</v>
      </c>
      <c r="AD71" s="368">
        <v>4.043598810964534</v>
      </c>
      <c r="AE71" s="418">
        <v>2.8380000000000005</v>
      </c>
      <c r="AF71" s="373">
        <v>2.7080000000000002</v>
      </c>
      <c r="AG71" s="374">
        <v>3.2580000000000005</v>
      </c>
      <c r="AH71" s="423">
        <v>-0.29499999999999998</v>
      </c>
      <c r="AI71" s="467">
        <v>1.5594893504876299</v>
      </c>
      <c r="AJ71" s="478">
        <v>4.6555823620617998E-2</v>
      </c>
      <c r="AK71" s="478">
        <v>4.5792254770229399E-2</v>
      </c>
      <c r="AL71" s="354">
        <v>0.88841538484083737</v>
      </c>
      <c r="AM71" s="377">
        <v>0.89012163923460108</v>
      </c>
      <c r="AN71" s="353">
        <v>0.13</v>
      </c>
      <c r="AO71" s="378">
        <v>0.124</v>
      </c>
      <c r="AP71" s="238"/>
      <c r="AQ71" s="353">
        <v>-3.0543743378131931</v>
      </c>
      <c r="AR71" s="379">
        <v>-2.5843743378131929</v>
      </c>
      <c r="AS71" s="238"/>
      <c r="AT71" s="456">
        <v>7.4999999999999997E-3</v>
      </c>
      <c r="AU71" s="238"/>
      <c r="AV71" s="353">
        <v>2.5000000000000001E-3</v>
      </c>
      <c r="AW71" s="425">
        <v>5.0000000000000001E-3</v>
      </c>
      <c r="AX71" s="354">
        <v>-8.5000000000000006E-2</v>
      </c>
      <c r="AY71" s="354"/>
      <c r="AZ71" s="488">
        <v>0.6</v>
      </c>
      <c r="BA71" s="488">
        <v>0.4</v>
      </c>
      <c r="BB71" s="433">
        <v>-0.47</v>
      </c>
      <c r="BC71" s="428"/>
      <c r="BD71" s="355">
        <v>3.1880000000000002</v>
      </c>
      <c r="BE71" s="238">
        <v>2.6696913485168561</v>
      </c>
      <c r="BF71" s="319"/>
      <c r="BG71" s="238">
        <v>0.45</v>
      </c>
      <c r="BH71" s="293"/>
      <c r="BI71" s="293"/>
      <c r="BJ71" s="238"/>
      <c r="BK71" s="319"/>
      <c r="BL71" s="238"/>
      <c r="BM71" s="238"/>
      <c r="BN71" s="256"/>
      <c r="BO71" s="256"/>
      <c r="BP71" s="293"/>
      <c r="BQ71" s="238"/>
      <c r="BR71" s="293"/>
      <c r="BS71" s="238"/>
      <c r="BT71" s="238"/>
      <c r="BU71" s="238"/>
      <c r="BV71" s="238"/>
      <c r="BW71" s="238"/>
      <c r="BX71" s="238"/>
      <c r="BY71" s="238"/>
      <c r="BZ71" s="238"/>
      <c r="CA71" s="238"/>
      <c r="CB71" s="238"/>
      <c r="CC71" s="238"/>
      <c r="CD71" s="238"/>
      <c r="CE71" s="238"/>
      <c r="CF71" s="238"/>
      <c r="CG71" s="238"/>
    </row>
    <row r="72" spans="1:85">
      <c r="A72" s="356">
        <v>38108</v>
      </c>
      <c r="B72" s="461">
        <v>3.1340000000000003</v>
      </c>
      <c r="C72" s="489">
        <v>-0.47</v>
      </c>
      <c r="D72" s="359">
        <v>-0.37528432133383749</v>
      </c>
      <c r="E72" s="359">
        <v>-0.40234594380988398</v>
      </c>
      <c r="F72" s="469">
        <v>0.13</v>
      </c>
      <c r="G72" s="470">
        <v>0.13</v>
      </c>
      <c r="H72" s="470">
        <v>0.16500000000000001</v>
      </c>
      <c r="I72" s="471">
        <v>0.16500000000000001</v>
      </c>
      <c r="J72" s="470">
        <v>4.4999999999999998E-2</v>
      </c>
      <c r="K72" s="470">
        <v>0.13</v>
      </c>
      <c r="L72" s="470">
        <v>0.35</v>
      </c>
      <c r="M72" s="469">
        <v>-0.43</v>
      </c>
      <c r="N72" s="470">
        <v>0.24</v>
      </c>
      <c r="O72" s="471">
        <v>0.12</v>
      </c>
      <c r="P72" s="419">
        <v>-0.3</v>
      </c>
      <c r="Q72" s="388">
        <v>0.3175</v>
      </c>
      <c r="R72" s="475">
        <v>0.28249999999999997</v>
      </c>
      <c r="S72" s="365">
        <v>0.28249999999999997</v>
      </c>
      <c r="T72" s="274">
        <v>0.45</v>
      </c>
      <c r="U72" s="494">
        <v>0.28249999999999997</v>
      </c>
      <c r="V72" s="225">
        <v>2.6640000000000006</v>
      </c>
      <c r="W72" s="225">
        <v>2.7587156786661629</v>
      </c>
      <c r="X72" s="368">
        <v>2.7316540561901164</v>
      </c>
      <c r="Y72" s="226"/>
      <c r="Z72" s="465">
        <v>0.14000000000000001</v>
      </c>
      <c r="AA72" s="481">
        <v>0.1</v>
      </c>
      <c r="AB72" s="487">
        <v>3.937679645568998</v>
      </c>
      <c r="AC72" s="312">
        <v>4.0776796455689981</v>
      </c>
      <c r="AD72" s="368">
        <v>4.0376796455689981</v>
      </c>
      <c r="AE72" s="418">
        <v>2.8340000000000005</v>
      </c>
      <c r="AF72" s="373">
        <v>2.7040000000000002</v>
      </c>
      <c r="AG72" s="374">
        <v>3.2540000000000004</v>
      </c>
      <c r="AH72" s="423">
        <v>-0.29499999999999998</v>
      </c>
      <c r="AI72" s="467">
        <v>1.5594866877385298</v>
      </c>
      <c r="AJ72" s="478">
        <v>4.68941911117087E-2</v>
      </c>
      <c r="AK72" s="478">
        <v>4.6154794003260904E-2</v>
      </c>
      <c r="AL72" s="354">
        <v>0.88428743420496569</v>
      </c>
      <c r="AM72" s="377">
        <v>0.88598424784908492</v>
      </c>
      <c r="AN72" s="353">
        <v>0.13</v>
      </c>
      <c r="AO72" s="378">
        <v>0.12</v>
      </c>
      <c r="AP72" s="238"/>
      <c r="AQ72" s="353">
        <v>-3.0503742223456021</v>
      </c>
      <c r="AR72" s="379">
        <v>-2.5803742223456023</v>
      </c>
      <c r="AS72" s="238"/>
      <c r="AT72" s="456">
        <v>7.4999999999999997E-3</v>
      </c>
      <c r="AU72" s="238"/>
      <c r="AV72" s="353">
        <v>2.5000000000000001E-3</v>
      </c>
      <c r="AW72" s="425">
        <v>5.0000000000000001E-3</v>
      </c>
      <c r="AX72" s="354">
        <v>-8.5000000000000006E-2</v>
      </c>
      <c r="AY72" s="354"/>
      <c r="AZ72" s="488">
        <v>0.65</v>
      </c>
      <c r="BA72" s="488">
        <v>0.45</v>
      </c>
      <c r="BB72" s="433">
        <v>-0.47</v>
      </c>
      <c r="BC72" s="428"/>
      <c r="BD72" s="355">
        <v>3.1840000000000002</v>
      </c>
      <c r="BE72" s="238">
        <v>2.6656913514047536</v>
      </c>
      <c r="BF72" s="319"/>
      <c r="BG72" s="238">
        <v>0.5</v>
      </c>
      <c r="BH72" s="293"/>
      <c r="BI72" s="293"/>
      <c r="BJ72" s="238"/>
      <c r="BK72" s="319"/>
      <c r="BL72" s="238"/>
      <c r="BM72" s="238"/>
      <c r="BN72" s="256"/>
      <c r="BO72" s="256"/>
      <c r="BP72" s="293"/>
      <c r="BQ72" s="238"/>
      <c r="BR72" s="293"/>
      <c r="BS72" s="238"/>
      <c r="BT72" s="238"/>
      <c r="BU72" s="238"/>
      <c r="BV72" s="238"/>
      <c r="BW72" s="238"/>
      <c r="BX72" s="238"/>
      <c r="BY72" s="238"/>
      <c r="BZ72" s="238"/>
      <c r="CA72" s="238"/>
      <c r="CB72" s="238"/>
      <c r="CC72" s="238"/>
      <c r="CD72" s="238"/>
      <c r="CE72" s="238"/>
      <c r="CF72" s="238"/>
      <c r="CG72" s="238"/>
    </row>
    <row r="73" spans="1:85">
      <c r="A73" s="356">
        <v>38139</v>
      </c>
      <c r="B73" s="461">
        <v>3.1660000000000004</v>
      </c>
      <c r="C73" s="489">
        <v>-0.47</v>
      </c>
      <c r="D73" s="359">
        <v>-0.37528376822353238</v>
      </c>
      <c r="E73" s="359">
        <v>-0.40234554873109474</v>
      </c>
      <c r="F73" s="469">
        <v>0.13</v>
      </c>
      <c r="G73" s="470">
        <v>0.13</v>
      </c>
      <c r="H73" s="470">
        <v>0.16500000000000001</v>
      </c>
      <c r="I73" s="471">
        <v>0.16500000000000001</v>
      </c>
      <c r="J73" s="470">
        <v>4.4999999999999998E-2</v>
      </c>
      <c r="K73" s="470">
        <v>0.13</v>
      </c>
      <c r="L73" s="470">
        <v>0.39</v>
      </c>
      <c r="M73" s="469">
        <v>-0.43</v>
      </c>
      <c r="N73" s="470">
        <v>0.24</v>
      </c>
      <c r="O73" s="471">
        <v>0.12</v>
      </c>
      <c r="P73" s="419">
        <v>-0.3</v>
      </c>
      <c r="Q73" s="388">
        <v>0.315</v>
      </c>
      <c r="R73" s="475">
        <v>0.28000000000000003</v>
      </c>
      <c r="S73" s="365">
        <v>0.28000000000000003</v>
      </c>
      <c r="T73" s="274">
        <v>0.45</v>
      </c>
      <c r="U73" s="494">
        <v>0.28000000000000003</v>
      </c>
      <c r="V73" s="225">
        <v>2.6960000000000006</v>
      </c>
      <c r="W73" s="225">
        <v>2.790716231776468</v>
      </c>
      <c r="X73" s="368">
        <v>2.7636544512689056</v>
      </c>
      <c r="Y73" s="490" t="s">
        <v>244</v>
      </c>
      <c r="Z73" s="465">
        <v>0.14000000000000001</v>
      </c>
      <c r="AA73" s="481">
        <v>0.1</v>
      </c>
      <c r="AB73" s="487">
        <v>3.9849558298599339</v>
      </c>
      <c r="AC73" s="312">
        <v>4.1249558298599336</v>
      </c>
      <c r="AD73" s="368">
        <v>4.0849558298599336</v>
      </c>
      <c r="AE73" s="418">
        <v>2.8660000000000005</v>
      </c>
      <c r="AF73" s="373">
        <v>2.7360000000000002</v>
      </c>
      <c r="AG73" s="374">
        <v>3.2860000000000005</v>
      </c>
      <c r="AH73" s="423">
        <v>-0.29499999999999998</v>
      </c>
      <c r="AI73" s="467">
        <v>1.55947758087118</v>
      </c>
      <c r="AJ73" s="478">
        <v>4.7243837559389802E-2</v>
      </c>
      <c r="AK73" s="478">
        <v>4.6529417923581999E-2</v>
      </c>
      <c r="AL73" s="354">
        <v>0.87999195764312632</v>
      </c>
      <c r="AM73" s="377">
        <v>0.88167538020648617</v>
      </c>
      <c r="AN73" s="353">
        <v>0.13</v>
      </c>
      <c r="AO73" s="378">
        <v>0.124</v>
      </c>
      <c r="AP73" s="238"/>
      <c r="AQ73" s="353">
        <v>-3.0823738274319497</v>
      </c>
      <c r="AR73" s="379">
        <v>-2.6123738274319495</v>
      </c>
      <c r="AS73" s="238"/>
      <c r="AT73" s="456">
        <v>7.4999999999999997E-3</v>
      </c>
      <c r="AU73" s="238"/>
      <c r="AV73" s="353">
        <v>2.5000000000000001E-3</v>
      </c>
      <c r="AW73" s="425">
        <v>5.0000000000000001E-3</v>
      </c>
      <c r="AX73" s="354">
        <v>-8.5000000000000006E-2</v>
      </c>
      <c r="AY73" s="354"/>
      <c r="AZ73" s="488">
        <v>0.65</v>
      </c>
      <c r="BA73" s="488">
        <v>0.45</v>
      </c>
      <c r="BB73" s="433">
        <v>-0.47</v>
      </c>
      <c r="BC73" s="428"/>
      <c r="BD73" s="355">
        <v>3.2160000000000002</v>
      </c>
      <c r="BE73" s="238">
        <v>2.697691361281723</v>
      </c>
      <c r="BF73" s="319"/>
      <c r="BG73" s="238">
        <v>0.5</v>
      </c>
      <c r="BH73" s="293"/>
      <c r="BI73" s="293"/>
      <c r="BJ73" s="238"/>
      <c r="BK73" s="319"/>
      <c r="BL73" s="238"/>
      <c r="BM73" s="238"/>
      <c r="BN73" s="256"/>
      <c r="BO73" s="256"/>
      <c r="BP73" s="293"/>
      <c r="BQ73" s="238"/>
      <c r="BR73" s="293"/>
      <c r="BS73" s="238"/>
      <c r="BT73" s="238"/>
      <c r="BU73" s="238"/>
      <c r="BV73" s="238"/>
      <c r="BW73" s="238"/>
      <c r="BX73" s="238"/>
      <c r="BY73" s="238"/>
      <c r="BZ73" s="238"/>
      <c r="CA73" s="238"/>
      <c r="CB73" s="238"/>
      <c r="CC73" s="238"/>
      <c r="CD73" s="238"/>
      <c r="CE73" s="238"/>
      <c r="CF73" s="238"/>
      <c r="CG73" s="238"/>
    </row>
    <row r="74" spans="1:85">
      <c r="A74" s="356">
        <v>38169</v>
      </c>
      <c r="B74" s="461">
        <v>3.2160000000000002</v>
      </c>
      <c r="C74" s="489">
        <v>-0.47</v>
      </c>
      <c r="D74" s="359">
        <v>-0.37528643342873291</v>
      </c>
      <c r="E74" s="359">
        <v>-0.40234745244909487</v>
      </c>
      <c r="F74" s="469">
        <v>0.13</v>
      </c>
      <c r="G74" s="470">
        <v>0.13</v>
      </c>
      <c r="H74" s="470">
        <v>0.16500000000000001</v>
      </c>
      <c r="I74" s="471">
        <v>0.16500000000000001</v>
      </c>
      <c r="J74" s="470">
        <v>4.4999999999999998E-2</v>
      </c>
      <c r="K74" s="470">
        <v>0.13</v>
      </c>
      <c r="L74" s="470">
        <v>0.43</v>
      </c>
      <c r="M74" s="469">
        <v>-0.43</v>
      </c>
      <c r="N74" s="470">
        <v>0.24</v>
      </c>
      <c r="O74" s="471">
        <v>0.12</v>
      </c>
      <c r="P74" s="419">
        <v>-0.3</v>
      </c>
      <c r="Q74" s="388">
        <v>0.315</v>
      </c>
      <c r="R74" s="475">
        <v>0.28000000000000003</v>
      </c>
      <c r="S74" s="365">
        <v>0.28000000000000003</v>
      </c>
      <c r="T74" s="274">
        <v>0.5</v>
      </c>
      <c r="U74" s="494">
        <v>0.28000000000000003</v>
      </c>
      <c r="V74" s="225">
        <v>2.7460000000000004</v>
      </c>
      <c r="W74" s="225">
        <v>2.8407135665712673</v>
      </c>
      <c r="X74" s="368">
        <v>2.8136525475509053</v>
      </c>
      <c r="Y74" s="415">
        <v>4.2853297262170722</v>
      </c>
      <c r="Z74" s="465">
        <v>0.14000000000000001</v>
      </c>
      <c r="AA74" s="481">
        <v>0.1</v>
      </c>
      <c r="AB74" s="487">
        <v>4.0589750118926187</v>
      </c>
      <c r="AC74" s="312">
        <v>4.1989750118926183</v>
      </c>
      <c r="AD74" s="368">
        <v>4.1589750118926183</v>
      </c>
      <c r="AE74" s="418">
        <v>2.9160000000000004</v>
      </c>
      <c r="AF74" s="373">
        <v>2.786</v>
      </c>
      <c r="AG74" s="374">
        <v>3.3360000000000003</v>
      </c>
      <c r="AH74" s="423">
        <v>-0.29499999999999998</v>
      </c>
      <c r="AI74" s="467">
        <v>1.55952146400123</v>
      </c>
      <c r="AJ74" s="478">
        <v>4.7582205128320801E-2</v>
      </c>
      <c r="AK74" s="478">
        <v>4.6878263250737198E-2</v>
      </c>
      <c r="AL74" s="354">
        <v>0.87580669421470303</v>
      </c>
      <c r="AM74" s="377">
        <v>0.8775068024052648</v>
      </c>
      <c r="AN74" s="353">
        <v>0.13</v>
      </c>
      <c r="AO74" s="378">
        <v>0.12</v>
      </c>
      <c r="AP74" s="238"/>
      <c r="AQ74" s="353">
        <v>-3.1323757303542208</v>
      </c>
      <c r="AR74" s="379">
        <v>-2.6623757303542206</v>
      </c>
      <c r="AS74" s="238"/>
      <c r="AT74" s="456">
        <v>7.4999999999999997E-3</v>
      </c>
      <c r="AU74" s="238"/>
      <c r="AV74" s="353">
        <v>2.5000000000000001E-3</v>
      </c>
      <c r="AW74" s="425">
        <v>5.0000000000000001E-3</v>
      </c>
      <c r="AX74" s="354">
        <v>-8.5000000000000006E-2</v>
      </c>
      <c r="AY74" s="354"/>
      <c r="AZ74" s="488">
        <v>0.7</v>
      </c>
      <c r="BA74" s="488">
        <v>0.5</v>
      </c>
      <c r="BB74" s="433">
        <v>-0.47</v>
      </c>
      <c r="BC74" s="428"/>
      <c r="BD74" s="355">
        <v>3.266</v>
      </c>
      <c r="BE74" s="238">
        <v>2.7476913136887728</v>
      </c>
      <c r="BF74" s="319"/>
      <c r="BG74" s="238">
        <v>0.55000000000000004</v>
      </c>
      <c r="BH74" s="293"/>
      <c r="BI74" s="293"/>
      <c r="BJ74" s="238"/>
      <c r="BK74" s="319"/>
      <c r="BL74" s="238"/>
      <c r="BM74" s="238"/>
      <c r="BN74" s="256"/>
      <c r="BO74" s="256"/>
      <c r="BP74" s="293"/>
      <c r="BQ74" s="238"/>
      <c r="BR74" s="293"/>
      <c r="BS74" s="238"/>
      <c r="BT74" s="238"/>
      <c r="BU74" s="238"/>
      <c r="BV74" s="238"/>
      <c r="BW74" s="238"/>
      <c r="BX74" s="238"/>
      <c r="BY74" s="238"/>
      <c r="BZ74" s="238"/>
      <c r="CA74" s="238"/>
      <c r="CB74" s="238"/>
      <c r="CC74" s="238"/>
      <c r="CD74" s="238"/>
      <c r="CE74" s="238"/>
      <c r="CF74" s="238"/>
      <c r="CG74" s="238"/>
    </row>
    <row r="75" spans="1:85">
      <c r="A75" s="356">
        <v>38200</v>
      </c>
      <c r="B75" s="461">
        <v>3.25</v>
      </c>
      <c r="C75" s="489">
        <v>-0.47</v>
      </c>
      <c r="D75" s="359">
        <v>-0.3752930586265304</v>
      </c>
      <c r="E75" s="359">
        <v>-0.40235218473323586</v>
      </c>
      <c r="F75" s="469">
        <v>0.13</v>
      </c>
      <c r="G75" s="470">
        <v>0.13</v>
      </c>
      <c r="H75" s="470">
        <v>0.16500000000000001</v>
      </c>
      <c r="I75" s="471">
        <v>0.16500000000000001</v>
      </c>
      <c r="J75" s="470">
        <v>4.4999999999999998E-2</v>
      </c>
      <c r="K75" s="470">
        <v>0.13</v>
      </c>
      <c r="L75" s="470">
        <v>0.43</v>
      </c>
      <c r="M75" s="469">
        <v>-0.43</v>
      </c>
      <c r="N75" s="470">
        <v>0.24</v>
      </c>
      <c r="O75" s="471">
        <v>0.12</v>
      </c>
      <c r="P75" s="419">
        <v>-0.3</v>
      </c>
      <c r="Q75" s="388">
        <v>0.315</v>
      </c>
      <c r="R75" s="475">
        <v>0.28000000000000003</v>
      </c>
      <c r="S75" s="365">
        <v>0.28000000000000003</v>
      </c>
      <c r="T75" s="274">
        <v>0.55000000000000004</v>
      </c>
      <c r="U75" s="494">
        <v>0.28000000000000003</v>
      </c>
      <c r="V75" s="225">
        <v>2.78</v>
      </c>
      <c r="W75" s="225">
        <v>2.8747069413734696</v>
      </c>
      <c r="X75" s="368">
        <v>2.8476478152667641</v>
      </c>
      <c r="Y75" s="415">
        <v>4.5614308839108668</v>
      </c>
      <c r="Z75" s="465">
        <v>0.14000000000000001</v>
      </c>
      <c r="AA75" s="481">
        <v>0.1</v>
      </c>
      <c r="AB75" s="487">
        <v>4.1095192639071714</v>
      </c>
      <c r="AC75" s="312">
        <v>4.2495192639071711</v>
      </c>
      <c r="AD75" s="368">
        <v>4.209519263907171</v>
      </c>
      <c r="AE75" s="418">
        <v>2.95</v>
      </c>
      <c r="AF75" s="373">
        <v>2.82</v>
      </c>
      <c r="AG75" s="374">
        <v>3.37</v>
      </c>
      <c r="AH75" s="423">
        <v>-0.29499999999999998</v>
      </c>
      <c r="AI75" s="467">
        <v>1.5596305598923899</v>
      </c>
      <c r="AJ75" s="478">
        <v>4.79318516564229E-2</v>
      </c>
      <c r="AK75" s="478">
        <v>4.7223707359615098E-2</v>
      </c>
      <c r="AL75" s="354">
        <v>0.87145326689993907</v>
      </c>
      <c r="AM75" s="377">
        <v>0.87320600486682021</v>
      </c>
      <c r="AN75" s="353">
        <v>0.13</v>
      </c>
      <c r="AO75" s="378">
        <v>0.12</v>
      </c>
      <c r="AP75" s="238"/>
      <c r="AQ75" s="353">
        <v>-3.166380460660327</v>
      </c>
      <c r="AR75" s="379">
        <v>-2.6963804606603272</v>
      </c>
      <c r="AS75" s="238"/>
      <c r="AT75" s="456">
        <v>7.4999999999999997E-3</v>
      </c>
      <c r="AU75" s="238"/>
      <c r="AV75" s="353">
        <v>2.5000000000000001E-3</v>
      </c>
      <c r="AW75" s="425">
        <v>5.0000000000000001E-3</v>
      </c>
      <c r="AX75" s="354">
        <v>-8.5000000000000006E-2</v>
      </c>
      <c r="AY75" s="354"/>
      <c r="AZ75" s="488">
        <v>0.75</v>
      </c>
      <c r="BA75" s="488">
        <v>0.55000000000000004</v>
      </c>
      <c r="BB75" s="433">
        <v>-0.47</v>
      </c>
      <c r="BC75" s="428"/>
      <c r="BD75" s="355">
        <v>3.3</v>
      </c>
      <c r="BE75" s="238">
        <v>2.7816911953816694</v>
      </c>
      <c r="BF75" s="319"/>
      <c r="BG75" s="238">
        <v>0.6</v>
      </c>
      <c r="BH75" s="293"/>
      <c r="BI75" s="293"/>
      <c r="BJ75" s="238"/>
      <c r="BK75" s="319"/>
      <c r="BL75" s="238"/>
      <c r="BM75" s="238"/>
      <c r="BN75" s="256"/>
      <c r="BO75" s="256"/>
      <c r="BP75" s="293"/>
      <c r="BQ75" s="238"/>
      <c r="BR75" s="293"/>
      <c r="BS75" s="238"/>
      <c r="BT75" s="238"/>
      <c r="BU75" s="238"/>
      <c r="BV75" s="238"/>
      <c r="BW75" s="238"/>
      <c r="BX75" s="238"/>
      <c r="BY75" s="238"/>
      <c r="BZ75" s="238"/>
      <c r="CA75" s="238"/>
      <c r="CB75" s="238"/>
      <c r="CC75" s="238"/>
      <c r="CD75" s="238"/>
      <c r="CE75" s="238"/>
      <c r="CF75" s="238"/>
      <c r="CG75" s="238"/>
    </row>
    <row r="76" spans="1:85">
      <c r="A76" s="356">
        <v>38231</v>
      </c>
      <c r="B76" s="461">
        <v>3.2630000000000003</v>
      </c>
      <c r="C76" s="489">
        <v>-0.47</v>
      </c>
      <c r="D76" s="359">
        <v>-0.37529974708599445</v>
      </c>
      <c r="E76" s="359">
        <v>-0.40235696220428174</v>
      </c>
      <c r="F76" s="469">
        <v>0.13</v>
      </c>
      <c r="G76" s="470">
        <v>0.13</v>
      </c>
      <c r="H76" s="470">
        <v>0.16500000000000001</v>
      </c>
      <c r="I76" s="471">
        <v>0.16500000000000001</v>
      </c>
      <c r="J76" s="470">
        <v>4.4999999999999998E-2</v>
      </c>
      <c r="K76" s="470">
        <v>0.13</v>
      </c>
      <c r="L76" s="470">
        <v>0.38</v>
      </c>
      <c r="M76" s="469">
        <v>-0.43</v>
      </c>
      <c r="N76" s="470">
        <v>0.24</v>
      </c>
      <c r="O76" s="471">
        <v>0.12</v>
      </c>
      <c r="P76" s="419">
        <v>-0.3</v>
      </c>
      <c r="Q76" s="388">
        <v>0.3175</v>
      </c>
      <c r="R76" s="475">
        <v>0.28249999999999997</v>
      </c>
      <c r="S76" s="365">
        <v>0.28249999999999997</v>
      </c>
      <c r="T76" s="274">
        <v>0.55000000000000004</v>
      </c>
      <c r="U76" s="494">
        <v>0.28249999999999997</v>
      </c>
      <c r="V76" s="225">
        <v>2.7930000000000001</v>
      </c>
      <c r="W76" s="225">
        <v>2.8877002529140059</v>
      </c>
      <c r="X76" s="368">
        <v>2.8606430377957186</v>
      </c>
      <c r="Y76" s="415">
        <v>4.0881146135786475</v>
      </c>
      <c r="Z76" s="465">
        <v>0.14000000000000001</v>
      </c>
      <c r="AA76" s="481">
        <v>0.1</v>
      </c>
      <c r="AB76" s="487">
        <v>4.1290280434105195</v>
      </c>
      <c r="AC76" s="312">
        <v>4.2690280434105192</v>
      </c>
      <c r="AD76" s="368">
        <v>4.2290280434105192</v>
      </c>
      <c r="AE76" s="418">
        <v>2.9630000000000005</v>
      </c>
      <c r="AF76" s="373">
        <v>2.8330000000000002</v>
      </c>
      <c r="AG76" s="374">
        <v>3.3830000000000005</v>
      </c>
      <c r="AH76" s="423">
        <v>-0.29499999999999998</v>
      </c>
      <c r="AI76" s="467">
        <v>1.5597407129855099</v>
      </c>
      <c r="AJ76" s="478">
        <v>4.8281498225384301E-2</v>
      </c>
      <c r="AK76" s="478">
        <v>4.7569151508390001E-2</v>
      </c>
      <c r="AL76" s="354">
        <v>0.86707136732439682</v>
      </c>
      <c r="AM76" s="377">
        <v>0.86887665446828044</v>
      </c>
      <c r="AN76" s="353">
        <v>0.13</v>
      </c>
      <c r="AO76" s="378">
        <v>0.124</v>
      </c>
      <c r="AP76" s="238"/>
      <c r="AQ76" s="353">
        <v>-3.1793852361344501</v>
      </c>
      <c r="AR76" s="379">
        <v>-2.7093852361344499</v>
      </c>
      <c r="AS76" s="238"/>
      <c r="AT76" s="456">
        <v>7.4999999999999997E-3</v>
      </c>
      <c r="AU76" s="238"/>
      <c r="AV76" s="353">
        <v>2.5000000000000001E-3</v>
      </c>
      <c r="AW76" s="425">
        <v>5.0000000000000001E-3</v>
      </c>
      <c r="AX76" s="354">
        <v>-8.5000000000000006E-2</v>
      </c>
      <c r="AY76" s="354"/>
      <c r="AZ76" s="488">
        <v>0.75</v>
      </c>
      <c r="BA76" s="488">
        <v>0.55000000000000004</v>
      </c>
      <c r="BB76" s="433">
        <v>-0.47</v>
      </c>
      <c r="BC76" s="428"/>
      <c r="BD76" s="355">
        <v>3.3130000000000002</v>
      </c>
      <c r="BE76" s="238">
        <v>2.7946910759448933</v>
      </c>
      <c r="BF76" s="319"/>
      <c r="BG76" s="238">
        <v>0.6</v>
      </c>
      <c r="BH76" s="293"/>
      <c r="BI76" s="293"/>
      <c r="BJ76" s="238"/>
      <c r="BK76" s="319"/>
      <c r="BL76" s="238"/>
      <c r="BM76" s="238"/>
      <c r="BN76" s="256"/>
      <c r="BO76" s="256"/>
      <c r="BP76" s="293"/>
      <c r="BQ76" s="238"/>
      <c r="BR76" s="293"/>
      <c r="BS76" s="238"/>
      <c r="BT76" s="238"/>
      <c r="BU76" s="238"/>
      <c r="BV76" s="238"/>
      <c r="BW76" s="238"/>
      <c r="BX76" s="238"/>
      <c r="BY76" s="238"/>
      <c r="BZ76" s="238"/>
      <c r="CA76" s="238"/>
      <c r="CB76" s="238"/>
      <c r="CC76" s="238"/>
      <c r="CD76" s="238"/>
      <c r="CE76" s="238"/>
      <c r="CF76" s="238"/>
      <c r="CG76" s="238"/>
    </row>
    <row r="77" spans="1:85">
      <c r="A77" s="356">
        <v>38261</v>
      </c>
      <c r="B77" s="461">
        <v>3.2749999999999999</v>
      </c>
      <c r="C77" s="489">
        <v>-0.47</v>
      </c>
      <c r="D77" s="359">
        <v>-0.37528193818564315</v>
      </c>
      <c r="E77" s="359">
        <v>-0.40234424156117354</v>
      </c>
      <c r="F77" s="469">
        <v>0.13</v>
      </c>
      <c r="G77" s="470">
        <v>0.13</v>
      </c>
      <c r="H77" s="470">
        <v>0.16500000000000001</v>
      </c>
      <c r="I77" s="471">
        <v>0.16500000000000001</v>
      </c>
      <c r="J77" s="470">
        <v>4.4999999999999998E-2</v>
      </c>
      <c r="K77" s="470">
        <v>0.13</v>
      </c>
      <c r="L77" s="470">
        <v>0.42</v>
      </c>
      <c r="M77" s="469">
        <v>-0.43</v>
      </c>
      <c r="N77" s="470">
        <v>0.24</v>
      </c>
      <c r="O77" s="471">
        <v>0.12</v>
      </c>
      <c r="P77" s="419">
        <v>-0.3</v>
      </c>
      <c r="Q77" s="388">
        <v>0.32</v>
      </c>
      <c r="R77" s="475">
        <v>0.28499999999999998</v>
      </c>
      <c r="S77" s="365">
        <v>0.28499999999999998</v>
      </c>
      <c r="T77" s="274">
        <v>0.6</v>
      </c>
      <c r="U77" s="494">
        <v>0.28499999999999998</v>
      </c>
      <c r="V77" s="225">
        <v>2.8050000000000002</v>
      </c>
      <c r="W77" s="225">
        <v>2.8997180618143568</v>
      </c>
      <c r="X77" s="368">
        <v>2.8726557584388264</v>
      </c>
      <c r="Y77" s="318" t="s">
        <v>240</v>
      </c>
      <c r="Z77" s="465">
        <v>0.14000000000000001</v>
      </c>
      <c r="AA77" s="481">
        <v>0.1</v>
      </c>
      <c r="AB77" s="487">
        <v>4.1459885525283751</v>
      </c>
      <c r="AC77" s="312">
        <v>4.2859885525283747</v>
      </c>
      <c r="AD77" s="368">
        <v>4.2459885525283747</v>
      </c>
      <c r="AE77" s="418">
        <v>2.9750000000000001</v>
      </c>
      <c r="AF77" s="373">
        <v>2.8450000000000002</v>
      </c>
      <c r="AG77" s="374">
        <v>3.395</v>
      </c>
      <c r="AH77" s="423">
        <v>-0.29499999999999998</v>
      </c>
      <c r="AI77" s="467">
        <v>1.5594474503659099</v>
      </c>
      <c r="AJ77" s="478">
        <v>4.8520248897743597E-2</v>
      </c>
      <c r="AK77" s="478">
        <v>4.7889542452213898E-2</v>
      </c>
      <c r="AL77" s="354">
        <v>0.86306213835093659</v>
      </c>
      <c r="AM77" s="377">
        <v>0.86469646717553139</v>
      </c>
      <c r="AN77" s="353">
        <v>0.13</v>
      </c>
      <c r="AO77" s="378">
        <v>0.12</v>
      </c>
      <c r="AP77" s="238"/>
      <c r="AQ77" s="353">
        <v>-3.1883725208084095</v>
      </c>
      <c r="AR77" s="379">
        <v>-2.7183725208084093</v>
      </c>
      <c r="AS77" s="238"/>
      <c r="AT77" s="456">
        <v>7.4999999999999997E-3</v>
      </c>
      <c r="AU77" s="238"/>
      <c r="AV77" s="353">
        <v>2.5000000000000001E-3</v>
      </c>
      <c r="AW77" s="425">
        <v>5.0000000000000001E-3</v>
      </c>
      <c r="AX77" s="354">
        <v>-8.5000000000000006E-2</v>
      </c>
      <c r="AY77" s="354"/>
      <c r="AZ77" s="488">
        <v>0.8</v>
      </c>
      <c r="BA77" s="488">
        <v>0.6</v>
      </c>
      <c r="BB77" s="433">
        <v>-0.47</v>
      </c>
      <c r="BC77" s="428"/>
      <c r="BD77" s="355">
        <v>3.3250000000000002</v>
      </c>
      <c r="BE77" s="238">
        <v>2.8066913939609703</v>
      </c>
      <c r="BF77" s="319"/>
      <c r="BG77" s="238">
        <v>0.65</v>
      </c>
      <c r="BH77" s="293"/>
      <c r="BI77" s="293"/>
      <c r="BJ77" s="238"/>
      <c r="BK77" s="319"/>
      <c r="BL77" s="238"/>
      <c r="BM77" s="238"/>
      <c r="BN77" s="256"/>
      <c r="BO77" s="256"/>
      <c r="BP77" s="293"/>
      <c r="BQ77" s="238"/>
      <c r="BR77" s="293"/>
      <c r="BS77" s="238"/>
      <c r="BT77" s="238"/>
      <c r="BU77" s="238"/>
      <c r="BV77" s="238"/>
      <c r="BW77" s="238"/>
      <c r="BX77" s="238"/>
      <c r="BY77" s="238"/>
      <c r="BZ77" s="238"/>
      <c r="CA77" s="238"/>
      <c r="CB77" s="238"/>
      <c r="CC77" s="238"/>
      <c r="CD77" s="238"/>
      <c r="CE77" s="238"/>
      <c r="CF77" s="238"/>
      <c r="CG77" s="238"/>
    </row>
    <row r="78" spans="1:85">
      <c r="A78" s="460">
        <v>38292</v>
      </c>
      <c r="B78" s="461">
        <v>3.42</v>
      </c>
      <c r="C78" s="468">
        <v>-0.42</v>
      </c>
      <c r="D78" s="359">
        <v>-0.31172414420881323</v>
      </c>
      <c r="E78" s="359">
        <v>-0.12</v>
      </c>
      <c r="F78" s="469">
        <v>0.23499999999999999</v>
      </c>
      <c r="G78" s="470">
        <v>0.38500000000000001</v>
      </c>
      <c r="H78" s="470">
        <v>0.38500000000000001</v>
      </c>
      <c r="I78" s="471">
        <v>0.53500000000000003</v>
      </c>
      <c r="J78" s="470">
        <v>0.13</v>
      </c>
      <c r="K78" s="470">
        <v>0.15</v>
      </c>
      <c r="L78" s="470">
        <v>0.72499999999999998</v>
      </c>
      <c r="M78" s="469">
        <v>-0.24</v>
      </c>
      <c r="N78" s="470">
        <v>0.24</v>
      </c>
      <c r="O78" s="471">
        <v>0.19</v>
      </c>
      <c r="P78" s="495">
        <v>0.248</v>
      </c>
      <c r="Q78" s="388">
        <v>0.3175</v>
      </c>
      <c r="R78" s="475">
        <v>0.28249999999999997</v>
      </c>
      <c r="S78" s="365">
        <v>0.28249999999999997</v>
      </c>
      <c r="T78" s="274">
        <v>0.8</v>
      </c>
      <c r="U78" s="494">
        <v>0.28249999999999997</v>
      </c>
      <c r="V78" s="225">
        <v>3</v>
      </c>
      <c r="W78" s="225">
        <v>3.1082758557911867</v>
      </c>
      <c r="X78" s="368">
        <v>3.3</v>
      </c>
      <c r="Y78" s="415"/>
      <c r="Z78" s="465">
        <v>0.16</v>
      </c>
      <c r="AA78" s="481">
        <v>0.44331212761383565</v>
      </c>
      <c r="AB78" s="487">
        <v>4.4331212761383556</v>
      </c>
      <c r="AC78" s="312">
        <v>4.5931212761383557</v>
      </c>
      <c r="AD78" s="368">
        <v>4.8764334037521913</v>
      </c>
      <c r="AE78" s="418">
        <v>3.6680000000000001</v>
      </c>
      <c r="AF78" s="373">
        <v>3.18</v>
      </c>
      <c r="AG78" s="374">
        <v>3.61</v>
      </c>
      <c r="AH78" s="423">
        <v>-0.18</v>
      </c>
      <c r="AI78" s="467">
        <v>1.5590637337058098</v>
      </c>
      <c r="AJ78" s="478">
        <v>4.8741223549012301E-2</v>
      </c>
      <c r="AK78" s="478">
        <v>4.8207240105788696E-2</v>
      </c>
      <c r="AL78" s="354">
        <v>0.85897238348305593</v>
      </c>
      <c r="AM78" s="377">
        <v>0.86038720934357216</v>
      </c>
      <c r="AN78" s="353">
        <v>0.38500000000000001</v>
      </c>
      <c r="AO78" s="378">
        <v>0.124</v>
      </c>
      <c r="AP78" s="238"/>
      <c r="AQ78" s="353">
        <v>-3.1008022004412945</v>
      </c>
      <c r="AR78" s="379">
        <v>-2.6808022004412946</v>
      </c>
      <c r="AS78" s="238"/>
      <c r="AT78" s="456">
        <v>7.4999999999999997E-3</v>
      </c>
      <c r="AU78" s="238"/>
      <c r="AV78" s="353">
        <v>8.0000000000000002E-3</v>
      </c>
      <c r="AW78" s="425">
        <v>0.02</v>
      </c>
      <c r="AX78" s="354">
        <v>5.0000000000000001E-3</v>
      </c>
      <c r="AY78" s="354"/>
      <c r="AZ78" s="488">
        <v>1</v>
      </c>
      <c r="BA78" s="488">
        <v>0.8</v>
      </c>
      <c r="BB78" s="433">
        <v>-0.42</v>
      </c>
      <c r="BC78" s="428"/>
      <c r="BD78" s="355">
        <v>3.57</v>
      </c>
      <c r="BE78" s="238">
        <v>3.0054137927895592</v>
      </c>
      <c r="BF78" s="319"/>
      <c r="BG78" s="238">
        <v>0.8</v>
      </c>
      <c r="BH78" s="293"/>
      <c r="BI78" s="293"/>
      <c r="BJ78" s="238"/>
      <c r="BK78" s="319"/>
      <c r="BL78" s="238"/>
      <c r="BM78" s="238"/>
      <c r="BN78" s="256"/>
      <c r="BO78" s="256"/>
      <c r="BP78" s="293"/>
      <c r="BQ78" s="238"/>
      <c r="BR78" s="293"/>
      <c r="BS78" s="238"/>
      <c r="BT78" s="238"/>
      <c r="BU78" s="238"/>
      <c r="BV78" s="238"/>
      <c r="BW78" s="238"/>
      <c r="BX78" s="238"/>
      <c r="BY78" s="238"/>
      <c r="BZ78" s="238"/>
      <c r="CA78" s="238"/>
      <c r="CB78" s="238"/>
      <c r="CC78" s="238"/>
      <c r="CD78" s="238"/>
      <c r="CE78" s="238"/>
      <c r="CF78" s="238"/>
      <c r="CG78" s="238"/>
    </row>
    <row r="79" spans="1:85">
      <c r="A79" s="356">
        <v>38322</v>
      </c>
      <c r="B79" s="461">
        <v>3.5710000000000002</v>
      </c>
      <c r="C79" s="493">
        <v>-0.42</v>
      </c>
      <c r="D79" s="359">
        <v>-0.31169670900518831</v>
      </c>
      <c r="E79" s="359">
        <v>-0.12</v>
      </c>
      <c r="F79" s="469">
        <v>0.23499999999999999</v>
      </c>
      <c r="G79" s="470">
        <v>0.38500000000000001</v>
      </c>
      <c r="H79" s="470">
        <v>0.38500000000000001</v>
      </c>
      <c r="I79" s="471">
        <v>0.53500000000000003</v>
      </c>
      <c r="J79" s="470">
        <v>0.13</v>
      </c>
      <c r="K79" s="470">
        <v>0.15</v>
      </c>
      <c r="L79" s="470">
        <v>1.01</v>
      </c>
      <c r="M79" s="469">
        <v>-0.24</v>
      </c>
      <c r="N79" s="470">
        <v>0.24</v>
      </c>
      <c r="O79" s="471">
        <v>0.19</v>
      </c>
      <c r="P79" s="495">
        <v>0.308</v>
      </c>
      <c r="Q79" s="388">
        <v>0.3175</v>
      </c>
      <c r="R79" s="475">
        <v>0.28249999999999997</v>
      </c>
      <c r="S79" s="365">
        <v>0.28249999999999997</v>
      </c>
      <c r="T79" s="274">
        <v>1</v>
      </c>
      <c r="U79" s="494">
        <v>0.28249999999999997</v>
      </c>
      <c r="V79" s="225">
        <v>3.1510000000000002</v>
      </c>
      <c r="W79" s="225">
        <v>3.2593032909948119</v>
      </c>
      <c r="X79" s="368">
        <v>3.4510000000000005</v>
      </c>
      <c r="Y79" s="318" t="s">
        <v>238</v>
      </c>
      <c r="Z79" s="465">
        <v>0.16</v>
      </c>
      <c r="AA79" s="481">
        <v>0.44319982854721918</v>
      </c>
      <c r="AB79" s="487">
        <v>4.6550755325076274</v>
      </c>
      <c r="AC79" s="312">
        <v>4.8150755325076275</v>
      </c>
      <c r="AD79" s="368">
        <v>5.0982753610548466</v>
      </c>
      <c r="AE79" s="418">
        <v>3.879</v>
      </c>
      <c r="AF79" s="373">
        <v>3.3310000000000004</v>
      </c>
      <c r="AG79" s="374">
        <v>3.7610000000000001</v>
      </c>
      <c r="AH79" s="423">
        <v>-0.18</v>
      </c>
      <c r="AI79" s="467">
        <v>1.55866879435905</v>
      </c>
      <c r="AJ79" s="478">
        <v>4.89550700012562E-2</v>
      </c>
      <c r="AK79" s="478">
        <v>4.8514689480072502E-2</v>
      </c>
      <c r="AL79" s="354">
        <v>0.85500325926564358</v>
      </c>
      <c r="AM79" s="377">
        <v>0.85619460282212712</v>
      </c>
      <c r="AN79" s="353">
        <v>0.38500000000000001</v>
      </c>
      <c r="AO79" s="378">
        <v>0.12</v>
      </c>
      <c r="AP79" s="238"/>
      <c r="AQ79" s="353">
        <v>-3.2558101235396157</v>
      </c>
      <c r="AR79" s="379">
        <v>-2.8358101235396158</v>
      </c>
      <c r="AS79" s="238"/>
      <c r="AT79" s="456">
        <v>7.4999999999999997E-3</v>
      </c>
      <c r="AU79" s="238"/>
      <c r="AV79" s="353">
        <v>8.0000000000000002E-3</v>
      </c>
      <c r="AW79" s="425">
        <v>0.02</v>
      </c>
      <c r="AX79" s="354">
        <v>0.01</v>
      </c>
      <c r="AY79" s="354"/>
      <c r="AZ79" s="488">
        <v>1.2</v>
      </c>
      <c r="BA79" s="488">
        <v>1</v>
      </c>
      <c r="BB79" s="433">
        <v>-0.42</v>
      </c>
      <c r="BC79" s="428"/>
      <c r="BD79" s="355">
        <v>3.7210000000000001</v>
      </c>
      <c r="BE79" s="238">
        <v>3.1564151645497409</v>
      </c>
      <c r="BF79" s="319"/>
      <c r="BG79" s="238">
        <v>1.1000000000000001</v>
      </c>
      <c r="BH79" s="293"/>
      <c r="BI79" s="293"/>
      <c r="BJ79" s="238"/>
      <c r="BK79" s="319"/>
      <c r="BL79" s="238"/>
      <c r="BM79" s="238"/>
      <c r="BN79" s="256"/>
      <c r="BO79" s="256"/>
      <c r="BP79" s="293"/>
      <c r="BQ79" s="238"/>
      <c r="BR79" s="293"/>
      <c r="BS79" s="238"/>
      <c r="BT79" s="238"/>
      <c r="BU79" s="238"/>
      <c r="BV79" s="238"/>
      <c r="BW79" s="238"/>
      <c r="BX79" s="238"/>
      <c r="BY79" s="238"/>
      <c r="BZ79" s="238"/>
      <c r="CA79" s="238"/>
      <c r="CB79" s="238"/>
      <c r="CC79" s="238"/>
      <c r="CD79" s="238"/>
      <c r="CE79" s="238"/>
      <c r="CF79" s="238"/>
      <c r="CG79" s="238"/>
    </row>
    <row r="80" spans="1:85">
      <c r="A80" s="356">
        <v>38353</v>
      </c>
      <c r="B80" s="461">
        <v>3.637</v>
      </c>
      <c r="C80" s="493">
        <v>-0.42</v>
      </c>
      <c r="D80" s="359">
        <v>-0.31166867899417561</v>
      </c>
      <c r="E80" s="359">
        <v>-0.12</v>
      </c>
      <c r="F80" s="469">
        <v>0.23499999999999999</v>
      </c>
      <c r="G80" s="470">
        <v>0.38500000000000001</v>
      </c>
      <c r="H80" s="470">
        <v>0.38500000000000001</v>
      </c>
      <c r="I80" s="471">
        <v>0.53500000000000003</v>
      </c>
      <c r="J80" s="470">
        <v>0.13</v>
      </c>
      <c r="K80" s="470">
        <v>0.15</v>
      </c>
      <c r="L80" s="470">
        <v>1.615</v>
      </c>
      <c r="M80" s="469">
        <v>-0.24</v>
      </c>
      <c r="N80" s="470">
        <v>0.24</v>
      </c>
      <c r="O80" s="471">
        <v>0.19</v>
      </c>
      <c r="P80" s="495">
        <v>0.378</v>
      </c>
      <c r="Q80" s="388">
        <v>0.31</v>
      </c>
      <c r="R80" s="475">
        <v>0.27500000000000002</v>
      </c>
      <c r="S80" s="365">
        <v>0.27500000000000002</v>
      </c>
      <c r="T80" s="274">
        <v>1</v>
      </c>
      <c r="U80" s="494">
        <v>0.27500000000000002</v>
      </c>
      <c r="V80" s="225">
        <v>3.2170000000000001</v>
      </c>
      <c r="W80" s="225">
        <v>3.3253313210058244</v>
      </c>
      <c r="X80" s="368">
        <v>3.5169999999999999</v>
      </c>
      <c r="Y80" s="415"/>
      <c r="Z80" s="465">
        <v>0.16</v>
      </c>
      <c r="AA80" s="481">
        <v>0.44308515353024713</v>
      </c>
      <c r="AB80" s="487">
        <v>4.7513497963560125</v>
      </c>
      <c r="AC80" s="312">
        <v>4.9113497963560127</v>
      </c>
      <c r="AD80" s="368">
        <v>5.1944349498862596</v>
      </c>
      <c r="AE80" s="418">
        <v>4.0149999999999997</v>
      </c>
      <c r="AF80" s="373">
        <v>3.3970000000000002</v>
      </c>
      <c r="AG80" s="374">
        <v>3.827</v>
      </c>
      <c r="AH80" s="423">
        <v>-0.18</v>
      </c>
      <c r="AI80" s="467">
        <v>1.55826549914336</v>
      </c>
      <c r="AJ80" s="478">
        <v>4.9176044684624103E-2</v>
      </c>
      <c r="AK80" s="478">
        <v>4.8826618070883399E-2</v>
      </c>
      <c r="AL80" s="354">
        <v>0.850890508507959</v>
      </c>
      <c r="AM80" s="377">
        <v>0.85185565239736927</v>
      </c>
      <c r="AN80" s="353">
        <v>0.38500000000000001</v>
      </c>
      <c r="AO80" s="378">
        <v>0.12</v>
      </c>
      <c r="AP80" s="238"/>
      <c r="AQ80" s="353">
        <v>-3.320817897536545</v>
      </c>
      <c r="AR80" s="379">
        <v>-2.9008178975365451</v>
      </c>
      <c r="AS80" s="238"/>
      <c r="AT80" s="456">
        <v>7.4999999999999997E-3</v>
      </c>
      <c r="AU80" s="238"/>
      <c r="AV80" s="353">
        <v>8.0000000000000002E-3</v>
      </c>
      <c r="AW80" s="425">
        <v>0.02</v>
      </c>
      <c r="AX80" s="354">
        <v>0.03</v>
      </c>
      <c r="AY80" s="354"/>
      <c r="AZ80" s="488">
        <v>1.2</v>
      </c>
      <c r="BA80" s="488">
        <v>1</v>
      </c>
      <c r="BB80" s="433">
        <v>-0.42</v>
      </c>
      <c r="BC80" s="428"/>
      <c r="BD80" s="355">
        <v>3.7869999999999999</v>
      </c>
      <c r="BE80" s="238">
        <v>3.2224165660502915</v>
      </c>
      <c r="BF80" s="319"/>
      <c r="BG80" s="238">
        <v>1.1000000000000001</v>
      </c>
      <c r="BH80" s="293"/>
      <c r="BI80" s="293"/>
      <c r="BJ80" s="238"/>
      <c r="BK80" s="319"/>
      <c r="BL80" s="238"/>
      <c r="BM80" s="238"/>
      <c r="BN80" s="256"/>
      <c r="BO80" s="256"/>
      <c r="BP80" s="293"/>
      <c r="BQ80" s="238"/>
      <c r="BR80" s="293"/>
      <c r="BS80" s="238"/>
      <c r="BT80" s="238"/>
      <c r="BU80" s="238"/>
      <c r="BV80" s="238"/>
      <c r="BW80" s="238"/>
      <c r="BX80" s="238"/>
      <c r="BY80" s="238"/>
      <c r="BZ80" s="238"/>
      <c r="CA80" s="238"/>
      <c r="CB80" s="238"/>
      <c r="CC80" s="238"/>
      <c r="CD80" s="238"/>
      <c r="CE80" s="238"/>
      <c r="CF80" s="238"/>
      <c r="CG80" s="238"/>
    </row>
    <row r="81" spans="1:85">
      <c r="A81" s="356">
        <v>38384</v>
      </c>
      <c r="B81" s="461">
        <v>3.5230000000000001</v>
      </c>
      <c r="C81" s="493">
        <v>-0.42</v>
      </c>
      <c r="D81" s="359">
        <v>-0.3116407290123604</v>
      </c>
      <c r="E81" s="359">
        <v>-0.12</v>
      </c>
      <c r="F81" s="469">
        <v>0.23499999999999999</v>
      </c>
      <c r="G81" s="470">
        <v>0.38500000000000001</v>
      </c>
      <c r="H81" s="470">
        <v>0.38500000000000001</v>
      </c>
      <c r="I81" s="471">
        <v>0.53500000000000003</v>
      </c>
      <c r="J81" s="470">
        <v>0.13</v>
      </c>
      <c r="K81" s="470">
        <v>0.15</v>
      </c>
      <c r="L81" s="470">
        <v>1.615</v>
      </c>
      <c r="M81" s="469">
        <v>-0.24</v>
      </c>
      <c r="N81" s="470">
        <v>0.24</v>
      </c>
      <c r="O81" s="471">
        <v>0.19</v>
      </c>
      <c r="P81" s="495">
        <v>0.248</v>
      </c>
      <c r="Q81" s="388">
        <v>0.30499999999999999</v>
      </c>
      <c r="R81" s="475">
        <v>0.27</v>
      </c>
      <c r="S81" s="365">
        <v>0.27</v>
      </c>
      <c r="T81" s="274">
        <v>1</v>
      </c>
      <c r="U81" s="494">
        <v>0.27</v>
      </c>
      <c r="V81" s="225">
        <v>3.1030000000000002</v>
      </c>
      <c r="W81" s="225">
        <v>3.2113592709876397</v>
      </c>
      <c r="X81" s="368">
        <v>3.403</v>
      </c>
      <c r="Y81" s="226"/>
      <c r="Z81" s="465">
        <v>0.16</v>
      </c>
      <c r="AA81" s="481">
        <v>0.44297086499848692</v>
      </c>
      <c r="AB81" s="487">
        <v>4.5817953136343537</v>
      </c>
      <c r="AC81" s="312">
        <v>4.7417953136343538</v>
      </c>
      <c r="AD81" s="368">
        <v>5.0247661786328406</v>
      </c>
      <c r="AE81" s="418">
        <v>3.7709999999999999</v>
      </c>
      <c r="AF81" s="373">
        <v>3.2830000000000004</v>
      </c>
      <c r="AG81" s="374">
        <v>3.7130000000000001</v>
      </c>
      <c r="AH81" s="423">
        <v>-0.18</v>
      </c>
      <c r="AI81" s="467">
        <v>1.5578635631394799</v>
      </c>
      <c r="AJ81" s="478">
        <v>4.9397019384301598E-2</v>
      </c>
      <c r="AK81" s="478">
        <v>4.9133795646195903E-2</v>
      </c>
      <c r="AL81" s="354">
        <v>0.84676660604921772</v>
      </c>
      <c r="AM81" s="377">
        <v>0.84750841120935461</v>
      </c>
      <c r="AN81" s="353">
        <v>0.38500000000000001</v>
      </c>
      <c r="AO81" s="378">
        <v>0.13300000000000001</v>
      </c>
      <c r="AP81" s="238"/>
      <c r="AQ81" s="353">
        <v>-3.206825316223858</v>
      </c>
      <c r="AR81" s="379">
        <v>-2.7868253162238581</v>
      </c>
      <c r="AS81" s="238"/>
      <c r="AT81" s="456">
        <v>7.4999999999999997E-3</v>
      </c>
      <c r="AU81" s="238"/>
      <c r="AV81" s="353">
        <v>8.0000000000000002E-3</v>
      </c>
      <c r="AW81" s="425">
        <v>0.02</v>
      </c>
      <c r="AX81" s="354">
        <v>2.5000000000000001E-2</v>
      </c>
      <c r="AY81" s="354"/>
      <c r="AZ81" s="488">
        <v>1.2</v>
      </c>
      <c r="BA81" s="488">
        <v>1</v>
      </c>
      <c r="BB81" s="433">
        <v>-0.42</v>
      </c>
      <c r="BC81" s="428"/>
      <c r="BD81" s="355">
        <v>3.673</v>
      </c>
      <c r="BE81" s="238">
        <v>3.1084179635493823</v>
      </c>
      <c r="BF81" s="319"/>
      <c r="BG81" s="238">
        <v>1.1000000000000001</v>
      </c>
      <c r="BH81" s="293"/>
      <c r="BI81" s="293"/>
      <c r="BJ81" s="238"/>
      <c r="BK81" s="319"/>
      <c r="BL81" s="238"/>
      <c r="BM81" s="238"/>
      <c r="BN81" s="256"/>
      <c r="BO81" s="256"/>
      <c r="BP81" s="293"/>
      <c r="BQ81" s="238"/>
      <c r="BR81" s="293"/>
      <c r="BS81" s="238"/>
      <c r="BT81" s="238"/>
      <c r="BU81" s="238"/>
      <c r="BV81" s="238"/>
      <c r="BW81" s="238"/>
      <c r="BX81" s="238"/>
      <c r="BY81" s="238"/>
      <c r="BZ81" s="238"/>
      <c r="CA81" s="238"/>
      <c r="CB81" s="238"/>
      <c r="CC81" s="238"/>
      <c r="CD81" s="238"/>
      <c r="CE81" s="238"/>
      <c r="CF81" s="238"/>
      <c r="CG81" s="238"/>
    </row>
    <row r="82" spans="1:85">
      <c r="A82" s="356">
        <v>38412</v>
      </c>
      <c r="B82" s="461">
        <v>3.391</v>
      </c>
      <c r="C82" s="493">
        <v>-0.42</v>
      </c>
      <c r="D82" s="359">
        <v>-0.31161415361452249</v>
      </c>
      <c r="E82" s="359">
        <v>-0.12</v>
      </c>
      <c r="F82" s="469">
        <v>0.23499999999999999</v>
      </c>
      <c r="G82" s="470">
        <v>0.38500000000000001</v>
      </c>
      <c r="H82" s="470">
        <v>0.38500000000000001</v>
      </c>
      <c r="I82" s="471">
        <v>0.53500000000000003</v>
      </c>
      <c r="J82" s="470">
        <v>0.13</v>
      </c>
      <c r="K82" s="470">
        <v>0.15</v>
      </c>
      <c r="L82" s="470">
        <v>0.71499999999999997</v>
      </c>
      <c r="M82" s="469">
        <v>-0.24</v>
      </c>
      <c r="N82" s="470">
        <v>0.24</v>
      </c>
      <c r="O82" s="471">
        <v>0.19</v>
      </c>
      <c r="P82" s="495">
        <v>6.8000000000000005E-2</v>
      </c>
      <c r="Q82" s="388">
        <v>0.29249999999999998</v>
      </c>
      <c r="R82" s="475">
        <v>0.25750000000000001</v>
      </c>
      <c r="S82" s="365">
        <v>0.25750000000000001</v>
      </c>
      <c r="T82" s="274">
        <v>0.75</v>
      </c>
      <c r="U82" s="494">
        <v>0.25750000000000001</v>
      </c>
      <c r="V82" s="225">
        <v>2.9710000000000001</v>
      </c>
      <c r="W82" s="225">
        <v>3.0793858463854775</v>
      </c>
      <c r="X82" s="368">
        <v>3.2709999999999999</v>
      </c>
      <c r="Y82" s="226"/>
      <c r="Z82" s="465">
        <v>0.16</v>
      </c>
      <c r="AA82" s="481">
        <v>0.44286225185977557</v>
      </c>
      <c r="AB82" s="487">
        <v>4.3858125009179831</v>
      </c>
      <c r="AC82" s="312">
        <v>4.5458125009179833</v>
      </c>
      <c r="AD82" s="368">
        <v>4.8286747527777587</v>
      </c>
      <c r="AE82" s="418">
        <v>3.4590000000000001</v>
      </c>
      <c r="AF82" s="373">
        <v>3.1509999999999998</v>
      </c>
      <c r="AG82" s="374">
        <v>3.581</v>
      </c>
      <c r="AH82" s="423">
        <v>-0.18</v>
      </c>
      <c r="AI82" s="467">
        <v>1.5574815866605598</v>
      </c>
      <c r="AJ82" s="478">
        <v>4.9596609449640297E-2</v>
      </c>
      <c r="AK82" s="478">
        <v>4.9411246386471305E-2</v>
      </c>
      <c r="AL82" s="354">
        <v>0.84303250492233106</v>
      </c>
      <c r="AM82" s="377">
        <v>0.84356415250424333</v>
      </c>
      <c r="AN82" s="353">
        <v>0.38500000000000001</v>
      </c>
      <c r="AO82" s="378">
        <v>0.12</v>
      </c>
      <c r="AP82" s="238"/>
      <c r="AQ82" s="353">
        <v>-3.0748320777492819</v>
      </c>
      <c r="AR82" s="379">
        <v>-2.654832077749282</v>
      </c>
      <c r="AS82" s="238"/>
      <c r="AT82" s="456">
        <v>7.4999999999999997E-3</v>
      </c>
      <c r="AU82" s="238"/>
      <c r="AV82" s="353">
        <v>8.0000000000000002E-3</v>
      </c>
      <c r="AW82" s="425">
        <v>0.02</v>
      </c>
      <c r="AX82" s="354">
        <v>5.0000000000000001E-3</v>
      </c>
      <c r="AY82" s="354"/>
      <c r="AZ82" s="488">
        <v>0.95</v>
      </c>
      <c r="BA82" s="488">
        <v>0.75</v>
      </c>
      <c r="BB82" s="433">
        <v>-0.42</v>
      </c>
      <c r="BC82" s="428"/>
      <c r="BD82" s="355">
        <v>3.5409999999999999</v>
      </c>
      <c r="BE82" s="238">
        <v>2.976419292319274</v>
      </c>
      <c r="BF82" s="319"/>
      <c r="BG82" s="238">
        <v>0.75</v>
      </c>
      <c r="BH82" s="293"/>
      <c r="BI82" s="293"/>
      <c r="BJ82" s="238"/>
      <c r="BK82" s="319"/>
      <c r="BL82" s="238"/>
      <c r="BM82" s="238"/>
      <c r="BN82" s="256"/>
      <c r="BO82" s="256"/>
      <c r="BP82" s="293"/>
      <c r="BQ82" s="238"/>
      <c r="BR82" s="293"/>
      <c r="BS82" s="238"/>
      <c r="BT82" s="238"/>
      <c r="BU82" s="238"/>
      <c r="BV82" s="238"/>
      <c r="BW82" s="238"/>
      <c r="BX82" s="238"/>
      <c r="BY82" s="238"/>
      <c r="BZ82" s="238"/>
      <c r="CA82" s="238"/>
      <c r="CB82" s="238"/>
      <c r="CC82" s="238"/>
      <c r="CD82" s="238"/>
      <c r="CE82" s="238"/>
      <c r="CF82" s="238"/>
      <c r="CG82" s="238"/>
    </row>
    <row r="83" spans="1:85">
      <c r="A83" s="356">
        <v>38443</v>
      </c>
      <c r="B83" s="461">
        <v>3.1930000000000001</v>
      </c>
      <c r="C83" s="484">
        <v>-0.49</v>
      </c>
      <c r="D83" s="359">
        <v>-0.3815913250360774</v>
      </c>
      <c r="E83" s="359">
        <v>-0.42224457814754901</v>
      </c>
      <c r="F83" s="469">
        <v>0.14499999999999999</v>
      </c>
      <c r="G83" s="470">
        <v>0.13</v>
      </c>
      <c r="H83" s="470">
        <v>0.18</v>
      </c>
      <c r="I83" s="471">
        <v>0.18</v>
      </c>
      <c r="J83" s="470">
        <v>4.4999999999999998E-2</v>
      </c>
      <c r="K83" s="470">
        <v>0.12</v>
      </c>
      <c r="L83" s="470">
        <v>0.4</v>
      </c>
      <c r="M83" s="469">
        <v>-0.39</v>
      </c>
      <c r="N83" s="470">
        <v>0.24</v>
      </c>
      <c r="O83" s="471">
        <v>0.12</v>
      </c>
      <c r="P83" s="485">
        <v>-0.25</v>
      </c>
      <c r="Q83" s="388">
        <v>0.27750000000000002</v>
      </c>
      <c r="R83" s="475">
        <v>0.24249999999999999</v>
      </c>
      <c r="S83" s="365">
        <v>0.24249999999999999</v>
      </c>
      <c r="T83" s="274">
        <v>0.4</v>
      </c>
      <c r="U83" s="494">
        <v>0.24249999999999999</v>
      </c>
      <c r="V83" s="225">
        <v>2.7030000000000003</v>
      </c>
      <c r="W83" s="225">
        <v>2.8114086749639227</v>
      </c>
      <c r="X83" s="368">
        <v>2.7707554218524511</v>
      </c>
      <c r="Y83" s="226"/>
      <c r="Z83" s="465">
        <v>0.16</v>
      </c>
      <c r="AA83" s="481">
        <v>0.1</v>
      </c>
      <c r="AB83" s="487">
        <v>3.9893486397092</v>
      </c>
      <c r="AC83" s="312">
        <v>4.1493486397092001</v>
      </c>
      <c r="AD83" s="368">
        <v>4.0893486397091996</v>
      </c>
      <c r="AE83" s="418">
        <v>2.9430000000000001</v>
      </c>
      <c r="AF83" s="373">
        <v>2.8029999999999999</v>
      </c>
      <c r="AG83" s="374">
        <v>3.3130000000000002</v>
      </c>
      <c r="AH83" s="423">
        <v>-0.255</v>
      </c>
      <c r="AI83" s="467">
        <v>1.5571536139167701</v>
      </c>
      <c r="AJ83" s="478">
        <v>4.9817584180354799E-2</v>
      </c>
      <c r="AK83" s="478">
        <v>4.9697062249708199E-2</v>
      </c>
      <c r="AL83" s="354">
        <v>0.83888837119401916</v>
      </c>
      <c r="AM83" s="377">
        <v>0.83924064174591495</v>
      </c>
      <c r="AN83" s="353">
        <v>0.13</v>
      </c>
      <c r="AO83" s="378">
        <v>0.124</v>
      </c>
      <c r="AP83" s="238"/>
      <c r="AQ83" s="353">
        <v>-3.1092728990528249</v>
      </c>
      <c r="AR83" s="379">
        <v>-2.6192728990528247</v>
      </c>
      <c r="AS83" s="238"/>
      <c r="AT83" s="456">
        <v>7.4999999999999997E-3</v>
      </c>
      <c r="AU83" s="238"/>
      <c r="AV83" s="353">
        <v>2.5000000000000001E-3</v>
      </c>
      <c r="AW83" s="425">
        <v>5.0000000000000001E-3</v>
      </c>
      <c r="AX83" s="354">
        <v>-8.5000000000000006E-2</v>
      </c>
      <c r="AY83" s="354"/>
      <c r="AZ83" s="488">
        <v>0.6</v>
      </c>
      <c r="BA83" s="488">
        <v>0.4</v>
      </c>
      <c r="BB83" s="433">
        <v>-0.49</v>
      </c>
      <c r="BC83" s="428"/>
      <c r="BD83" s="355">
        <v>3.2429999999999999</v>
      </c>
      <c r="BE83" s="238">
        <v>2.7046938855463116</v>
      </c>
      <c r="BF83" s="319"/>
      <c r="BG83" s="238">
        <v>0.45</v>
      </c>
      <c r="BH83" s="293"/>
      <c r="BI83" s="293"/>
      <c r="BJ83" s="238"/>
      <c r="BK83" s="319"/>
      <c r="BL83" s="238"/>
      <c r="BM83" s="238"/>
      <c r="BN83" s="256"/>
      <c r="BO83" s="256"/>
      <c r="BP83" s="293"/>
      <c r="BQ83" s="238"/>
      <c r="BR83" s="293"/>
      <c r="BS83" s="238"/>
      <c r="BT83" s="238"/>
      <c r="BU83" s="238"/>
      <c r="BV83" s="238"/>
      <c r="BW83" s="238"/>
      <c r="BX83" s="238"/>
      <c r="BY83" s="238"/>
      <c r="BZ83" s="238"/>
      <c r="CA83" s="238"/>
      <c r="CB83" s="238"/>
      <c r="CC83" s="238"/>
      <c r="CD83" s="238"/>
      <c r="CE83" s="238"/>
      <c r="CF83" s="238"/>
      <c r="CG83" s="238"/>
    </row>
    <row r="84" spans="1:85">
      <c r="A84" s="356">
        <v>38473</v>
      </c>
      <c r="B84" s="461">
        <v>3.1890000000000001</v>
      </c>
      <c r="C84" s="489">
        <v>-0.49</v>
      </c>
      <c r="D84" s="359">
        <v>-0.38157536653516644</v>
      </c>
      <c r="E84" s="359">
        <v>-0.42223460408447933</v>
      </c>
      <c r="F84" s="469">
        <v>0.14499999999999999</v>
      </c>
      <c r="G84" s="470">
        <v>0.13</v>
      </c>
      <c r="H84" s="470">
        <v>0.18</v>
      </c>
      <c r="I84" s="471">
        <v>0.18</v>
      </c>
      <c r="J84" s="470">
        <v>4.4999999999999998E-2</v>
      </c>
      <c r="K84" s="470">
        <v>0.12</v>
      </c>
      <c r="L84" s="470">
        <v>0.35</v>
      </c>
      <c r="M84" s="469">
        <v>-0.39</v>
      </c>
      <c r="N84" s="470">
        <v>0.24</v>
      </c>
      <c r="O84" s="471">
        <v>0.12</v>
      </c>
      <c r="P84" s="419">
        <v>-0.25</v>
      </c>
      <c r="Q84" s="388">
        <v>0.27</v>
      </c>
      <c r="R84" s="475">
        <v>0.23499999999999999</v>
      </c>
      <c r="S84" s="365">
        <v>0.23499999999999999</v>
      </c>
      <c r="T84" s="274">
        <v>0.45</v>
      </c>
      <c r="U84" s="494">
        <v>0.23499999999999999</v>
      </c>
      <c r="V84" s="225">
        <v>2.6989999999999998</v>
      </c>
      <c r="W84" s="225">
        <v>2.8074246334648336</v>
      </c>
      <c r="X84" s="368">
        <v>2.7667653959155207</v>
      </c>
      <c r="Y84" s="226"/>
      <c r="Z84" s="465">
        <v>0.16</v>
      </c>
      <c r="AA84" s="481">
        <v>0.1</v>
      </c>
      <c r="AB84" s="487">
        <v>3.9828587489766614</v>
      </c>
      <c r="AC84" s="312">
        <v>4.1428587489766615</v>
      </c>
      <c r="AD84" s="368">
        <v>4.082858748976661</v>
      </c>
      <c r="AE84" s="418">
        <v>2.9390000000000001</v>
      </c>
      <c r="AF84" s="373">
        <v>2.7989999999999999</v>
      </c>
      <c r="AG84" s="374">
        <v>3.3090000000000002</v>
      </c>
      <c r="AH84" s="423">
        <v>-0.255</v>
      </c>
      <c r="AI84" s="467">
        <v>1.55692442395714</v>
      </c>
      <c r="AJ84" s="478">
        <v>5.0031430709474002E-2</v>
      </c>
      <c r="AK84" s="478">
        <v>4.99549153937471E-2</v>
      </c>
      <c r="AL84" s="354">
        <v>0.83486828991142481</v>
      </c>
      <c r="AM84" s="377">
        <v>0.83509594047570257</v>
      </c>
      <c r="AN84" s="353">
        <v>0.13</v>
      </c>
      <c r="AO84" s="378">
        <v>0.12</v>
      </c>
      <c r="AP84" s="238"/>
      <c r="AQ84" s="353">
        <v>-3.1052629291587865</v>
      </c>
      <c r="AR84" s="379">
        <v>-2.6152629291587868</v>
      </c>
      <c r="AS84" s="238"/>
      <c r="AT84" s="456">
        <v>7.4999999999999997E-3</v>
      </c>
      <c r="AU84" s="238"/>
      <c r="AV84" s="353">
        <v>2.5000000000000001E-3</v>
      </c>
      <c r="AW84" s="425">
        <v>5.0000000000000001E-3</v>
      </c>
      <c r="AX84" s="354">
        <v>-8.5000000000000006E-2</v>
      </c>
      <c r="AY84" s="354"/>
      <c r="AZ84" s="488">
        <v>0.65</v>
      </c>
      <c r="BA84" s="488">
        <v>0.45</v>
      </c>
      <c r="BB84" s="433">
        <v>-0.49</v>
      </c>
      <c r="BC84" s="428"/>
      <c r="BD84" s="355">
        <v>3.2389999999999999</v>
      </c>
      <c r="BE84" s="238">
        <v>2.7006941348978879</v>
      </c>
      <c r="BF84" s="319"/>
      <c r="BG84" s="238">
        <v>0.5</v>
      </c>
      <c r="BH84" s="293"/>
      <c r="BI84" s="293"/>
      <c r="BJ84" s="238"/>
      <c r="BK84" s="319"/>
      <c r="BL84" s="238"/>
      <c r="BM84" s="238"/>
      <c r="BN84" s="256"/>
      <c r="BO84" s="256"/>
      <c r="BP84" s="293"/>
      <c r="BQ84" s="238"/>
      <c r="BR84" s="293"/>
      <c r="BS84" s="238"/>
      <c r="BT84" s="238"/>
      <c r="BU84" s="238"/>
      <c r="BV84" s="238"/>
      <c r="BW84" s="238"/>
      <c r="BX84" s="238"/>
      <c r="BY84" s="238"/>
      <c r="BZ84" s="238"/>
      <c r="CA84" s="238"/>
      <c r="CB84" s="238"/>
      <c r="CC84" s="238"/>
      <c r="CD84" s="238"/>
      <c r="CE84" s="238"/>
      <c r="CF84" s="238"/>
      <c r="CG84" s="238"/>
    </row>
    <row r="85" spans="1:85">
      <c r="A85" s="356">
        <v>38504</v>
      </c>
      <c r="B85" s="461">
        <v>3.2210000000000001</v>
      </c>
      <c r="C85" s="489">
        <v>-0.49</v>
      </c>
      <c r="D85" s="359">
        <v>-0.3815580740941158</v>
      </c>
      <c r="E85" s="359">
        <v>-0.42222379630882267</v>
      </c>
      <c r="F85" s="469">
        <v>0.14499999999999999</v>
      </c>
      <c r="G85" s="470">
        <v>0.13</v>
      </c>
      <c r="H85" s="470">
        <v>0.18</v>
      </c>
      <c r="I85" s="471">
        <v>0.18</v>
      </c>
      <c r="J85" s="470">
        <v>4.4999999999999998E-2</v>
      </c>
      <c r="K85" s="470">
        <v>0.12</v>
      </c>
      <c r="L85" s="470">
        <v>0.39</v>
      </c>
      <c r="M85" s="469">
        <v>-0.39</v>
      </c>
      <c r="N85" s="470">
        <v>0.24</v>
      </c>
      <c r="O85" s="471">
        <v>0.12</v>
      </c>
      <c r="P85" s="419">
        <v>-0.25</v>
      </c>
      <c r="Q85" s="388">
        <v>0.26500000000000001</v>
      </c>
      <c r="R85" s="475">
        <v>0.23</v>
      </c>
      <c r="S85" s="365">
        <v>0.23</v>
      </c>
      <c r="T85" s="274">
        <v>0.45</v>
      </c>
      <c r="U85" s="494">
        <v>0.23</v>
      </c>
      <c r="V85" s="225">
        <v>2.7309999999999999</v>
      </c>
      <c r="W85" s="225">
        <v>2.8394419259058843</v>
      </c>
      <c r="X85" s="368">
        <v>2.7987762036911774</v>
      </c>
      <c r="Y85" s="490" t="s">
        <v>245</v>
      </c>
      <c r="Z85" s="465">
        <v>0.16</v>
      </c>
      <c r="AA85" s="481">
        <v>0.1</v>
      </c>
      <c r="AB85" s="487">
        <v>4.0294378428803785</v>
      </c>
      <c r="AC85" s="312">
        <v>4.1894378428803787</v>
      </c>
      <c r="AD85" s="368">
        <v>4.1294378428803782</v>
      </c>
      <c r="AE85" s="418">
        <v>2.9710000000000001</v>
      </c>
      <c r="AF85" s="373">
        <v>2.831</v>
      </c>
      <c r="AG85" s="374">
        <v>3.3410000000000002</v>
      </c>
      <c r="AH85" s="423">
        <v>-0.255</v>
      </c>
      <c r="AI85" s="467">
        <v>1.55667615260271</v>
      </c>
      <c r="AJ85" s="478">
        <v>5.0252405472270806E-2</v>
      </c>
      <c r="AK85" s="478">
        <v>5.0221363665909902E-2</v>
      </c>
      <c r="AL85" s="354">
        <v>0.83070460370627763</v>
      </c>
      <c r="AM85" s="377">
        <v>0.83079861641301078</v>
      </c>
      <c r="AN85" s="353">
        <v>0.13</v>
      </c>
      <c r="AO85" s="378">
        <v>0.124</v>
      </c>
      <c r="AP85" s="238"/>
      <c r="AQ85" s="353">
        <v>-3.137252125900643</v>
      </c>
      <c r="AR85" s="379">
        <v>-2.6472521259006427</v>
      </c>
      <c r="AS85" s="238"/>
      <c r="AT85" s="456">
        <v>7.4999999999999997E-3</v>
      </c>
      <c r="AU85" s="238"/>
      <c r="AV85" s="353">
        <v>2.5000000000000001E-3</v>
      </c>
      <c r="AW85" s="425">
        <v>5.0000000000000001E-3</v>
      </c>
      <c r="AX85" s="354">
        <v>-8.5000000000000006E-2</v>
      </c>
      <c r="AY85" s="354"/>
      <c r="AZ85" s="488">
        <v>0.65</v>
      </c>
      <c r="BA85" s="488">
        <v>0.45</v>
      </c>
      <c r="BB85" s="433">
        <v>-0.49</v>
      </c>
      <c r="BC85" s="428"/>
      <c r="BD85" s="355">
        <v>3.2709999999999999</v>
      </c>
      <c r="BE85" s="238">
        <v>2.7326944050922792</v>
      </c>
      <c r="BF85" s="319"/>
      <c r="BG85" s="238">
        <v>0.5</v>
      </c>
      <c r="BH85" s="293"/>
      <c r="BI85" s="293"/>
      <c r="BJ85" s="238"/>
      <c r="BK85" s="319"/>
      <c r="BL85" s="238"/>
      <c r="BM85" s="238"/>
      <c r="BN85" s="256"/>
      <c r="BO85" s="256"/>
      <c r="BP85" s="293"/>
      <c r="BQ85" s="238"/>
      <c r="BR85" s="293"/>
      <c r="BS85" s="238"/>
      <c r="BT85" s="238"/>
      <c r="BU85" s="238"/>
      <c r="BV85" s="238"/>
      <c r="BW85" s="238"/>
      <c r="BX85" s="238"/>
      <c r="BY85" s="238"/>
      <c r="BZ85" s="238"/>
      <c r="CA85" s="238"/>
      <c r="CB85" s="238"/>
      <c r="CC85" s="238"/>
      <c r="CD85" s="238"/>
      <c r="CE85" s="238"/>
      <c r="CF85" s="238"/>
      <c r="CG85" s="238"/>
    </row>
    <row r="86" spans="1:85">
      <c r="A86" s="356">
        <v>38534</v>
      </c>
      <c r="B86" s="461">
        <v>3.2710000000000004</v>
      </c>
      <c r="C86" s="489">
        <v>-0.49</v>
      </c>
      <c r="D86" s="359">
        <v>-0.3815443752008485</v>
      </c>
      <c r="E86" s="359">
        <v>-0.42221523450053056</v>
      </c>
      <c r="F86" s="469">
        <v>0.14499999999999999</v>
      </c>
      <c r="G86" s="470">
        <v>0.13</v>
      </c>
      <c r="H86" s="470">
        <v>0.18</v>
      </c>
      <c r="I86" s="471">
        <v>0.18</v>
      </c>
      <c r="J86" s="470">
        <v>4.4999999999999998E-2</v>
      </c>
      <c r="K86" s="470">
        <v>0.12</v>
      </c>
      <c r="L86" s="470">
        <v>0.43</v>
      </c>
      <c r="M86" s="469">
        <v>-0.39</v>
      </c>
      <c r="N86" s="470">
        <v>0.24</v>
      </c>
      <c r="O86" s="471">
        <v>0.12</v>
      </c>
      <c r="P86" s="419">
        <v>-0.25</v>
      </c>
      <c r="Q86" s="388">
        <v>0.26500000000000001</v>
      </c>
      <c r="R86" s="475">
        <v>0.23</v>
      </c>
      <c r="S86" s="365">
        <v>0.23</v>
      </c>
      <c r="T86" s="274">
        <v>0.5</v>
      </c>
      <c r="U86" s="494">
        <v>0.23</v>
      </c>
      <c r="V86" s="225">
        <v>2.7810000000000006</v>
      </c>
      <c r="W86" s="225">
        <v>2.8894556247991519</v>
      </c>
      <c r="X86" s="368">
        <v>2.8487847654994698</v>
      </c>
      <c r="Y86" s="415">
        <v>4.3726789384683817</v>
      </c>
      <c r="Z86" s="465">
        <v>0.16</v>
      </c>
      <c r="AA86" s="481">
        <v>0.1</v>
      </c>
      <c r="AB86" s="487">
        <v>4.102691776696866</v>
      </c>
      <c r="AC86" s="312">
        <v>4.2626917766968662</v>
      </c>
      <c r="AD86" s="368">
        <v>4.2026917766968657</v>
      </c>
      <c r="AE86" s="418">
        <v>3.0210000000000004</v>
      </c>
      <c r="AF86" s="373">
        <v>2.8810000000000002</v>
      </c>
      <c r="AG86" s="374">
        <v>3.3910000000000005</v>
      </c>
      <c r="AH86" s="423">
        <v>-0.255</v>
      </c>
      <c r="AI86" s="467">
        <v>1.5564795307999599</v>
      </c>
      <c r="AJ86" s="478">
        <v>5.0466252032434204E-2</v>
      </c>
      <c r="AK86" s="478">
        <v>5.04697821861924E-2</v>
      </c>
      <c r="AL86" s="354">
        <v>0.82666626993714942</v>
      </c>
      <c r="AM86" s="377">
        <v>0.82665539862507575</v>
      </c>
      <c r="AN86" s="353">
        <v>0.13</v>
      </c>
      <c r="AO86" s="378">
        <v>0.12</v>
      </c>
      <c r="AP86" s="238"/>
      <c r="AQ86" s="353">
        <v>-3.1872435676710777</v>
      </c>
      <c r="AR86" s="379">
        <v>-2.6972435676710775</v>
      </c>
      <c r="AS86" s="238"/>
      <c r="AT86" s="456">
        <v>7.4999999999999997E-3</v>
      </c>
      <c r="AU86" s="238"/>
      <c r="AV86" s="353">
        <v>2.5000000000000001E-3</v>
      </c>
      <c r="AW86" s="425">
        <v>5.0000000000000001E-3</v>
      </c>
      <c r="AX86" s="354">
        <v>-8.5000000000000006E-2</v>
      </c>
      <c r="AY86" s="354"/>
      <c r="AZ86" s="488">
        <v>0.7</v>
      </c>
      <c r="BA86" s="488">
        <v>0.5</v>
      </c>
      <c r="BB86" s="433">
        <v>-0.49</v>
      </c>
      <c r="BC86" s="428"/>
      <c r="BD86" s="355">
        <v>3.3210000000000002</v>
      </c>
      <c r="BE86" s="238">
        <v>2.7826946191374873</v>
      </c>
      <c r="BF86" s="319"/>
      <c r="BG86" s="238">
        <v>0.55000000000000004</v>
      </c>
      <c r="BH86" s="293"/>
      <c r="BI86" s="293"/>
      <c r="BJ86" s="238"/>
      <c r="BK86" s="319"/>
      <c r="BL86" s="238"/>
      <c r="BM86" s="238"/>
      <c r="BN86" s="256"/>
      <c r="BO86" s="256"/>
      <c r="BP86" s="293"/>
      <c r="BQ86" s="238"/>
      <c r="BR86" s="293"/>
      <c r="BS86" s="238"/>
      <c r="BT86" s="238"/>
      <c r="BU86" s="238"/>
      <c r="BV86" s="238"/>
      <c r="BW86" s="238"/>
      <c r="BX86" s="238"/>
      <c r="BY86" s="238"/>
      <c r="BZ86" s="238"/>
      <c r="CA86" s="238"/>
      <c r="CB86" s="238"/>
      <c r="CC86" s="238"/>
      <c r="CD86" s="238"/>
      <c r="CE86" s="238"/>
      <c r="CF86" s="238"/>
      <c r="CG86" s="238"/>
    </row>
    <row r="87" spans="1:85">
      <c r="A87" s="356">
        <v>38565</v>
      </c>
      <c r="B87" s="461">
        <v>3.3050000000000002</v>
      </c>
      <c r="C87" s="489">
        <v>-0.49</v>
      </c>
      <c r="D87" s="359">
        <v>-0.38153333999916006</v>
      </c>
      <c r="E87" s="359">
        <v>-0.42220833749947539</v>
      </c>
      <c r="F87" s="469">
        <v>0.14499999999999999</v>
      </c>
      <c r="G87" s="470">
        <v>0.13</v>
      </c>
      <c r="H87" s="470">
        <v>0.18</v>
      </c>
      <c r="I87" s="471">
        <v>0.18</v>
      </c>
      <c r="J87" s="470">
        <v>4.4999999999999998E-2</v>
      </c>
      <c r="K87" s="470">
        <v>0.12</v>
      </c>
      <c r="L87" s="470">
        <v>0.43</v>
      </c>
      <c r="M87" s="469">
        <v>-0.39</v>
      </c>
      <c r="N87" s="470">
        <v>0.24</v>
      </c>
      <c r="O87" s="471">
        <v>0.12</v>
      </c>
      <c r="P87" s="419">
        <v>-0.25</v>
      </c>
      <c r="Q87" s="388">
        <v>0.26500000000000001</v>
      </c>
      <c r="R87" s="475">
        <v>0.23</v>
      </c>
      <c r="S87" s="365">
        <v>0.23</v>
      </c>
      <c r="T87" s="274">
        <v>0.55000000000000004</v>
      </c>
      <c r="U87" s="494">
        <v>0.23</v>
      </c>
      <c r="V87" s="225">
        <v>2.8149999999999999</v>
      </c>
      <c r="W87" s="225">
        <v>2.9234666600008401</v>
      </c>
      <c r="X87" s="368">
        <v>2.8827916625005248</v>
      </c>
      <c r="Y87" s="415">
        <v>4.6423283264217234</v>
      </c>
      <c r="Z87" s="465">
        <v>0.16</v>
      </c>
      <c r="AA87" s="481">
        <v>0.1</v>
      </c>
      <c r="AB87" s="487">
        <v>4.1524280363801589</v>
      </c>
      <c r="AC87" s="312">
        <v>4.312428036380159</v>
      </c>
      <c r="AD87" s="368">
        <v>4.2524280363801585</v>
      </c>
      <c r="AE87" s="418">
        <v>3.0550000000000002</v>
      </c>
      <c r="AF87" s="373">
        <v>2.915</v>
      </c>
      <c r="AG87" s="374">
        <v>3.4249999999999998</v>
      </c>
      <c r="AH87" s="423">
        <v>-0.255</v>
      </c>
      <c r="AI87" s="467">
        <v>1.5563211773893799</v>
      </c>
      <c r="AJ87" s="478">
        <v>5.0687226827306198E-2</v>
      </c>
      <c r="AK87" s="478">
        <v>5.0717401431318504E-2</v>
      </c>
      <c r="AL87" s="354">
        <v>0.82248441285347207</v>
      </c>
      <c r="AM87" s="377">
        <v>0.82238991956088991</v>
      </c>
      <c r="AN87" s="353">
        <v>0.13</v>
      </c>
      <c r="AO87" s="378">
        <v>0.12</v>
      </c>
      <c r="AP87" s="238"/>
      <c r="AQ87" s="353">
        <v>-3.2212366735528817</v>
      </c>
      <c r="AR87" s="379">
        <v>-2.7312366735528819</v>
      </c>
      <c r="AS87" s="238"/>
      <c r="AT87" s="456">
        <v>7.4999999999999997E-3</v>
      </c>
      <c r="AU87" s="238"/>
      <c r="AV87" s="353">
        <v>2.5000000000000001E-3</v>
      </c>
      <c r="AW87" s="425">
        <v>5.0000000000000001E-3</v>
      </c>
      <c r="AX87" s="354">
        <v>-8.5000000000000006E-2</v>
      </c>
      <c r="AY87" s="354"/>
      <c r="AZ87" s="488">
        <v>0.75</v>
      </c>
      <c r="BA87" s="488">
        <v>0.55000000000000004</v>
      </c>
      <c r="BB87" s="433">
        <v>-0.49</v>
      </c>
      <c r="BC87" s="428"/>
      <c r="BD87" s="355">
        <v>3.355</v>
      </c>
      <c r="BE87" s="238">
        <v>2.8166947915625133</v>
      </c>
      <c r="BF87" s="319"/>
      <c r="BG87" s="238">
        <v>0.6</v>
      </c>
      <c r="BH87" s="293"/>
      <c r="BI87" s="293"/>
      <c r="BJ87" s="238"/>
      <c r="BK87" s="319"/>
      <c r="BL87" s="238"/>
      <c r="BM87" s="238"/>
      <c r="BN87" s="256"/>
      <c r="BO87" s="256"/>
      <c r="BP87" s="293"/>
      <c r="BQ87" s="238"/>
      <c r="BR87" s="293"/>
      <c r="BS87" s="238"/>
      <c r="BT87" s="238"/>
      <c r="BU87" s="238"/>
      <c r="BV87" s="238"/>
      <c r="BW87" s="238"/>
      <c r="BX87" s="238"/>
      <c r="BY87" s="238"/>
      <c r="BZ87" s="238"/>
      <c r="CA87" s="238"/>
      <c r="CB87" s="238"/>
      <c r="CC87" s="238"/>
      <c r="CD87" s="238"/>
      <c r="CE87" s="238"/>
      <c r="CF87" s="238"/>
      <c r="CG87" s="238"/>
    </row>
    <row r="88" spans="1:85">
      <c r="A88" s="356">
        <v>38596</v>
      </c>
      <c r="B88" s="461">
        <v>3.3180000000000001</v>
      </c>
      <c r="C88" s="489">
        <v>-0.49</v>
      </c>
      <c r="D88" s="359">
        <v>-0.3815218277546859</v>
      </c>
      <c r="E88" s="359">
        <v>-0.42220114234667872</v>
      </c>
      <c r="F88" s="469">
        <v>0.14499999999999999</v>
      </c>
      <c r="G88" s="470">
        <v>0.13</v>
      </c>
      <c r="H88" s="470">
        <v>0.18</v>
      </c>
      <c r="I88" s="471">
        <v>0.18</v>
      </c>
      <c r="J88" s="470">
        <v>4.4999999999999998E-2</v>
      </c>
      <c r="K88" s="470">
        <v>0.12</v>
      </c>
      <c r="L88" s="470">
        <v>0.38</v>
      </c>
      <c r="M88" s="469">
        <v>-0.39</v>
      </c>
      <c r="N88" s="470">
        <v>0.24</v>
      </c>
      <c r="O88" s="471">
        <v>0.12</v>
      </c>
      <c r="P88" s="419">
        <v>-0.25</v>
      </c>
      <c r="Q88" s="388">
        <v>0.26500000000000001</v>
      </c>
      <c r="R88" s="475">
        <v>0.23</v>
      </c>
      <c r="S88" s="365">
        <v>0.23</v>
      </c>
      <c r="T88" s="274">
        <v>0.55000000000000004</v>
      </c>
      <c r="U88" s="494">
        <v>0.23</v>
      </c>
      <c r="V88" s="225">
        <v>2.8280000000000003</v>
      </c>
      <c r="W88" s="225">
        <v>2.9364781722453142</v>
      </c>
      <c r="X88" s="368">
        <v>2.8957988576533213</v>
      </c>
      <c r="Y88" s="415">
        <v>4.1800722327874222</v>
      </c>
      <c r="Z88" s="465">
        <v>0.16</v>
      </c>
      <c r="AA88" s="481">
        <v>0.1</v>
      </c>
      <c r="AB88" s="487">
        <v>4.1711617243767352</v>
      </c>
      <c r="AC88" s="312">
        <v>4.3311617243767353</v>
      </c>
      <c r="AD88" s="368">
        <v>4.2711617243767348</v>
      </c>
      <c r="AE88" s="418">
        <v>3.0680000000000001</v>
      </c>
      <c r="AF88" s="373">
        <v>2.9279999999999999</v>
      </c>
      <c r="AG88" s="374">
        <v>3.4380000000000002</v>
      </c>
      <c r="AH88" s="423">
        <v>-0.255</v>
      </c>
      <c r="AI88" s="467">
        <v>1.5561560128267398</v>
      </c>
      <c r="AJ88" s="478">
        <v>5.0908201638476799E-2</v>
      </c>
      <c r="AK88" s="478">
        <v>5.0965020696910099E-2</v>
      </c>
      <c r="AL88" s="354">
        <v>0.81829384879650002</v>
      </c>
      <c r="AM88" s="377">
        <v>0.81811300550196675</v>
      </c>
      <c r="AN88" s="353">
        <v>0.13</v>
      </c>
      <c r="AO88" s="378">
        <v>0.124</v>
      </c>
      <c r="AP88" s="238"/>
      <c r="AQ88" s="353">
        <v>-3.2342294814075676</v>
      </c>
      <c r="AR88" s="379">
        <v>-2.7442294814075678</v>
      </c>
      <c r="AS88" s="238"/>
      <c r="AT88" s="456">
        <v>7.4999999999999997E-3</v>
      </c>
      <c r="AU88" s="238"/>
      <c r="AV88" s="353">
        <v>2.5000000000000001E-3</v>
      </c>
      <c r="AW88" s="425">
        <v>5.0000000000000001E-3</v>
      </c>
      <c r="AX88" s="354">
        <v>-8.5000000000000006E-2</v>
      </c>
      <c r="AY88" s="354"/>
      <c r="AZ88" s="488">
        <v>0.75</v>
      </c>
      <c r="BA88" s="488">
        <v>0.55000000000000004</v>
      </c>
      <c r="BB88" s="433">
        <v>-0.49</v>
      </c>
      <c r="BC88" s="428"/>
      <c r="BD88" s="355">
        <v>3.3679999999999999</v>
      </c>
      <c r="BE88" s="238">
        <v>2.8296949714413335</v>
      </c>
      <c r="BF88" s="319"/>
      <c r="BG88" s="238">
        <v>0.6</v>
      </c>
      <c r="BH88" s="293"/>
      <c r="BI88" s="293"/>
      <c r="BJ88" s="238"/>
      <c r="BK88" s="319"/>
      <c r="BL88" s="238"/>
      <c r="BM88" s="238"/>
      <c r="BN88" s="256"/>
      <c r="BO88" s="256"/>
      <c r="BP88" s="293"/>
      <c r="BQ88" s="238"/>
      <c r="BR88" s="293"/>
      <c r="BS88" s="238"/>
      <c r="BT88" s="238"/>
      <c r="BU88" s="238"/>
      <c r="BV88" s="238"/>
      <c r="BW88" s="238"/>
      <c r="BX88" s="238"/>
      <c r="BY88" s="238"/>
      <c r="BZ88" s="238"/>
      <c r="CA88" s="238"/>
      <c r="CB88" s="238"/>
      <c r="CC88" s="238"/>
      <c r="CD88" s="238"/>
      <c r="CE88" s="238"/>
      <c r="CF88" s="238"/>
      <c r="CG88" s="238"/>
    </row>
    <row r="89" spans="1:85">
      <c r="A89" s="356">
        <v>38626</v>
      </c>
      <c r="B89" s="461">
        <v>3.33</v>
      </c>
      <c r="C89" s="489">
        <v>-0.49</v>
      </c>
      <c r="D89" s="359">
        <v>-0.38152220036707618</v>
      </c>
      <c r="E89" s="359">
        <v>-0.42220137522942291</v>
      </c>
      <c r="F89" s="469">
        <v>0.14499999999999999</v>
      </c>
      <c r="G89" s="470">
        <v>0.13</v>
      </c>
      <c r="H89" s="470">
        <v>0.18</v>
      </c>
      <c r="I89" s="471">
        <v>0.18</v>
      </c>
      <c r="J89" s="470">
        <v>4.4999999999999998E-2</v>
      </c>
      <c r="K89" s="470">
        <v>0.12</v>
      </c>
      <c r="L89" s="470">
        <v>0.42</v>
      </c>
      <c r="M89" s="469">
        <v>-0.39</v>
      </c>
      <c r="N89" s="470">
        <v>0.24</v>
      </c>
      <c r="O89" s="471">
        <v>0.12</v>
      </c>
      <c r="P89" s="419">
        <v>-0.25</v>
      </c>
      <c r="Q89" s="388">
        <v>0.26500000000000001</v>
      </c>
      <c r="R89" s="475">
        <v>0.23</v>
      </c>
      <c r="S89" s="365">
        <v>0.23</v>
      </c>
      <c r="T89" s="274">
        <v>0.6</v>
      </c>
      <c r="U89" s="494">
        <v>0.23</v>
      </c>
      <c r="V89" s="225">
        <v>2.84</v>
      </c>
      <c r="W89" s="225">
        <v>2.9484777996329239</v>
      </c>
      <c r="X89" s="368">
        <v>2.9077986247705772</v>
      </c>
      <c r="Y89" s="318" t="s">
        <v>240</v>
      </c>
      <c r="Z89" s="465">
        <v>0.16</v>
      </c>
      <c r="AA89" s="481">
        <v>0.1</v>
      </c>
      <c r="AB89" s="487">
        <v>4.1888755260305368</v>
      </c>
      <c r="AC89" s="312">
        <v>4.348875526030537</v>
      </c>
      <c r="AD89" s="368">
        <v>4.2888755260305365</v>
      </c>
      <c r="AE89" s="418">
        <v>3.08</v>
      </c>
      <c r="AF89" s="373">
        <v>2.94</v>
      </c>
      <c r="AG89" s="374">
        <v>3.45</v>
      </c>
      <c r="AH89" s="423">
        <v>-0.255</v>
      </c>
      <c r="AI89" s="467">
        <v>1.5561613580956599</v>
      </c>
      <c r="AJ89" s="478">
        <v>5.1122048245447999E-2</v>
      </c>
      <c r="AK89" s="478">
        <v>5.1176861474509401E-2</v>
      </c>
      <c r="AL89" s="354">
        <v>0.81423050766817584</v>
      </c>
      <c r="AM89" s="377">
        <v>0.81405335857104055</v>
      </c>
      <c r="AN89" s="353">
        <v>0.13</v>
      </c>
      <c r="AO89" s="378">
        <v>0.12</v>
      </c>
      <c r="AP89" s="238"/>
      <c r="AQ89" s="353">
        <v>-3.2432297141929691</v>
      </c>
      <c r="AR89" s="379">
        <v>-2.7532297141929689</v>
      </c>
      <c r="AS89" s="238"/>
      <c r="AT89" s="456">
        <v>7.4999999999999997E-3</v>
      </c>
      <c r="AU89" s="238"/>
      <c r="AV89" s="353">
        <v>2.5000000000000001E-3</v>
      </c>
      <c r="AW89" s="425">
        <v>5.0000000000000001E-3</v>
      </c>
      <c r="AX89" s="354">
        <v>-8.5000000000000006E-2</v>
      </c>
      <c r="AY89" s="354"/>
      <c r="AZ89" s="488">
        <v>0.8</v>
      </c>
      <c r="BA89" s="488">
        <v>0.6</v>
      </c>
      <c r="BB89" s="433">
        <v>-0.49</v>
      </c>
      <c r="BC89" s="428"/>
      <c r="BD89" s="355">
        <v>3.38</v>
      </c>
      <c r="BE89" s="238">
        <v>2.8416949656192645</v>
      </c>
      <c r="BF89" s="319"/>
      <c r="BG89" s="238">
        <v>0.65</v>
      </c>
      <c r="BH89" s="293"/>
      <c r="BI89" s="293"/>
      <c r="BJ89" s="238"/>
      <c r="BK89" s="319"/>
      <c r="BL89" s="238"/>
      <c r="BM89" s="238"/>
      <c r="BN89" s="256"/>
      <c r="BO89" s="256"/>
      <c r="BP89" s="293"/>
      <c r="BQ89" s="238"/>
      <c r="BR89" s="293"/>
      <c r="BS89" s="238"/>
      <c r="BT89" s="238"/>
      <c r="BU89" s="238"/>
      <c r="BV89" s="238"/>
      <c r="BW89" s="238"/>
      <c r="BX89" s="238"/>
      <c r="BY89" s="238"/>
      <c r="BZ89" s="238"/>
      <c r="CA89" s="238"/>
      <c r="CB89" s="238"/>
      <c r="CC89" s="238"/>
      <c r="CD89" s="238"/>
      <c r="CE89" s="238"/>
      <c r="CF89" s="238"/>
      <c r="CG89" s="238"/>
    </row>
    <row r="90" spans="1:85">
      <c r="A90" s="460">
        <v>38657</v>
      </c>
      <c r="B90" s="461">
        <v>3.4750000000000001</v>
      </c>
      <c r="C90" s="468">
        <v>-0.42</v>
      </c>
      <c r="D90" s="359">
        <v>-0.31153366605001898</v>
      </c>
      <c r="E90" s="359">
        <v>-0.12</v>
      </c>
      <c r="F90" s="469">
        <v>0.23499999999999999</v>
      </c>
      <c r="G90" s="470">
        <v>0.38500000000000001</v>
      </c>
      <c r="H90" s="470">
        <v>0.38500000000000001</v>
      </c>
      <c r="I90" s="471">
        <v>0.55500000000000005</v>
      </c>
      <c r="J90" s="470">
        <v>0.13</v>
      </c>
      <c r="K90" s="470">
        <v>0.15</v>
      </c>
      <c r="L90" s="470">
        <v>0.73</v>
      </c>
      <c r="M90" s="469">
        <v>-0.23</v>
      </c>
      <c r="N90" s="470">
        <v>0.24</v>
      </c>
      <c r="O90" s="471">
        <v>0.19</v>
      </c>
      <c r="P90" s="419">
        <v>0.248</v>
      </c>
      <c r="Q90" s="388">
        <v>0.26750000000000002</v>
      </c>
      <c r="R90" s="475">
        <v>0.23250000000000001</v>
      </c>
      <c r="S90" s="365">
        <v>0.23250000000000001</v>
      </c>
      <c r="T90" s="274">
        <v>0.8</v>
      </c>
      <c r="U90" s="494">
        <v>0.23250000000000001</v>
      </c>
      <c r="V90" s="225">
        <v>3.0550000000000002</v>
      </c>
      <c r="W90" s="225">
        <v>3.1634663339499811</v>
      </c>
      <c r="X90" s="368">
        <v>3.355</v>
      </c>
      <c r="Y90" s="415"/>
      <c r="Z90" s="465">
        <v>0.16</v>
      </c>
      <c r="AA90" s="481">
        <v>0.4425336254301282</v>
      </c>
      <c r="AB90" s="487">
        <v>4.506467418963469</v>
      </c>
      <c r="AC90" s="312">
        <v>4.6664674189634692</v>
      </c>
      <c r="AD90" s="368">
        <v>4.9490010443935972</v>
      </c>
      <c r="AE90" s="418">
        <v>3.7229999999999999</v>
      </c>
      <c r="AF90" s="373">
        <v>3.2450000000000001</v>
      </c>
      <c r="AG90" s="374">
        <v>3.665</v>
      </c>
      <c r="AH90" s="423">
        <v>-0.18</v>
      </c>
      <c r="AI90" s="467">
        <v>1.55632585570603</v>
      </c>
      <c r="AJ90" s="478">
        <v>5.1343023088683604E-2</v>
      </c>
      <c r="AK90" s="478">
        <v>5.1370636120217798E-2</v>
      </c>
      <c r="AL90" s="354">
        <v>0.81002384388230919</v>
      </c>
      <c r="AM90" s="377">
        <v>0.80993321681492192</v>
      </c>
      <c r="AN90" s="353">
        <v>0.38500000000000001</v>
      </c>
      <c r="AO90" s="378">
        <v>0.124</v>
      </c>
      <c r="AP90" s="238"/>
      <c r="AQ90" s="353">
        <v>-3.1558212332723476</v>
      </c>
      <c r="AR90" s="379">
        <v>-2.7358212332723477</v>
      </c>
      <c r="AS90" s="238"/>
      <c r="AT90" s="456">
        <v>7.4999999999999997E-3</v>
      </c>
      <c r="AU90" s="238"/>
      <c r="AV90" s="353">
        <v>8.0000000000000002E-3</v>
      </c>
      <c r="AW90" s="425">
        <v>0.02</v>
      </c>
      <c r="AX90" s="354">
        <v>5.0000000000000001E-3</v>
      </c>
      <c r="AY90" s="354"/>
      <c r="AZ90" s="488">
        <v>1</v>
      </c>
      <c r="BA90" s="488">
        <v>0.8</v>
      </c>
      <c r="BB90" s="433">
        <v>-0.42</v>
      </c>
      <c r="BC90" s="428"/>
      <c r="BD90" s="355">
        <v>3.625</v>
      </c>
      <c r="BE90" s="238">
        <v>3.060423316697499</v>
      </c>
      <c r="BF90" s="319"/>
      <c r="BG90" s="238">
        <v>0.8</v>
      </c>
      <c r="BH90" s="293"/>
      <c r="BI90" s="293"/>
      <c r="BJ90" s="238"/>
      <c r="BK90" s="319"/>
      <c r="BL90" s="238"/>
      <c r="BM90" s="238"/>
      <c r="BN90" s="256"/>
      <c r="BO90" s="256"/>
      <c r="BP90" s="293"/>
      <c r="BQ90" s="238"/>
      <c r="BR90" s="293"/>
      <c r="BS90" s="238"/>
      <c r="BT90" s="238"/>
      <c r="BU90" s="238"/>
      <c r="BV90" s="238"/>
      <c r="BW90" s="238"/>
      <c r="BX90" s="238"/>
      <c r="BY90" s="238"/>
      <c r="BZ90" s="238"/>
      <c r="CA90" s="238"/>
      <c r="CB90" s="238"/>
      <c r="CC90" s="238"/>
      <c r="CD90" s="238"/>
      <c r="CE90" s="238"/>
      <c r="CF90" s="238"/>
      <c r="CG90" s="238"/>
    </row>
    <row r="91" spans="1:85">
      <c r="A91" s="356">
        <v>38687</v>
      </c>
      <c r="B91" s="461">
        <v>3.6260000000000003</v>
      </c>
      <c r="C91" s="493">
        <v>-0.42</v>
      </c>
      <c r="D91" s="359">
        <v>-0.31154522331440759</v>
      </c>
      <c r="E91" s="359">
        <v>-0.12</v>
      </c>
      <c r="F91" s="469">
        <v>0.23499999999999999</v>
      </c>
      <c r="G91" s="470">
        <v>0.38500000000000001</v>
      </c>
      <c r="H91" s="470">
        <v>0.38500000000000001</v>
      </c>
      <c r="I91" s="471">
        <v>0.55500000000000005</v>
      </c>
      <c r="J91" s="470">
        <v>0.13</v>
      </c>
      <c r="K91" s="470">
        <v>0.15</v>
      </c>
      <c r="L91" s="470">
        <v>0.98</v>
      </c>
      <c r="M91" s="469">
        <v>-0.23</v>
      </c>
      <c r="N91" s="470">
        <v>0.24</v>
      </c>
      <c r="O91" s="471">
        <v>0.19</v>
      </c>
      <c r="P91" s="419">
        <v>0.308</v>
      </c>
      <c r="Q91" s="388">
        <v>0.27</v>
      </c>
      <c r="R91" s="475">
        <v>0.23499999999999999</v>
      </c>
      <c r="S91" s="365">
        <v>0.23499999999999999</v>
      </c>
      <c r="T91" s="274">
        <v>1</v>
      </c>
      <c r="U91" s="494">
        <v>0.23499999999999999</v>
      </c>
      <c r="V91" s="225">
        <v>3.2060000000000004</v>
      </c>
      <c r="W91" s="225">
        <v>3.3144547766855927</v>
      </c>
      <c r="X91" s="368">
        <v>3.5060000000000007</v>
      </c>
      <c r="Y91" s="318" t="s">
        <v>238</v>
      </c>
      <c r="Z91" s="465">
        <v>0.16</v>
      </c>
      <c r="AA91" s="481">
        <v>0.4425807831327786</v>
      </c>
      <c r="AB91" s="487">
        <v>4.7297133024122955</v>
      </c>
      <c r="AC91" s="312">
        <v>4.8897133024122956</v>
      </c>
      <c r="AD91" s="368">
        <v>5.1722940855450741</v>
      </c>
      <c r="AE91" s="418">
        <v>3.9340000000000002</v>
      </c>
      <c r="AF91" s="373">
        <v>3.3960000000000004</v>
      </c>
      <c r="AG91" s="374">
        <v>3.8160000000000003</v>
      </c>
      <c r="AH91" s="423">
        <v>-0.18</v>
      </c>
      <c r="AI91" s="467">
        <v>1.5564917024297897</v>
      </c>
      <c r="AJ91" s="478">
        <v>5.1556869726682802E-2</v>
      </c>
      <c r="AK91" s="478">
        <v>5.1558159982832301E-2</v>
      </c>
      <c r="AL91" s="354">
        <v>0.80594558328223764</v>
      </c>
      <c r="AM91" s="377">
        <v>0.80594128685431643</v>
      </c>
      <c r="AN91" s="353">
        <v>0.38500000000000001</v>
      </c>
      <c r="AO91" s="378">
        <v>0.12</v>
      </c>
      <c r="AP91" s="238"/>
      <c r="AQ91" s="353">
        <v>-3.3107857705382027</v>
      </c>
      <c r="AR91" s="379">
        <v>-2.8907857705382027</v>
      </c>
      <c r="AS91" s="238"/>
      <c r="AT91" s="456">
        <v>7.4999999999999997E-3</v>
      </c>
      <c r="AU91" s="238"/>
      <c r="AV91" s="353">
        <v>8.0000000000000002E-3</v>
      </c>
      <c r="AW91" s="425">
        <v>0.02</v>
      </c>
      <c r="AX91" s="354">
        <v>0.01</v>
      </c>
      <c r="AY91" s="354"/>
      <c r="AZ91" s="488">
        <v>1.2</v>
      </c>
      <c r="BA91" s="488">
        <v>1</v>
      </c>
      <c r="BB91" s="433">
        <v>-0.42</v>
      </c>
      <c r="BC91" s="428"/>
      <c r="BD91" s="355">
        <v>3.7760000000000002</v>
      </c>
      <c r="BE91" s="238">
        <v>3.2114227388342802</v>
      </c>
      <c r="BF91" s="319"/>
      <c r="BG91" s="238">
        <v>1.1000000000000001</v>
      </c>
      <c r="BH91" s="293"/>
      <c r="BI91" s="293"/>
      <c r="BJ91" s="238"/>
      <c r="BK91" s="319"/>
      <c r="BL91" s="238"/>
      <c r="BM91" s="238"/>
      <c r="BN91" s="256"/>
      <c r="BO91" s="256"/>
      <c r="BP91" s="293"/>
      <c r="BQ91" s="238"/>
      <c r="BR91" s="293"/>
      <c r="BS91" s="238"/>
      <c r="BT91" s="238"/>
      <c r="BU91" s="238"/>
      <c r="BV91" s="238"/>
      <c r="BW91" s="238"/>
      <c r="BX91" s="238"/>
      <c r="BY91" s="238"/>
      <c r="BZ91" s="238"/>
      <c r="CA91" s="238"/>
      <c r="CB91" s="238"/>
      <c r="CC91" s="238"/>
      <c r="CD91" s="238"/>
      <c r="CE91" s="238"/>
      <c r="CF91" s="238"/>
      <c r="CG91" s="238"/>
    </row>
    <row r="92" spans="1:85">
      <c r="A92" s="356">
        <v>38718</v>
      </c>
      <c r="B92" s="461">
        <v>3.6970000000000001</v>
      </c>
      <c r="C92" s="493">
        <v>-0.42</v>
      </c>
      <c r="D92" s="359">
        <v>-0.31155764234519667</v>
      </c>
      <c r="E92" s="359">
        <v>-0.12</v>
      </c>
      <c r="F92" s="469">
        <v>0.23499999999999999</v>
      </c>
      <c r="G92" s="470">
        <v>0.38500000000000001</v>
      </c>
      <c r="H92" s="470">
        <v>0.38500000000000001</v>
      </c>
      <c r="I92" s="471">
        <v>0.55500000000000005</v>
      </c>
      <c r="J92" s="470">
        <v>0.13</v>
      </c>
      <c r="K92" s="470">
        <v>0.15</v>
      </c>
      <c r="L92" s="470">
        <v>1.6</v>
      </c>
      <c r="M92" s="469">
        <v>-0.23</v>
      </c>
      <c r="N92" s="470">
        <v>0.24</v>
      </c>
      <c r="O92" s="471">
        <v>0.19</v>
      </c>
      <c r="P92" s="419">
        <v>0.378</v>
      </c>
      <c r="Q92" s="388">
        <v>0.27250000000000002</v>
      </c>
      <c r="R92" s="475">
        <v>0.23749999999999999</v>
      </c>
      <c r="S92" s="365">
        <v>0.23749999999999999</v>
      </c>
      <c r="T92" s="274">
        <v>1</v>
      </c>
      <c r="U92" s="494">
        <v>0.23749999999999999</v>
      </c>
      <c r="V92" s="225">
        <v>3.2770000000000001</v>
      </c>
      <c r="W92" s="225">
        <v>3.3854423576548034</v>
      </c>
      <c r="X92" s="368">
        <v>3.577</v>
      </c>
      <c r="Y92" s="415"/>
      <c r="Z92" s="465">
        <v>0.16</v>
      </c>
      <c r="AA92" s="481">
        <v>0.4426314683492496</v>
      </c>
      <c r="AB92" s="487">
        <v>4.835011072601648</v>
      </c>
      <c r="AC92" s="312">
        <v>4.9950110726016481</v>
      </c>
      <c r="AD92" s="368">
        <v>5.2776425409508976</v>
      </c>
      <c r="AE92" s="418">
        <v>4.0750000000000002</v>
      </c>
      <c r="AF92" s="373">
        <v>3.4670000000000001</v>
      </c>
      <c r="AG92" s="374">
        <v>3.887</v>
      </c>
      <c r="AH92" s="423">
        <v>-0.18</v>
      </c>
      <c r="AI92" s="467">
        <v>1.5566699549022898</v>
      </c>
      <c r="AJ92" s="478">
        <v>5.1777844601976798E-2</v>
      </c>
      <c r="AK92" s="478">
        <v>5.17519346531925E-2</v>
      </c>
      <c r="AL92" s="354">
        <v>0.80172418365316345</v>
      </c>
      <c r="AM92" s="377">
        <v>0.80181172426048286</v>
      </c>
      <c r="AN92" s="353">
        <v>0.38500000000000001</v>
      </c>
      <c r="AO92" s="378">
        <v>0.12</v>
      </c>
      <c r="AP92" s="238"/>
      <c r="AQ92" s="353">
        <v>-3.3807474966509243</v>
      </c>
      <c r="AR92" s="379">
        <v>-2.9607474966509244</v>
      </c>
      <c r="AS92" s="238"/>
      <c r="AT92" s="456">
        <v>7.4999999999999997E-3</v>
      </c>
      <c r="AU92" s="238"/>
      <c r="AV92" s="353">
        <v>8.0000000000000002E-3</v>
      </c>
      <c r="AW92" s="425">
        <v>0.02</v>
      </c>
      <c r="AX92" s="354">
        <v>0.03</v>
      </c>
      <c r="AY92" s="354"/>
      <c r="AZ92" s="488">
        <v>1.2</v>
      </c>
      <c r="BA92" s="488">
        <v>1</v>
      </c>
      <c r="BB92" s="433">
        <v>-0.42</v>
      </c>
      <c r="BC92" s="428"/>
      <c r="BD92" s="355">
        <v>3.847</v>
      </c>
      <c r="BE92" s="238">
        <v>3.2824221178827404</v>
      </c>
      <c r="BF92" s="319"/>
      <c r="BG92" s="238">
        <v>1.1000000000000001</v>
      </c>
      <c r="BH92" s="293"/>
      <c r="BI92" s="293"/>
      <c r="BJ92" s="238"/>
      <c r="BK92" s="319"/>
      <c r="BL92" s="238"/>
      <c r="BM92" s="238"/>
      <c r="BN92" s="256"/>
      <c r="BO92" s="256"/>
      <c r="BP92" s="293"/>
      <c r="BQ92" s="238"/>
      <c r="BR92" s="293"/>
      <c r="BS92" s="238"/>
      <c r="BT92" s="238"/>
      <c r="BU92" s="238"/>
      <c r="BV92" s="238"/>
      <c r="BW92" s="238"/>
      <c r="BX92" s="238"/>
      <c r="BY92" s="238"/>
      <c r="BZ92" s="238"/>
      <c r="CA92" s="238"/>
      <c r="CB92" s="238"/>
      <c r="CC92" s="238"/>
      <c r="CD92" s="238"/>
      <c r="CE92" s="238"/>
      <c r="CF92" s="238"/>
      <c r="CG92" s="238"/>
    </row>
    <row r="93" spans="1:85">
      <c r="A93" s="356">
        <v>38749</v>
      </c>
      <c r="B93" s="461">
        <v>3.5830000000000002</v>
      </c>
      <c r="C93" s="493">
        <v>-0.42</v>
      </c>
      <c r="D93" s="359">
        <v>-0.3115705454016231</v>
      </c>
      <c r="E93" s="359">
        <v>-0.12000000000000055</v>
      </c>
      <c r="F93" s="469">
        <v>0.23499999999999999</v>
      </c>
      <c r="G93" s="470">
        <v>0.38500000000000001</v>
      </c>
      <c r="H93" s="470">
        <v>0.38500000000000001</v>
      </c>
      <c r="I93" s="471">
        <v>0.55500000000000005</v>
      </c>
      <c r="J93" s="470">
        <v>0.13</v>
      </c>
      <c r="K93" s="470">
        <v>0.15</v>
      </c>
      <c r="L93" s="470">
        <v>1.6</v>
      </c>
      <c r="M93" s="469">
        <v>-0.23</v>
      </c>
      <c r="N93" s="470">
        <v>0.24</v>
      </c>
      <c r="O93" s="471">
        <v>0.19</v>
      </c>
      <c r="P93" s="419">
        <v>0.248</v>
      </c>
      <c r="Q93" s="388">
        <v>0.27250000000000002</v>
      </c>
      <c r="R93" s="475">
        <v>0.23749999999999999</v>
      </c>
      <c r="S93" s="365">
        <v>0.23749999999999999</v>
      </c>
      <c r="T93" s="274">
        <v>1</v>
      </c>
      <c r="U93" s="494">
        <v>0.23749999999999999</v>
      </c>
      <c r="V93" s="225">
        <v>3.1630000000000003</v>
      </c>
      <c r="W93" s="225">
        <v>3.2714294545983771</v>
      </c>
      <c r="X93" s="368">
        <v>3.4629999999999996</v>
      </c>
      <c r="Y93" s="226"/>
      <c r="Z93" s="465">
        <v>0.16</v>
      </c>
      <c r="AA93" s="481">
        <v>0.44268414129529887</v>
      </c>
      <c r="AB93" s="487">
        <v>4.6673664630567799</v>
      </c>
      <c r="AC93" s="312">
        <v>4.8273664630567801</v>
      </c>
      <c r="AD93" s="368">
        <v>5.1100506043520788</v>
      </c>
      <c r="AE93" s="418">
        <v>3.8310000000000004</v>
      </c>
      <c r="AF93" s="373">
        <v>3.3530000000000002</v>
      </c>
      <c r="AG93" s="374">
        <v>3.7730000000000001</v>
      </c>
      <c r="AH93" s="423">
        <v>-0.18</v>
      </c>
      <c r="AI93" s="467">
        <v>1.5568551979281799</v>
      </c>
      <c r="AJ93" s="478">
        <v>5.1998819493560298E-2</v>
      </c>
      <c r="AK93" s="478">
        <v>5.1945709336078706E-2</v>
      </c>
      <c r="AL93" s="354">
        <v>0.79749581537020997</v>
      </c>
      <c r="AM93" s="377">
        <v>0.79767780628659501</v>
      </c>
      <c r="AN93" s="353">
        <v>0.38500000000000001</v>
      </c>
      <c r="AO93" s="378">
        <v>0.13300000000000001</v>
      </c>
      <c r="AP93" s="238"/>
      <c r="AQ93" s="353">
        <v>-3.2667075667751191</v>
      </c>
      <c r="AR93" s="379">
        <v>-2.8467075667751192</v>
      </c>
      <c r="AS93" s="238"/>
      <c r="AT93" s="456">
        <v>7.4999999999999997E-3</v>
      </c>
      <c r="AU93" s="238"/>
      <c r="AV93" s="353">
        <v>8.0000000000000002E-3</v>
      </c>
      <c r="AW93" s="425">
        <v>0.02</v>
      </c>
      <c r="AX93" s="354">
        <v>2.5000000000000001E-2</v>
      </c>
      <c r="AY93" s="354"/>
      <c r="AZ93" s="488">
        <v>1.2</v>
      </c>
      <c r="BA93" s="488">
        <v>1</v>
      </c>
      <c r="BB93" s="433">
        <v>-0.42</v>
      </c>
      <c r="BC93" s="428"/>
      <c r="BD93" s="355">
        <v>3.7330000000000001</v>
      </c>
      <c r="BE93" s="238">
        <v>3.1684214727299191</v>
      </c>
      <c r="BF93" s="319"/>
      <c r="BG93" s="238">
        <v>1.1000000000000001</v>
      </c>
      <c r="BH93" s="293"/>
      <c r="BI93" s="293"/>
      <c r="BJ93" s="238"/>
      <c r="BK93" s="319"/>
      <c r="BL93" s="238"/>
      <c r="BM93" s="238"/>
      <c r="BN93" s="256"/>
      <c r="BO93" s="256"/>
      <c r="BP93" s="293"/>
      <c r="BQ93" s="238"/>
      <c r="BR93" s="293"/>
      <c r="BS93" s="238"/>
      <c r="BT93" s="238"/>
      <c r="BU93" s="238"/>
      <c r="BV93" s="238"/>
      <c r="BW93" s="238"/>
      <c r="BX93" s="238"/>
      <c r="BY93" s="238"/>
      <c r="BZ93" s="238"/>
      <c r="CA93" s="238"/>
      <c r="CB93" s="238"/>
      <c r="CC93" s="238"/>
      <c r="CD93" s="238"/>
      <c r="CE93" s="238"/>
      <c r="CF93" s="238"/>
      <c r="CG93" s="238"/>
    </row>
    <row r="94" spans="1:85">
      <c r="A94" s="356">
        <v>38777</v>
      </c>
      <c r="B94" s="461">
        <v>3.4510000000000001</v>
      </c>
      <c r="C94" s="493">
        <v>-0.42</v>
      </c>
      <c r="D94" s="359">
        <v>-0.31158261553934707</v>
      </c>
      <c r="E94" s="359">
        <v>-0.12</v>
      </c>
      <c r="F94" s="469">
        <v>0.23499999999999999</v>
      </c>
      <c r="G94" s="470">
        <v>0.38500000000000001</v>
      </c>
      <c r="H94" s="470">
        <v>0.38500000000000001</v>
      </c>
      <c r="I94" s="471">
        <v>0.55500000000000005</v>
      </c>
      <c r="J94" s="470">
        <v>0.13</v>
      </c>
      <c r="K94" s="470">
        <v>0.15</v>
      </c>
      <c r="L94" s="470">
        <v>0.72</v>
      </c>
      <c r="M94" s="469">
        <v>-0.23</v>
      </c>
      <c r="N94" s="470">
        <v>0.24</v>
      </c>
      <c r="O94" s="471">
        <v>0.19</v>
      </c>
      <c r="P94" s="419">
        <v>6.8000000000000005E-2</v>
      </c>
      <c r="Q94" s="388">
        <v>0.27250000000000002</v>
      </c>
      <c r="R94" s="475">
        <v>0.23749999999999999</v>
      </c>
      <c r="S94" s="365">
        <v>0.23749999999999999</v>
      </c>
      <c r="T94" s="274">
        <v>0.75</v>
      </c>
      <c r="U94" s="494">
        <v>0.23749999999999999</v>
      </c>
      <c r="V94" s="225">
        <v>3.0310000000000001</v>
      </c>
      <c r="W94" s="225">
        <v>3.139417384460653</v>
      </c>
      <c r="X94" s="368">
        <v>3.331</v>
      </c>
      <c r="Y94" s="226"/>
      <c r="Z94" s="465">
        <v>0.16</v>
      </c>
      <c r="AA94" s="481">
        <v>0.44273342544451566</v>
      </c>
      <c r="AB94" s="487">
        <v>4.4730833750744239</v>
      </c>
      <c r="AC94" s="312">
        <v>4.633083375074424</v>
      </c>
      <c r="AD94" s="368">
        <v>4.9158168005189395</v>
      </c>
      <c r="AE94" s="418">
        <v>3.5190000000000001</v>
      </c>
      <c r="AF94" s="373">
        <v>3.2210000000000001</v>
      </c>
      <c r="AG94" s="374">
        <v>3.641</v>
      </c>
      <c r="AH94" s="423">
        <v>-0.18</v>
      </c>
      <c r="AI94" s="467">
        <v>1.55702852305263</v>
      </c>
      <c r="AJ94" s="478">
        <v>5.21984097322159E-2</v>
      </c>
      <c r="AK94" s="478">
        <v>5.2120731641064601E-2</v>
      </c>
      <c r="AL94" s="354">
        <v>0.79367094459569554</v>
      </c>
      <c r="AM94" s="377">
        <v>0.79394044243727924</v>
      </c>
      <c r="AN94" s="353">
        <v>0.38500000000000001</v>
      </c>
      <c r="AO94" s="378">
        <v>0.12</v>
      </c>
      <c r="AP94" s="238"/>
      <c r="AQ94" s="353">
        <v>-3.1346700775159109</v>
      </c>
      <c r="AR94" s="379">
        <v>-2.7146700775159109</v>
      </c>
      <c r="AS94" s="238"/>
      <c r="AT94" s="456">
        <v>7.4999999999999997E-3</v>
      </c>
      <c r="AU94" s="238"/>
      <c r="AV94" s="353">
        <v>8.0000000000000002E-3</v>
      </c>
      <c r="AW94" s="425">
        <v>0.02</v>
      </c>
      <c r="AX94" s="354">
        <v>5.0000000000000001E-3</v>
      </c>
      <c r="AY94" s="354"/>
      <c r="AZ94" s="488">
        <v>0.95</v>
      </c>
      <c r="BA94" s="488">
        <v>0.75</v>
      </c>
      <c r="BB94" s="433">
        <v>-0.42</v>
      </c>
      <c r="BC94" s="428"/>
      <c r="BD94" s="355">
        <v>3.601</v>
      </c>
      <c r="BE94" s="238">
        <v>3.0364208692230328</v>
      </c>
      <c r="BF94" s="319"/>
      <c r="BG94" s="238">
        <v>0.75</v>
      </c>
      <c r="BH94" s="293"/>
      <c r="BI94" s="293"/>
      <c r="BJ94" s="238"/>
      <c r="BK94" s="319"/>
      <c r="BL94" s="238"/>
      <c r="BM94" s="238"/>
      <c r="BN94" s="256"/>
      <c r="BO94" s="256"/>
      <c r="BP94" s="293"/>
      <c r="BQ94" s="238"/>
      <c r="BR94" s="293"/>
      <c r="BS94" s="238"/>
      <c r="BT94" s="238"/>
      <c r="BU94" s="238"/>
      <c r="BV94" s="238"/>
      <c r="BW94" s="238"/>
      <c r="BX94" s="238"/>
      <c r="BY94" s="238"/>
      <c r="BZ94" s="238"/>
      <c r="CA94" s="238"/>
      <c r="CB94" s="238"/>
      <c r="CC94" s="238"/>
      <c r="CD94" s="238"/>
      <c r="CE94" s="238"/>
      <c r="CF94" s="238"/>
      <c r="CG94" s="238"/>
    </row>
    <row r="95" spans="1:85">
      <c r="A95" s="356">
        <v>38808</v>
      </c>
      <c r="B95" s="461">
        <v>3.2530000000000001</v>
      </c>
      <c r="C95" s="484">
        <v>-0.49</v>
      </c>
      <c r="D95" s="359">
        <v>-0.38159643891604755</v>
      </c>
      <c r="E95" s="359">
        <v>-0.42224777432253013</v>
      </c>
      <c r="F95" s="469">
        <v>0.14000000000000001</v>
      </c>
      <c r="G95" s="470">
        <v>0.14000000000000001</v>
      </c>
      <c r="H95" s="470">
        <v>0.17499999999999999</v>
      </c>
      <c r="I95" s="471">
        <v>0.17499999999999999</v>
      </c>
      <c r="J95" s="470">
        <v>4.4999999999999998E-2</v>
      </c>
      <c r="K95" s="470">
        <v>0.12</v>
      </c>
      <c r="L95" s="470">
        <v>0.4</v>
      </c>
      <c r="M95" s="469">
        <v>-0.39</v>
      </c>
      <c r="N95" s="470">
        <v>0.24</v>
      </c>
      <c r="O95" s="471">
        <v>0.12</v>
      </c>
      <c r="P95" s="485">
        <v>-0.25</v>
      </c>
      <c r="Q95" s="388">
        <v>0.27250000000000002</v>
      </c>
      <c r="R95" s="475">
        <v>0.23749999999999999</v>
      </c>
      <c r="S95" s="365">
        <v>0.23749999999999999</v>
      </c>
      <c r="T95" s="274">
        <v>0.4</v>
      </c>
      <c r="U95" s="494">
        <v>0.23749999999999999</v>
      </c>
      <c r="V95" s="225">
        <v>2.7629999999999999</v>
      </c>
      <c r="W95" s="225">
        <v>2.8714035610839526</v>
      </c>
      <c r="X95" s="368">
        <v>2.83075222567747</v>
      </c>
      <c r="Y95" s="226"/>
      <c r="Z95" s="465">
        <v>0.16</v>
      </c>
      <c r="AA95" s="481">
        <v>0.1</v>
      </c>
      <c r="AB95" s="487">
        <v>4.0780948114576567</v>
      </c>
      <c r="AC95" s="312">
        <v>4.2380948114576569</v>
      </c>
      <c r="AD95" s="368">
        <v>4.1780948114576564</v>
      </c>
      <c r="AE95" s="418">
        <v>3.0030000000000001</v>
      </c>
      <c r="AF95" s="373">
        <v>2.863</v>
      </c>
      <c r="AG95" s="374">
        <v>3.3730000000000002</v>
      </c>
      <c r="AH95" s="423">
        <v>-0.255</v>
      </c>
      <c r="AI95" s="467">
        <v>1.5572270718050198</v>
      </c>
      <c r="AJ95" s="478">
        <v>5.2419384654796904E-2</v>
      </c>
      <c r="AK95" s="478">
        <v>5.23145063477886E-2</v>
      </c>
      <c r="AL95" s="354">
        <v>0.78943027647283692</v>
      </c>
      <c r="AM95" s="377">
        <v>0.78979903490267911</v>
      </c>
      <c r="AN95" s="353">
        <v>0.14000000000000001</v>
      </c>
      <c r="AO95" s="378">
        <v>0.124</v>
      </c>
      <c r="AP95" s="238"/>
      <c r="AQ95" s="353">
        <v>-3.1692760938918454</v>
      </c>
      <c r="AR95" s="379">
        <v>-2.6792760938918452</v>
      </c>
      <c r="AS95" s="238"/>
      <c r="AT95" s="456">
        <v>7.4999999999999997E-3</v>
      </c>
      <c r="AU95" s="238"/>
      <c r="AV95" s="353">
        <v>2.5000000000000001E-3</v>
      </c>
      <c r="AW95" s="425">
        <v>5.0000000000000001E-3</v>
      </c>
      <c r="AX95" s="354">
        <v>-8.5000000000000006E-2</v>
      </c>
      <c r="AY95" s="354"/>
      <c r="AZ95" s="488">
        <v>0.6</v>
      </c>
      <c r="BA95" s="488">
        <v>0.4</v>
      </c>
      <c r="BB95" s="433">
        <v>-0.49</v>
      </c>
      <c r="BC95" s="428"/>
      <c r="BD95" s="355">
        <v>3.3029999999999999</v>
      </c>
      <c r="BE95" s="238">
        <v>2.7646938056419366</v>
      </c>
      <c r="BF95" s="319"/>
      <c r="BG95" s="238">
        <v>0.45</v>
      </c>
      <c r="BH95" s="293"/>
      <c r="BI95" s="293"/>
      <c r="BJ95" s="238"/>
      <c r="BK95" s="319"/>
      <c r="BL95" s="238"/>
      <c r="BM95" s="238"/>
      <c r="BN95" s="256"/>
      <c r="BO95" s="256"/>
      <c r="BP95" s="293"/>
      <c r="BQ95" s="238"/>
      <c r="BR95" s="293"/>
      <c r="BS95" s="238"/>
      <c r="BT95" s="238"/>
      <c r="BU95" s="238"/>
      <c r="BV95" s="238"/>
      <c r="BW95" s="238"/>
      <c r="BX95" s="238"/>
      <c r="BY95" s="238"/>
      <c r="BZ95" s="238"/>
      <c r="CA95" s="238"/>
      <c r="CB95" s="238"/>
      <c r="CC95" s="238"/>
      <c r="CD95" s="238"/>
      <c r="CE95" s="238"/>
      <c r="CF95" s="238"/>
      <c r="CG95" s="238"/>
    </row>
    <row r="96" spans="1:85">
      <c r="A96" s="356">
        <v>38838</v>
      </c>
      <c r="B96" s="461">
        <v>3.2490000000000001</v>
      </c>
      <c r="C96" s="489">
        <v>-0.49</v>
      </c>
      <c r="D96" s="359">
        <v>-0.38161027633600142</v>
      </c>
      <c r="E96" s="359">
        <v>-0.42225642271000075</v>
      </c>
      <c r="F96" s="469">
        <v>0.14000000000000001</v>
      </c>
      <c r="G96" s="470">
        <v>0.14000000000000001</v>
      </c>
      <c r="H96" s="470">
        <v>0.17499999999999999</v>
      </c>
      <c r="I96" s="471">
        <v>0.17499999999999999</v>
      </c>
      <c r="J96" s="470">
        <v>4.4999999999999998E-2</v>
      </c>
      <c r="K96" s="470">
        <v>0.12</v>
      </c>
      <c r="L96" s="470">
        <v>0.35</v>
      </c>
      <c r="M96" s="469">
        <v>-0.39</v>
      </c>
      <c r="N96" s="470">
        <v>0.24</v>
      </c>
      <c r="O96" s="471">
        <v>0.12</v>
      </c>
      <c r="P96" s="419">
        <v>-0.25</v>
      </c>
      <c r="Q96" s="388">
        <v>0.27</v>
      </c>
      <c r="R96" s="475">
        <v>0.23499999999999999</v>
      </c>
      <c r="S96" s="365">
        <v>0.23499999999999999</v>
      </c>
      <c r="T96" s="274">
        <v>0.45</v>
      </c>
      <c r="U96" s="494">
        <v>0.23499999999999999</v>
      </c>
      <c r="V96" s="225">
        <v>2.7590000000000003</v>
      </c>
      <c r="W96" s="225">
        <v>2.8673897236639987</v>
      </c>
      <c r="X96" s="368">
        <v>2.8267435772899994</v>
      </c>
      <c r="Y96" s="226"/>
      <c r="Z96" s="465">
        <v>0.16</v>
      </c>
      <c r="AA96" s="481">
        <v>0.1</v>
      </c>
      <c r="AB96" s="487">
        <v>4.0727108168338715</v>
      </c>
      <c r="AC96" s="312">
        <v>4.2327108168338716</v>
      </c>
      <c r="AD96" s="368">
        <v>4.1727108168338711</v>
      </c>
      <c r="AE96" s="418">
        <v>2.9990000000000001</v>
      </c>
      <c r="AF96" s="373">
        <v>2.859</v>
      </c>
      <c r="AG96" s="374">
        <v>3.3690000000000002</v>
      </c>
      <c r="AH96" s="423">
        <v>-0.255</v>
      </c>
      <c r="AI96" s="467">
        <v>1.5574258729849497</v>
      </c>
      <c r="AJ96" s="478">
        <v>5.2633231369573902E-2</v>
      </c>
      <c r="AK96" s="478">
        <v>5.2502030269443896E-2</v>
      </c>
      <c r="AL96" s="354">
        <v>0.78532072688382604</v>
      </c>
      <c r="AM96" s="377">
        <v>0.7857878693480348</v>
      </c>
      <c r="AN96" s="353">
        <v>0.14000000000000001</v>
      </c>
      <c r="AO96" s="378">
        <v>0.12</v>
      </c>
      <c r="AP96" s="238"/>
      <c r="AQ96" s="353">
        <v>-3.1652847386644005</v>
      </c>
      <c r="AR96" s="379">
        <v>-2.6752847386644003</v>
      </c>
      <c r="AS96" s="238"/>
      <c r="AT96" s="456">
        <v>7.4999999999999997E-3</v>
      </c>
      <c r="AU96" s="238"/>
      <c r="AV96" s="353">
        <v>2.5000000000000001E-3</v>
      </c>
      <c r="AW96" s="425">
        <v>5.0000000000000001E-3</v>
      </c>
      <c r="AX96" s="354">
        <v>-8.5000000000000006E-2</v>
      </c>
      <c r="AY96" s="354"/>
      <c r="AZ96" s="488">
        <v>0.65</v>
      </c>
      <c r="BA96" s="488">
        <v>0.45</v>
      </c>
      <c r="BB96" s="433">
        <v>-0.49</v>
      </c>
      <c r="BC96" s="428"/>
      <c r="BD96" s="355">
        <v>3.2989999999999999</v>
      </c>
      <c r="BE96" s="238">
        <v>2.7606935894322504</v>
      </c>
      <c r="BF96" s="319"/>
      <c r="BG96" s="238">
        <v>0.5</v>
      </c>
      <c r="BH96" s="293"/>
      <c r="BI96" s="293"/>
      <c r="BJ96" s="238"/>
      <c r="BK96" s="319"/>
      <c r="BL96" s="238"/>
      <c r="BM96" s="238"/>
      <c r="BN96" s="256"/>
      <c r="BO96" s="256"/>
      <c r="BP96" s="293"/>
      <c r="BQ96" s="238"/>
      <c r="BR96" s="293"/>
      <c r="BS96" s="238"/>
      <c r="BT96" s="238"/>
      <c r="BU96" s="238"/>
      <c r="BV96" s="238"/>
      <c r="BW96" s="238"/>
      <c r="BX96" s="238"/>
      <c r="BY96" s="238"/>
      <c r="BZ96" s="238"/>
      <c r="CA96" s="238"/>
      <c r="CB96" s="238"/>
      <c r="CC96" s="238"/>
      <c r="CD96" s="238"/>
      <c r="CE96" s="238"/>
      <c r="CF96" s="238"/>
      <c r="CG96" s="238"/>
    </row>
    <row r="97" spans="1:85">
      <c r="A97" s="356">
        <v>38869</v>
      </c>
      <c r="B97" s="461">
        <v>3.2810000000000001</v>
      </c>
      <c r="C97" s="489">
        <v>-0.49</v>
      </c>
      <c r="D97" s="359">
        <v>-0.38162504996446334</v>
      </c>
      <c r="E97" s="359">
        <v>-0.42226565622778978</v>
      </c>
      <c r="F97" s="469">
        <v>0.14000000000000001</v>
      </c>
      <c r="G97" s="470">
        <v>0.14000000000000001</v>
      </c>
      <c r="H97" s="470">
        <v>0.17499999999999999</v>
      </c>
      <c r="I97" s="471">
        <v>0.17499999999999999</v>
      </c>
      <c r="J97" s="470">
        <v>4.4999999999999998E-2</v>
      </c>
      <c r="K97" s="470">
        <v>0.12</v>
      </c>
      <c r="L97" s="470">
        <v>0.39</v>
      </c>
      <c r="M97" s="469">
        <v>-0.39</v>
      </c>
      <c r="N97" s="470">
        <v>0.24</v>
      </c>
      <c r="O97" s="471">
        <v>0.12</v>
      </c>
      <c r="P97" s="419">
        <v>-0.25</v>
      </c>
      <c r="Q97" s="388">
        <v>0.27</v>
      </c>
      <c r="R97" s="475">
        <v>0.23499999999999999</v>
      </c>
      <c r="S97" s="365">
        <v>0.23499999999999999</v>
      </c>
      <c r="T97" s="274">
        <v>0.45</v>
      </c>
      <c r="U97" s="494">
        <v>0.23499999999999999</v>
      </c>
      <c r="V97" s="225">
        <v>2.7910000000000004</v>
      </c>
      <c r="W97" s="225">
        <v>2.8993749500355368</v>
      </c>
      <c r="X97" s="368">
        <v>2.8587343437722104</v>
      </c>
      <c r="Y97" s="490" t="s">
        <v>246</v>
      </c>
      <c r="Z97" s="465">
        <v>0.16</v>
      </c>
      <c r="AA97" s="481">
        <v>0.1</v>
      </c>
      <c r="AB97" s="487">
        <v>4.1205093968077771</v>
      </c>
      <c r="AC97" s="312">
        <v>4.2805093968077772</v>
      </c>
      <c r="AD97" s="368">
        <v>4.2205093968077767</v>
      </c>
      <c r="AE97" s="418">
        <v>3.0310000000000001</v>
      </c>
      <c r="AF97" s="373">
        <v>2.891</v>
      </c>
      <c r="AG97" s="374">
        <v>3.4010000000000002</v>
      </c>
      <c r="AH97" s="423">
        <v>-0.255</v>
      </c>
      <c r="AI97" s="467">
        <v>1.5576381806371999</v>
      </c>
      <c r="AJ97" s="478">
        <v>5.2854206324196407E-2</v>
      </c>
      <c r="AK97" s="478">
        <v>5.2695805000807699E-2</v>
      </c>
      <c r="AL97" s="354">
        <v>0.78106866200246028</v>
      </c>
      <c r="AM97" s="377">
        <v>0.78163981344956401</v>
      </c>
      <c r="AN97" s="353">
        <v>0.14000000000000001</v>
      </c>
      <c r="AO97" s="378">
        <v>0.124</v>
      </c>
      <c r="AP97" s="238"/>
      <c r="AQ97" s="353">
        <v>-3.1972939683226964</v>
      </c>
      <c r="AR97" s="379">
        <v>-2.7072939683226966</v>
      </c>
      <c r="AS97" s="238"/>
      <c r="AT97" s="456">
        <v>7.4999999999999997E-3</v>
      </c>
      <c r="AU97" s="238"/>
      <c r="AV97" s="353">
        <v>2.5000000000000001E-3</v>
      </c>
      <c r="AW97" s="425">
        <v>5.0000000000000001E-3</v>
      </c>
      <c r="AX97" s="354">
        <v>-8.5000000000000006E-2</v>
      </c>
      <c r="AY97" s="354"/>
      <c r="AZ97" s="488">
        <v>0.65</v>
      </c>
      <c r="BA97" s="488">
        <v>0.45</v>
      </c>
      <c r="BB97" s="433">
        <v>-0.49</v>
      </c>
      <c r="BC97" s="428"/>
      <c r="BD97" s="355">
        <v>3.331</v>
      </c>
      <c r="BE97" s="238">
        <v>2.7926933585943057</v>
      </c>
      <c r="BF97" s="319"/>
      <c r="BG97" s="238">
        <v>0.5</v>
      </c>
      <c r="BH97" s="293"/>
      <c r="BI97" s="293"/>
      <c r="BJ97" s="238"/>
      <c r="BK97" s="319"/>
      <c r="BL97" s="238"/>
      <c r="BM97" s="238"/>
      <c r="BN97" s="256"/>
      <c r="BO97" s="256"/>
      <c r="BP97" s="293"/>
      <c r="BQ97" s="238"/>
      <c r="BR97" s="293"/>
      <c r="BS97" s="238"/>
      <c r="BT97" s="238"/>
      <c r="BU97" s="238"/>
      <c r="BV97" s="238"/>
      <c r="BW97" s="238"/>
      <c r="BX97" s="238"/>
      <c r="BY97" s="238"/>
      <c r="BZ97" s="238"/>
      <c r="CA97" s="238"/>
      <c r="CB97" s="238"/>
      <c r="CC97" s="238"/>
      <c r="CD97" s="238"/>
      <c r="CE97" s="238"/>
      <c r="CF97" s="238"/>
      <c r="CG97" s="238"/>
    </row>
    <row r="98" spans="1:85">
      <c r="A98" s="356">
        <v>38899</v>
      </c>
      <c r="B98" s="461">
        <v>3.331</v>
      </c>
      <c r="C98" s="489">
        <v>-0.49</v>
      </c>
      <c r="D98" s="359">
        <v>-0.38163980634301087</v>
      </c>
      <c r="E98" s="359">
        <v>-0.42227487896438198</v>
      </c>
      <c r="F98" s="469">
        <v>0.14000000000000001</v>
      </c>
      <c r="G98" s="470">
        <v>0.14000000000000001</v>
      </c>
      <c r="H98" s="470">
        <v>0.17499999999999999</v>
      </c>
      <c r="I98" s="471">
        <v>0.17499999999999999</v>
      </c>
      <c r="J98" s="470">
        <v>4.4999999999999998E-2</v>
      </c>
      <c r="K98" s="470">
        <v>0.12</v>
      </c>
      <c r="L98" s="470">
        <v>0.43</v>
      </c>
      <c r="M98" s="469">
        <v>-0.39</v>
      </c>
      <c r="N98" s="470">
        <v>0.24</v>
      </c>
      <c r="O98" s="471">
        <v>0.12</v>
      </c>
      <c r="P98" s="419">
        <v>-0.25</v>
      </c>
      <c r="Q98" s="388">
        <v>0.27</v>
      </c>
      <c r="R98" s="475">
        <v>0.23499999999999999</v>
      </c>
      <c r="S98" s="365">
        <v>0.23499999999999999</v>
      </c>
      <c r="T98" s="274">
        <v>0.5</v>
      </c>
      <c r="U98" s="494">
        <v>0.23499999999999999</v>
      </c>
      <c r="V98" s="225">
        <v>2.8410000000000002</v>
      </c>
      <c r="W98" s="225">
        <v>2.9493601936569891</v>
      </c>
      <c r="X98" s="368">
        <v>2.908725121035618</v>
      </c>
      <c r="Y98" s="415">
        <v>4.4675987456435751</v>
      </c>
      <c r="Z98" s="465">
        <v>0.16</v>
      </c>
      <c r="AA98" s="481">
        <v>0.1</v>
      </c>
      <c r="AB98" s="487">
        <v>4.1948983723570823</v>
      </c>
      <c r="AC98" s="312">
        <v>4.3548983723570824</v>
      </c>
      <c r="AD98" s="368">
        <v>4.2948983723570819</v>
      </c>
      <c r="AE98" s="418">
        <v>3.081</v>
      </c>
      <c r="AF98" s="373">
        <v>2.9409999999999998</v>
      </c>
      <c r="AG98" s="374">
        <v>3.4510000000000001</v>
      </c>
      <c r="AH98" s="423">
        <v>-0.255</v>
      </c>
      <c r="AI98" s="467">
        <v>1.5578502981856999</v>
      </c>
      <c r="AJ98" s="478">
        <v>5.3068053069977895E-2</v>
      </c>
      <c r="AK98" s="478">
        <v>5.2883328946306603E-2</v>
      </c>
      <c r="AL98" s="354">
        <v>0.77694872914607638</v>
      </c>
      <c r="AM98" s="377">
        <v>0.77762274935767095</v>
      </c>
      <c r="AN98" s="353">
        <v>0.14000000000000001</v>
      </c>
      <c r="AO98" s="378">
        <v>0.12</v>
      </c>
      <c r="AP98" s="238"/>
      <c r="AQ98" s="353">
        <v>-3.2473031872043019</v>
      </c>
      <c r="AR98" s="379">
        <v>-2.7573031872043021</v>
      </c>
      <c r="AS98" s="238"/>
      <c r="AT98" s="456">
        <v>7.4999999999999997E-3</v>
      </c>
      <c r="AU98" s="238"/>
      <c r="AV98" s="353">
        <v>2.5000000000000001E-3</v>
      </c>
      <c r="AW98" s="425">
        <v>5.0000000000000001E-3</v>
      </c>
      <c r="AX98" s="354">
        <v>-8.5000000000000006E-2</v>
      </c>
      <c r="AY98" s="354"/>
      <c r="AZ98" s="488">
        <v>0.7</v>
      </c>
      <c r="BA98" s="488">
        <v>0.5</v>
      </c>
      <c r="BB98" s="433">
        <v>-0.49</v>
      </c>
      <c r="BC98" s="428"/>
      <c r="BD98" s="355">
        <v>3.3809999999999998</v>
      </c>
      <c r="BE98" s="238">
        <v>2.8426931280258905</v>
      </c>
      <c r="BF98" s="319"/>
      <c r="BG98" s="238">
        <v>0.55000000000000004</v>
      </c>
      <c r="BH98" s="293"/>
      <c r="BI98" s="293"/>
      <c r="BJ98" s="238"/>
      <c r="BK98" s="319"/>
      <c r="BL98" s="238"/>
      <c r="BM98" s="238"/>
      <c r="BN98" s="256"/>
      <c r="BO98" s="256"/>
      <c r="BP98" s="293"/>
      <c r="BQ98" s="238"/>
      <c r="BR98" s="293"/>
      <c r="BS98" s="238"/>
      <c r="BT98" s="238"/>
      <c r="BU98" s="238"/>
      <c r="BV98" s="238"/>
      <c r="BW98" s="238"/>
      <c r="BX98" s="238"/>
      <c r="BY98" s="238"/>
      <c r="BZ98" s="238"/>
      <c r="CA98" s="238"/>
      <c r="CB98" s="238"/>
      <c r="CC98" s="238"/>
      <c r="CD98" s="238"/>
      <c r="CE98" s="238"/>
      <c r="CF98" s="238"/>
      <c r="CG98" s="238"/>
    </row>
    <row r="99" spans="1:85">
      <c r="A99" s="356">
        <v>38930</v>
      </c>
      <c r="B99" s="461">
        <v>3.3650000000000002</v>
      </c>
      <c r="C99" s="489">
        <v>-0.49</v>
      </c>
      <c r="D99" s="359">
        <v>-0.381655528888726</v>
      </c>
      <c r="E99" s="359">
        <v>-0.42228470555545439</v>
      </c>
      <c r="F99" s="469">
        <v>0.14000000000000001</v>
      </c>
      <c r="G99" s="470">
        <v>0.14000000000000001</v>
      </c>
      <c r="H99" s="470">
        <v>0.17499999999999999</v>
      </c>
      <c r="I99" s="471">
        <v>0.17499999999999999</v>
      </c>
      <c r="J99" s="470">
        <v>4.4999999999999998E-2</v>
      </c>
      <c r="K99" s="470">
        <v>0.12</v>
      </c>
      <c r="L99" s="470">
        <v>0.43</v>
      </c>
      <c r="M99" s="469">
        <v>-0.39</v>
      </c>
      <c r="N99" s="470">
        <v>0.24</v>
      </c>
      <c r="O99" s="471">
        <v>0.12</v>
      </c>
      <c r="P99" s="419">
        <v>-0.25</v>
      </c>
      <c r="Q99" s="388">
        <v>0.27</v>
      </c>
      <c r="R99" s="475">
        <v>0.23499999999999999</v>
      </c>
      <c r="S99" s="365">
        <v>0.23499999999999999</v>
      </c>
      <c r="T99" s="274">
        <v>0.55000000000000004</v>
      </c>
      <c r="U99" s="494">
        <v>0.23499999999999999</v>
      </c>
      <c r="V99" s="225">
        <v>2.875</v>
      </c>
      <c r="W99" s="225">
        <v>2.9833444711112742</v>
      </c>
      <c r="X99" s="368">
        <v>2.9427152944445458</v>
      </c>
      <c r="Y99" s="415">
        <v>4.7388824316875588</v>
      </c>
      <c r="Z99" s="465">
        <v>0.16</v>
      </c>
      <c r="AA99" s="481">
        <v>0.1</v>
      </c>
      <c r="AB99" s="487">
        <v>4.2457173428587973</v>
      </c>
      <c r="AC99" s="312">
        <v>4.4057173428587975</v>
      </c>
      <c r="AD99" s="368">
        <v>4.345717342858797</v>
      </c>
      <c r="AE99" s="418">
        <v>3.1150000000000002</v>
      </c>
      <c r="AF99" s="373">
        <v>2.9750000000000001</v>
      </c>
      <c r="AG99" s="374">
        <v>3.4849999999999999</v>
      </c>
      <c r="AH99" s="423">
        <v>-0.255</v>
      </c>
      <c r="AI99" s="467">
        <v>1.5580763676129501</v>
      </c>
      <c r="AJ99" s="478">
        <v>5.3289028056635601E-2</v>
      </c>
      <c r="AK99" s="478">
        <v>5.3077103702306304E-2</v>
      </c>
      <c r="AL99" s="354">
        <v>0.77268659968877429</v>
      </c>
      <c r="AM99" s="377">
        <v>0.77346914908209641</v>
      </c>
      <c r="AN99" s="353">
        <v>0.14000000000000001</v>
      </c>
      <c r="AO99" s="378">
        <v>0.12</v>
      </c>
      <c r="AP99" s="238"/>
      <c r="AQ99" s="353">
        <v>-3.2813130096879832</v>
      </c>
      <c r="AR99" s="379">
        <v>-2.7913130096879835</v>
      </c>
      <c r="AS99" s="238"/>
      <c r="AT99" s="456">
        <v>7.4999999999999997E-3</v>
      </c>
      <c r="AU99" s="238"/>
      <c r="AV99" s="353">
        <v>2.5000000000000001E-3</v>
      </c>
      <c r="AW99" s="425">
        <v>5.0000000000000001E-3</v>
      </c>
      <c r="AX99" s="354">
        <v>-8.5000000000000006E-2</v>
      </c>
      <c r="AY99" s="354"/>
      <c r="AZ99" s="488">
        <v>0.75</v>
      </c>
      <c r="BA99" s="488">
        <v>0.55000000000000004</v>
      </c>
      <c r="BB99" s="433">
        <v>-0.49</v>
      </c>
      <c r="BC99" s="428"/>
      <c r="BD99" s="355">
        <v>3.415</v>
      </c>
      <c r="BE99" s="238">
        <v>2.8766928823611138</v>
      </c>
      <c r="BF99" s="319"/>
      <c r="BG99" s="238">
        <v>0.6</v>
      </c>
      <c r="BH99" s="293"/>
      <c r="BI99" s="293"/>
      <c r="BJ99" s="238"/>
      <c r="BK99" s="319"/>
      <c r="BL99" s="238"/>
      <c r="BM99" s="238"/>
      <c r="BN99" s="256"/>
      <c r="BO99" s="256"/>
      <c r="BP99" s="293"/>
      <c r="BQ99" s="238"/>
      <c r="BR99" s="293"/>
      <c r="BS99" s="238"/>
      <c r="BT99" s="238"/>
      <c r="BU99" s="238"/>
      <c r="BV99" s="238"/>
      <c r="BW99" s="238"/>
      <c r="BX99" s="238"/>
      <c r="BY99" s="238"/>
      <c r="BZ99" s="238"/>
      <c r="CA99" s="238"/>
      <c r="CB99" s="238"/>
      <c r="CC99" s="238"/>
      <c r="CD99" s="238"/>
      <c r="CE99" s="238"/>
      <c r="CF99" s="238"/>
      <c r="CG99" s="238"/>
    </row>
    <row r="100" spans="1:85">
      <c r="A100" s="356">
        <v>38961</v>
      </c>
      <c r="B100" s="461">
        <v>3.3780000000000001</v>
      </c>
      <c r="C100" s="489">
        <v>-0.49</v>
      </c>
      <c r="D100" s="359">
        <v>-0.38167173314427583</v>
      </c>
      <c r="E100" s="359">
        <v>-0.42229483321517236</v>
      </c>
      <c r="F100" s="469">
        <v>0.14000000000000001</v>
      </c>
      <c r="G100" s="470">
        <v>0.14000000000000001</v>
      </c>
      <c r="H100" s="470">
        <v>0.17499999999999999</v>
      </c>
      <c r="I100" s="471">
        <v>0.17499999999999999</v>
      </c>
      <c r="J100" s="470">
        <v>4.4999999999999998E-2</v>
      </c>
      <c r="K100" s="470">
        <v>0.12</v>
      </c>
      <c r="L100" s="470">
        <v>0.38</v>
      </c>
      <c r="M100" s="469">
        <v>-0.39</v>
      </c>
      <c r="N100" s="470">
        <v>0.24</v>
      </c>
      <c r="O100" s="471">
        <v>0.12</v>
      </c>
      <c r="P100" s="419">
        <v>-0.25</v>
      </c>
      <c r="Q100" s="388">
        <v>0.27</v>
      </c>
      <c r="R100" s="475">
        <v>0.23499999999999999</v>
      </c>
      <c r="S100" s="365">
        <v>0.23499999999999999</v>
      </c>
      <c r="T100" s="274">
        <v>0.55000000000000004</v>
      </c>
      <c r="U100" s="494">
        <v>0.23499999999999999</v>
      </c>
      <c r="V100" s="225">
        <v>2.8879999999999999</v>
      </c>
      <c r="W100" s="225">
        <v>2.9963282668557243</v>
      </c>
      <c r="X100" s="368">
        <v>2.9557051667848278</v>
      </c>
      <c r="Y100" s="415">
        <v>4.2738246841835883</v>
      </c>
      <c r="Z100" s="465">
        <v>0.16</v>
      </c>
      <c r="AA100" s="481">
        <v>0.1</v>
      </c>
      <c r="AB100" s="487">
        <v>4.2655533353581205</v>
      </c>
      <c r="AC100" s="312">
        <v>4.4255533353581207</v>
      </c>
      <c r="AD100" s="368">
        <v>4.3655533353581202</v>
      </c>
      <c r="AE100" s="418">
        <v>3.1280000000000001</v>
      </c>
      <c r="AF100" s="373">
        <v>2.988</v>
      </c>
      <c r="AG100" s="374">
        <v>3.4980000000000002</v>
      </c>
      <c r="AH100" s="423">
        <v>-0.255</v>
      </c>
      <c r="AI100" s="467">
        <v>1.5583094320601099</v>
      </c>
      <c r="AJ100" s="478">
        <v>5.3510003059571001E-2</v>
      </c>
      <c r="AK100" s="478">
        <v>5.3270878470823999E-2</v>
      </c>
      <c r="AL100" s="354">
        <v>0.76841986261134321</v>
      </c>
      <c r="AM100" s="377">
        <v>0.76931315110156639</v>
      </c>
      <c r="AN100" s="353">
        <v>0.14000000000000001</v>
      </c>
      <c r="AO100" s="378">
        <v>0.124</v>
      </c>
      <c r="AP100" s="238"/>
      <c r="AQ100" s="353">
        <v>-3.2943231331144687</v>
      </c>
      <c r="AR100" s="379">
        <v>-2.8043231331144689</v>
      </c>
      <c r="AS100" s="238"/>
      <c r="AT100" s="456">
        <v>7.4999999999999997E-3</v>
      </c>
      <c r="AU100" s="238"/>
      <c r="AV100" s="353">
        <v>2.5000000000000001E-3</v>
      </c>
      <c r="AW100" s="425">
        <v>5.0000000000000001E-3</v>
      </c>
      <c r="AX100" s="354">
        <v>-8.5000000000000006E-2</v>
      </c>
      <c r="AY100" s="354"/>
      <c r="AZ100" s="488">
        <v>0.75</v>
      </c>
      <c r="BA100" s="488">
        <v>0.55000000000000004</v>
      </c>
      <c r="BB100" s="433">
        <v>-0.49</v>
      </c>
      <c r="BC100" s="428"/>
      <c r="BD100" s="355">
        <v>3.4279999999999999</v>
      </c>
      <c r="BE100" s="238">
        <v>2.8896926291696206</v>
      </c>
      <c r="BF100" s="319"/>
      <c r="BG100" s="238">
        <v>0.6</v>
      </c>
      <c r="BH100" s="293"/>
      <c r="BI100" s="293"/>
      <c r="BJ100" s="238"/>
      <c r="BK100" s="319"/>
      <c r="BL100" s="238"/>
      <c r="BM100" s="238"/>
      <c r="BN100" s="256"/>
      <c r="BO100" s="256"/>
      <c r="BP100" s="293"/>
      <c r="BQ100" s="238"/>
      <c r="BR100" s="293"/>
      <c r="BS100" s="238"/>
      <c r="BT100" s="238"/>
      <c r="BU100" s="238"/>
      <c r="BV100" s="238"/>
      <c r="BW100" s="238"/>
      <c r="BX100" s="238"/>
      <c r="BY100" s="238"/>
      <c r="BZ100" s="238"/>
      <c r="CA100" s="238"/>
      <c r="CB100" s="238"/>
      <c r="CC100" s="238"/>
      <c r="CD100" s="238"/>
      <c r="CE100" s="238"/>
      <c r="CF100" s="238"/>
      <c r="CG100" s="238"/>
    </row>
    <row r="101" spans="1:85">
      <c r="A101" s="356">
        <v>38991</v>
      </c>
      <c r="B101" s="461">
        <v>3.39</v>
      </c>
      <c r="C101" s="489">
        <v>-0.49</v>
      </c>
      <c r="D101" s="359">
        <v>-0.38166526617543139</v>
      </c>
      <c r="E101" s="359">
        <v>-0.4222907913596452</v>
      </c>
      <c r="F101" s="469">
        <v>0.14000000000000001</v>
      </c>
      <c r="G101" s="470">
        <v>0.14000000000000001</v>
      </c>
      <c r="H101" s="470">
        <v>0.17499999999999999</v>
      </c>
      <c r="I101" s="471">
        <v>0.17499999999999999</v>
      </c>
      <c r="J101" s="470">
        <v>4.4999999999999998E-2</v>
      </c>
      <c r="K101" s="470">
        <v>0.12</v>
      </c>
      <c r="L101" s="470">
        <v>0.42</v>
      </c>
      <c r="M101" s="469">
        <v>-0.39</v>
      </c>
      <c r="N101" s="470">
        <v>0.24</v>
      </c>
      <c r="O101" s="471">
        <v>0.12</v>
      </c>
      <c r="P101" s="419">
        <v>-0.25</v>
      </c>
      <c r="Q101" s="388">
        <v>0.27</v>
      </c>
      <c r="R101" s="475">
        <v>0.23499999999999999</v>
      </c>
      <c r="S101" s="365">
        <v>0.23499999999999999</v>
      </c>
      <c r="T101" s="274">
        <v>0.6</v>
      </c>
      <c r="U101" s="494">
        <v>0.23499999999999999</v>
      </c>
      <c r="V101" s="225">
        <v>2.9</v>
      </c>
      <c r="W101" s="225">
        <v>3.0083347338245687</v>
      </c>
      <c r="X101" s="368">
        <v>2.9677092086403549</v>
      </c>
      <c r="Y101" s="318" t="s">
        <v>240</v>
      </c>
      <c r="Z101" s="465">
        <v>0.16</v>
      </c>
      <c r="AA101" s="481">
        <v>0.1</v>
      </c>
      <c r="AB101" s="487">
        <v>4.2830215538386556</v>
      </c>
      <c r="AC101" s="312">
        <v>4.4430215538386557</v>
      </c>
      <c r="AD101" s="368">
        <v>4.3830215538386552</v>
      </c>
      <c r="AE101" s="418">
        <v>3.14</v>
      </c>
      <c r="AF101" s="373">
        <v>3</v>
      </c>
      <c r="AG101" s="374">
        <v>3.51</v>
      </c>
      <c r="AH101" s="423">
        <v>-0.255</v>
      </c>
      <c r="AI101" s="467">
        <v>1.5582164098299298</v>
      </c>
      <c r="AJ101" s="478">
        <v>5.3633804116739001E-2</v>
      </c>
      <c r="AK101" s="478">
        <v>5.3410626223612499E-2</v>
      </c>
      <c r="AL101" s="354">
        <v>0.76462660551345041</v>
      </c>
      <c r="AM101" s="377">
        <v>0.76546978740996763</v>
      </c>
      <c r="AN101" s="353">
        <v>0.14000000000000001</v>
      </c>
      <c r="AO101" s="378">
        <v>0.12</v>
      </c>
      <c r="AP101" s="238"/>
      <c r="AQ101" s="353">
        <v>-3.3033190929483855</v>
      </c>
      <c r="AR101" s="379">
        <v>-2.8133190929483858</v>
      </c>
      <c r="AS101" s="238"/>
      <c r="AT101" s="456">
        <v>7.4999999999999997E-3</v>
      </c>
      <c r="AU101" s="238"/>
      <c r="AV101" s="353">
        <v>2.5000000000000001E-3</v>
      </c>
      <c r="AW101" s="425">
        <v>5.0000000000000001E-3</v>
      </c>
      <c r="AX101" s="354">
        <v>-8.5000000000000006E-2</v>
      </c>
      <c r="AY101" s="354"/>
      <c r="AZ101" s="488">
        <v>0.8</v>
      </c>
      <c r="BA101" s="488">
        <v>0.6</v>
      </c>
      <c r="BB101" s="433">
        <v>-0.49</v>
      </c>
      <c r="BC101" s="428"/>
      <c r="BD101" s="355">
        <v>3.44</v>
      </c>
      <c r="BE101" s="238">
        <v>2.9016927302160092</v>
      </c>
      <c r="BF101" s="319"/>
      <c r="BG101" s="238">
        <v>0.65</v>
      </c>
      <c r="BH101" s="293"/>
      <c r="BI101" s="293"/>
      <c r="BJ101" s="238"/>
      <c r="BK101" s="319"/>
      <c r="BL101" s="238"/>
      <c r="BM101" s="238"/>
      <c r="BN101" s="256"/>
      <c r="BO101" s="256"/>
      <c r="BP101" s="293"/>
      <c r="BQ101" s="238"/>
      <c r="BR101" s="293"/>
      <c r="BS101" s="238"/>
      <c r="BT101" s="238"/>
      <c r="BU101" s="238"/>
      <c r="BV101" s="238"/>
      <c r="BW101" s="238"/>
      <c r="BX101" s="238"/>
      <c r="BY101" s="238"/>
      <c r="BZ101" s="238"/>
      <c r="CA101" s="238"/>
      <c r="CB101" s="238"/>
      <c r="CC101" s="238"/>
      <c r="CD101" s="238"/>
      <c r="CE101" s="238"/>
      <c r="CF101" s="238"/>
      <c r="CG101" s="238"/>
    </row>
    <row r="102" spans="1:85">
      <c r="A102" s="460">
        <v>39022</v>
      </c>
      <c r="B102" s="461">
        <v>3.5350000000000001</v>
      </c>
      <c r="C102" s="468">
        <v>-0.42</v>
      </c>
      <c r="D102" s="359">
        <v>-0.35228576335731088</v>
      </c>
      <c r="E102" s="359">
        <v>-0.12</v>
      </c>
      <c r="F102" s="469">
        <v>0.23499999999999999</v>
      </c>
      <c r="G102" s="470">
        <v>0.38500000000000001</v>
      </c>
      <c r="H102" s="470">
        <v>0.38500000000000001</v>
      </c>
      <c r="I102" s="471">
        <v>0.53500000000000003</v>
      </c>
      <c r="J102" s="470">
        <v>0.13</v>
      </c>
      <c r="K102" s="470">
        <v>0.15</v>
      </c>
      <c r="L102" s="470">
        <v>0.73</v>
      </c>
      <c r="M102" s="469">
        <v>-0.21</v>
      </c>
      <c r="N102" s="470">
        <v>0.24</v>
      </c>
      <c r="O102" s="471">
        <v>0.19</v>
      </c>
      <c r="P102" s="419">
        <v>0.248</v>
      </c>
      <c r="Q102" s="388">
        <v>0.27250000000000002</v>
      </c>
      <c r="R102" s="475">
        <v>0.23749999999999999</v>
      </c>
      <c r="S102" s="365">
        <v>0.23749999999999999</v>
      </c>
      <c r="T102" s="274">
        <v>0.8</v>
      </c>
      <c r="U102" s="494">
        <v>0.23749999999999999</v>
      </c>
      <c r="V102" s="225">
        <v>3.1150000000000002</v>
      </c>
      <c r="W102" s="225">
        <v>3.1827142366426893</v>
      </c>
      <c r="X102" s="368">
        <v>3.415</v>
      </c>
      <c r="Y102" s="415"/>
      <c r="Z102" s="465">
        <v>0.1</v>
      </c>
      <c r="AA102" s="481">
        <v>0.44303829574720321</v>
      </c>
      <c r="AB102" s="487">
        <v>4.6002143041751244</v>
      </c>
      <c r="AC102" s="312">
        <v>4.7002143041751241</v>
      </c>
      <c r="AD102" s="368">
        <v>5.0432525999223277</v>
      </c>
      <c r="AE102" s="418">
        <v>3.7830000000000004</v>
      </c>
      <c r="AF102" s="373">
        <v>3.3250000000000002</v>
      </c>
      <c r="AG102" s="374">
        <v>3.7250000000000001</v>
      </c>
      <c r="AH102" s="423">
        <v>-0.18</v>
      </c>
      <c r="AI102" s="467">
        <v>1.5581007071928701</v>
      </c>
      <c r="AJ102" s="478">
        <v>5.3747416917760305E-2</v>
      </c>
      <c r="AK102" s="478">
        <v>5.3542690048789907E-2</v>
      </c>
      <c r="AL102" s="354">
        <v>0.76076545062943435</v>
      </c>
      <c r="AM102" s="377">
        <v>0.76154782308617086</v>
      </c>
      <c r="AN102" s="353">
        <v>0.38500000000000001</v>
      </c>
      <c r="AO102" s="378">
        <v>0.124</v>
      </c>
      <c r="AP102" s="238"/>
      <c r="AQ102" s="353">
        <v>-3.2153631968614622</v>
      </c>
      <c r="AR102" s="379">
        <v>-2.7953631968614623</v>
      </c>
      <c r="AS102" s="238"/>
      <c r="AT102" s="456">
        <v>7.4999999999999997E-3</v>
      </c>
      <c r="AU102" s="238"/>
      <c r="AV102" s="353">
        <v>8.0000000000000002E-3</v>
      </c>
      <c r="AW102" s="425">
        <v>0.02</v>
      </c>
      <c r="AX102" s="354">
        <v>5.0000000000000001E-3</v>
      </c>
      <c r="AY102" s="354"/>
      <c r="AZ102" s="488">
        <v>1</v>
      </c>
      <c r="BA102" s="488">
        <v>0.8</v>
      </c>
      <c r="BB102" s="433">
        <v>-0.42</v>
      </c>
      <c r="BC102" s="428"/>
      <c r="BD102" s="355">
        <v>3.6850000000000001</v>
      </c>
      <c r="BE102" s="238">
        <v>3.1204171389314155</v>
      </c>
      <c r="BF102" s="319"/>
      <c r="BG102" s="238">
        <v>0.8</v>
      </c>
      <c r="BH102" s="293"/>
      <c r="BI102" s="293"/>
      <c r="BJ102" s="238"/>
      <c r="BK102" s="319"/>
      <c r="BL102" s="238"/>
      <c r="BM102" s="238"/>
      <c r="BN102" s="256"/>
      <c r="BO102" s="256"/>
      <c r="BP102" s="293"/>
      <c r="BQ102" s="238"/>
      <c r="BR102" s="293"/>
      <c r="BS102" s="238"/>
      <c r="BT102" s="238"/>
      <c r="BU102" s="238"/>
      <c r="BV102" s="238"/>
      <c r="BW102" s="238"/>
      <c r="BX102" s="238"/>
      <c r="BY102" s="238"/>
      <c r="BZ102" s="238"/>
      <c r="CA102" s="238"/>
      <c r="CB102" s="238"/>
      <c r="CC102" s="238"/>
      <c r="CD102" s="238"/>
      <c r="CE102" s="238"/>
      <c r="CF102" s="238"/>
      <c r="CG102" s="238"/>
    </row>
    <row r="103" spans="1:85">
      <c r="A103" s="356">
        <v>39052</v>
      </c>
      <c r="B103" s="461">
        <v>3.6860000000000004</v>
      </c>
      <c r="C103" s="493">
        <v>-0.42</v>
      </c>
      <c r="D103" s="359">
        <v>-0.35228070110764387</v>
      </c>
      <c r="E103" s="359">
        <v>-0.12000000000000055</v>
      </c>
      <c r="F103" s="469">
        <v>0.23499999999999999</v>
      </c>
      <c r="G103" s="470">
        <v>0.38500000000000001</v>
      </c>
      <c r="H103" s="470">
        <v>0.38500000000000001</v>
      </c>
      <c r="I103" s="471">
        <v>0.53500000000000003</v>
      </c>
      <c r="J103" s="470">
        <v>0.13</v>
      </c>
      <c r="K103" s="470">
        <v>0.15</v>
      </c>
      <c r="L103" s="470">
        <v>0.98</v>
      </c>
      <c r="M103" s="469">
        <v>-0.21</v>
      </c>
      <c r="N103" s="470">
        <v>0.24</v>
      </c>
      <c r="O103" s="471">
        <v>0.19</v>
      </c>
      <c r="P103" s="419">
        <v>0.308</v>
      </c>
      <c r="Q103" s="388">
        <v>0.27500000000000002</v>
      </c>
      <c r="R103" s="475">
        <v>0.24</v>
      </c>
      <c r="S103" s="365">
        <v>0.24</v>
      </c>
      <c r="T103" s="274">
        <v>1</v>
      </c>
      <c r="U103" s="494">
        <v>0.24</v>
      </c>
      <c r="V103" s="225">
        <v>3.2660000000000005</v>
      </c>
      <c r="W103" s="225">
        <v>3.3337192988923565</v>
      </c>
      <c r="X103" s="368">
        <v>3.5659999999999998</v>
      </c>
      <c r="Y103" s="318" t="s">
        <v>238</v>
      </c>
      <c r="Z103" s="465">
        <v>0.1</v>
      </c>
      <c r="AA103" s="481">
        <v>0.4430051771163015</v>
      </c>
      <c r="AB103" s="487">
        <v>4.822849694872807</v>
      </c>
      <c r="AC103" s="312">
        <v>4.9228496948728067</v>
      </c>
      <c r="AD103" s="368">
        <v>5.2658548719891085</v>
      </c>
      <c r="AE103" s="418">
        <v>3.9940000000000002</v>
      </c>
      <c r="AF103" s="373">
        <v>3.4760000000000004</v>
      </c>
      <c r="AG103" s="374">
        <v>3.8760000000000003</v>
      </c>
      <c r="AH103" s="423">
        <v>-0.18</v>
      </c>
      <c r="AI103" s="467">
        <v>1.55798423382539</v>
      </c>
      <c r="AJ103" s="478">
        <v>5.3857364793812798E-2</v>
      </c>
      <c r="AK103" s="478">
        <v>5.3670493756109702E-2</v>
      </c>
      <c r="AL103" s="354">
        <v>0.75703390013985961</v>
      </c>
      <c r="AM103" s="377">
        <v>0.75775578598731053</v>
      </c>
      <c r="AN103" s="353">
        <v>0.38500000000000001</v>
      </c>
      <c r="AO103" s="378">
        <v>0.12</v>
      </c>
      <c r="AP103" s="238"/>
      <c r="AQ103" s="353">
        <v>-3.3703547287939624</v>
      </c>
      <c r="AR103" s="379">
        <v>-2.9503547287939624</v>
      </c>
      <c r="AS103" s="238"/>
      <c r="AT103" s="456">
        <v>7.4999999999999997E-3</v>
      </c>
      <c r="AU103" s="238"/>
      <c r="AV103" s="353">
        <v>8.0000000000000002E-3</v>
      </c>
      <c r="AW103" s="425">
        <v>0.02</v>
      </c>
      <c r="AX103" s="354">
        <v>0.01</v>
      </c>
      <c r="AY103" s="354"/>
      <c r="AZ103" s="488">
        <v>1.2</v>
      </c>
      <c r="BA103" s="488">
        <v>1</v>
      </c>
      <c r="BB103" s="433">
        <v>-0.42</v>
      </c>
      <c r="BC103" s="428"/>
      <c r="BD103" s="355">
        <v>3.8360000000000003</v>
      </c>
      <c r="BE103" s="238">
        <v>3.2714175439113888</v>
      </c>
      <c r="BF103" s="319"/>
      <c r="BG103" s="238">
        <v>1.1000000000000001</v>
      </c>
      <c r="BH103" s="293"/>
      <c r="BI103" s="293"/>
      <c r="BJ103" s="238"/>
      <c r="BK103" s="319"/>
      <c r="BL103" s="238"/>
      <c r="BM103" s="238"/>
      <c r="BN103" s="256"/>
      <c r="BO103" s="256"/>
      <c r="BP103" s="293"/>
      <c r="BQ103" s="238"/>
      <c r="BR103" s="293"/>
      <c r="BS103" s="238"/>
      <c r="BT103" s="238"/>
      <c r="BU103" s="238"/>
      <c r="BV103" s="238"/>
      <c r="BW103" s="238"/>
      <c r="BX103" s="238"/>
      <c r="BY103" s="238"/>
      <c r="BZ103" s="238"/>
      <c r="CA103" s="238"/>
      <c r="CB103" s="238"/>
      <c r="CC103" s="238"/>
      <c r="CD103" s="238"/>
      <c r="CE103" s="238"/>
      <c r="CF103" s="238"/>
      <c r="CG103" s="238"/>
    </row>
    <row r="104" spans="1:85">
      <c r="A104" s="356">
        <v>39083</v>
      </c>
      <c r="B104" s="461">
        <v>3.762</v>
      </c>
      <c r="C104" s="493">
        <v>-0.42</v>
      </c>
      <c r="D104" s="359">
        <v>-0.35227526711679635</v>
      </c>
      <c r="E104" s="359">
        <v>-0.12000000000000055</v>
      </c>
      <c r="F104" s="469">
        <v>0.23499999999999999</v>
      </c>
      <c r="G104" s="470">
        <v>0.38500000000000001</v>
      </c>
      <c r="H104" s="470">
        <v>0.38500000000000001</v>
      </c>
      <c r="I104" s="471">
        <v>0.53500000000000003</v>
      </c>
      <c r="J104" s="470">
        <v>0.13</v>
      </c>
      <c r="K104" s="470">
        <v>0.15</v>
      </c>
      <c r="L104" s="470">
        <v>1.6</v>
      </c>
      <c r="M104" s="469">
        <v>-0.21</v>
      </c>
      <c r="N104" s="470">
        <v>0.24</v>
      </c>
      <c r="O104" s="471">
        <v>0.19</v>
      </c>
      <c r="P104" s="419">
        <v>0.37800000000000006</v>
      </c>
      <c r="Q104" s="388">
        <v>0.27750000000000002</v>
      </c>
      <c r="R104" s="475">
        <v>0.24249999999999999</v>
      </c>
      <c r="S104" s="365">
        <v>0.24249999999999999</v>
      </c>
      <c r="T104" s="274">
        <v>1</v>
      </c>
      <c r="U104" s="494">
        <v>0.24249999999999999</v>
      </c>
      <c r="V104" s="225">
        <v>3.3420000000000001</v>
      </c>
      <c r="W104" s="225">
        <v>3.4097247328832037</v>
      </c>
      <c r="X104" s="368">
        <v>3.6419999999999995</v>
      </c>
      <c r="Y104" s="415"/>
      <c r="Z104" s="465">
        <v>0.1</v>
      </c>
      <c r="AA104" s="481">
        <v>0.4429696319620362</v>
      </c>
      <c r="AB104" s="487">
        <v>4.9346817000570935</v>
      </c>
      <c r="AC104" s="312">
        <v>5.0346817000570931</v>
      </c>
      <c r="AD104" s="368">
        <v>5.3776513320191297</v>
      </c>
      <c r="AE104" s="418">
        <v>4.1399999999999997</v>
      </c>
      <c r="AF104" s="373">
        <v>3.552</v>
      </c>
      <c r="AG104" s="374">
        <v>3.952</v>
      </c>
      <c r="AH104" s="423">
        <v>-0.18</v>
      </c>
      <c r="AI104" s="467">
        <v>1.55785922673113</v>
      </c>
      <c r="AJ104" s="478">
        <v>5.3970977603299303E-2</v>
      </c>
      <c r="AK104" s="478">
        <v>5.3802557592726306E-2</v>
      </c>
      <c r="AL104" s="354">
        <v>0.75318329935799411</v>
      </c>
      <c r="AM104" s="377">
        <v>0.75384102301615541</v>
      </c>
      <c r="AN104" s="353">
        <v>0.38500000000000001</v>
      </c>
      <c r="AO104" s="378">
        <v>0.12</v>
      </c>
      <c r="AP104" s="238"/>
      <c r="AQ104" s="353">
        <v>-3.4453458162840329</v>
      </c>
      <c r="AR104" s="379">
        <v>-3.025345816284033</v>
      </c>
      <c r="AS104" s="238"/>
      <c r="AT104" s="456">
        <v>7.4999999999999997E-3</v>
      </c>
      <c r="AU104" s="238"/>
      <c r="AV104" s="353">
        <v>8.0000000000000002E-3</v>
      </c>
      <c r="AW104" s="425">
        <v>0.02</v>
      </c>
      <c r="AX104" s="354">
        <v>0.03</v>
      </c>
      <c r="AY104" s="354"/>
      <c r="AZ104" s="488">
        <v>1.2</v>
      </c>
      <c r="BA104" s="488">
        <v>1</v>
      </c>
      <c r="BB104" s="433">
        <v>-0.42</v>
      </c>
      <c r="BC104" s="428"/>
      <c r="BD104" s="355">
        <v>3.9119999999999999</v>
      </c>
      <c r="BE104" s="238">
        <v>3.3474179786306562</v>
      </c>
      <c r="BF104" s="319"/>
      <c r="BG104" s="238">
        <v>1.1000000000000001</v>
      </c>
      <c r="BH104" s="293"/>
      <c r="BI104" s="293"/>
      <c r="BJ104" s="238"/>
      <c r="BK104" s="319"/>
      <c r="BL104" s="238"/>
      <c r="BM104" s="238"/>
      <c r="BN104" s="256"/>
      <c r="BO104" s="256"/>
      <c r="BP104" s="293"/>
      <c r="BQ104" s="238"/>
      <c r="BR104" s="293"/>
      <c r="BS104" s="238"/>
      <c r="BT104" s="238"/>
      <c r="BU104" s="238"/>
      <c r="BV104" s="238"/>
      <c r="BW104" s="238"/>
      <c r="BX104" s="238"/>
      <c r="BY104" s="238"/>
      <c r="BZ104" s="238"/>
      <c r="CA104" s="238"/>
      <c r="CB104" s="238"/>
      <c r="CC104" s="238"/>
      <c r="CD104" s="238"/>
      <c r="CE104" s="238"/>
      <c r="CF104" s="238"/>
      <c r="CG104" s="238"/>
    </row>
    <row r="105" spans="1:85">
      <c r="A105" s="356">
        <v>39114</v>
      </c>
      <c r="B105" s="461">
        <v>3.6480000000000001</v>
      </c>
      <c r="C105" s="493">
        <v>-0.42</v>
      </c>
      <c r="D105" s="359">
        <v>-0.35226962678600371</v>
      </c>
      <c r="E105" s="359">
        <v>-0.12000000000000055</v>
      </c>
      <c r="F105" s="469">
        <v>0.23499999999999999</v>
      </c>
      <c r="G105" s="470">
        <v>0.38500000000000001</v>
      </c>
      <c r="H105" s="470">
        <v>0.38500000000000001</v>
      </c>
      <c r="I105" s="471">
        <v>0.53500000000000003</v>
      </c>
      <c r="J105" s="470">
        <v>0.13</v>
      </c>
      <c r="K105" s="470">
        <v>0.15</v>
      </c>
      <c r="L105" s="470">
        <v>1.6</v>
      </c>
      <c r="M105" s="469">
        <v>-0.21</v>
      </c>
      <c r="N105" s="470">
        <v>0.24</v>
      </c>
      <c r="O105" s="471">
        <v>0.19</v>
      </c>
      <c r="P105" s="419">
        <v>0.248</v>
      </c>
      <c r="Q105" s="388">
        <v>0.27250000000000002</v>
      </c>
      <c r="R105" s="475">
        <v>0.23749999999999999</v>
      </c>
      <c r="S105" s="365">
        <v>0.23749999999999999</v>
      </c>
      <c r="T105" s="274">
        <v>1</v>
      </c>
      <c r="U105" s="494">
        <v>0.23749999999999999</v>
      </c>
      <c r="V105" s="225">
        <v>3.2280000000000002</v>
      </c>
      <c r="W105" s="225">
        <v>3.2957303732139964</v>
      </c>
      <c r="X105" s="368">
        <v>3.5279999999999996</v>
      </c>
      <c r="Y105" s="226"/>
      <c r="Z105" s="465">
        <v>0.1</v>
      </c>
      <c r="AA105" s="481">
        <v>0.44293274311679554</v>
      </c>
      <c r="AB105" s="487">
        <v>4.7659563159367213</v>
      </c>
      <c r="AC105" s="312">
        <v>4.865956315936721</v>
      </c>
      <c r="AD105" s="368">
        <v>5.2088890590535168</v>
      </c>
      <c r="AE105" s="418">
        <v>3.8959999999999999</v>
      </c>
      <c r="AF105" s="373">
        <v>3.4380000000000002</v>
      </c>
      <c r="AG105" s="374">
        <v>3.8380000000000001</v>
      </c>
      <c r="AH105" s="423">
        <v>-0.18</v>
      </c>
      <c r="AI105" s="467">
        <v>1.5577294940727799</v>
      </c>
      <c r="AJ105" s="478">
        <v>5.4084590417086804E-2</v>
      </c>
      <c r="AK105" s="478">
        <v>5.3934621435155303E-2</v>
      </c>
      <c r="AL105" s="354">
        <v>0.74933823708476366</v>
      </c>
      <c r="AM105" s="377">
        <v>0.7499301464461553</v>
      </c>
      <c r="AN105" s="353">
        <v>0.38500000000000001</v>
      </c>
      <c r="AO105" s="378">
        <v>0.13300000000000001</v>
      </c>
      <c r="AP105" s="238"/>
      <c r="AQ105" s="353">
        <v>-3.3313367389592456</v>
      </c>
      <c r="AR105" s="379">
        <v>-2.9113367389592457</v>
      </c>
      <c r="AS105" s="238"/>
      <c r="AT105" s="456">
        <v>7.4999999999999997E-3</v>
      </c>
      <c r="AU105" s="238"/>
      <c r="AV105" s="353">
        <v>8.0000000000000002E-3</v>
      </c>
      <c r="AW105" s="425">
        <v>0.02</v>
      </c>
      <c r="AX105" s="354">
        <v>2.5000000000000001E-2</v>
      </c>
      <c r="AY105" s="354"/>
      <c r="AZ105" s="488">
        <v>1.2</v>
      </c>
      <c r="BA105" s="488">
        <v>1</v>
      </c>
      <c r="BB105" s="433">
        <v>-0.42</v>
      </c>
      <c r="BC105" s="428"/>
      <c r="BD105" s="355">
        <v>3.798</v>
      </c>
      <c r="BE105" s="238">
        <v>3.23341842985712</v>
      </c>
      <c r="BF105" s="319"/>
      <c r="BG105" s="238">
        <v>1.1000000000000001</v>
      </c>
      <c r="BH105" s="293"/>
      <c r="BI105" s="293"/>
      <c r="BJ105" s="238"/>
      <c r="BK105" s="319"/>
      <c r="BL105" s="238"/>
      <c r="BM105" s="238"/>
      <c r="BN105" s="256"/>
      <c r="BO105" s="256"/>
      <c r="BP105" s="293"/>
      <c r="BQ105" s="238"/>
      <c r="BR105" s="293"/>
      <c r="BS105" s="238"/>
      <c r="BT105" s="238"/>
      <c r="BU105" s="238"/>
      <c r="BV105" s="238"/>
      <c r="BW105" s="238"/>
      <c r="BX105" s="238"/>
      <c r="BY105" s="238"/>
      <c r="BZ105" s="238"/>
      <c r="CA105" s="238"/>
      <c r="CB105" s="238"/>
      <c r="CC105" s="238"/>
      <c r="CD105" s="238"/>
      <c r="CE105" s="238"/>
      <c r="CF105" s="238"/>
      <c r="CG105" s="238"/>
    </row>
    <row r="106" spans="1:85">
      <c r="A106" s="356">
        <v>39142</v>
      </c>
      <c r="B106" s="461">
        <v>3.516</v>
      </c>
      <c r="C106" s="493">
        <v>-0.42</v>
      </c>
      <c r="D106" s="359">
        <v>-0.35226435492801444</v>
      </c>
      <c r="E106" s="359">
        <v>-0.12</v>
      </c>
      <c r="F106" s="469">
        <v>0.23499999999999999</v>
      </c>
      <c r="G106" s="470">
        <v>0.38500000000000001</v>
      </c>
      <c r="H106" s="470">
        <v>0.38500000000000001</v>
      </c>
      <c r="I106" s="471">
        <v>0.53500000000000003</v>
      </c>
      <c r="J106" s="470">
        <v>0.13</v>
      </c>
      <c r="K106" s="470">
        <v>0.15</v>
      </c>
      <c r="L106" s="470">
        <v>0.72</v>
      </c>
      <c r="M106" s="469">
        <v>-0.21</v>
      </c>
      <c r="N106" s="470">
        <v>0.24</v>
      </c>
      <c r="O106" s="471">
        <v>0.19</v>
      </c>
      <c r="P106" s="419">
        <v>6.8000000000000005E-2</v>
      </c>
      <c r="Q106" s="388">
        <v>0.26750000000000002</v>
      </c>
      <c r="R106" s="475">
        <v>0.23250000000000001</v>
      </c>
      <c r="S106" s="365">
        <v>0.23250000000000001</v>
      </c>
      <c r="T106" s="274">
        <v>0.75</v>
      </c>
      <c r="U106" s="494">
        <v>0.23250000000000001</v>
      </c>
      <c r="V106" s="225">
        <v>3.0960000000000001</v>
      </c>
      <c r="W106" s="225">
        <v>3.1637356450719856</v>
      </c>
      <c r="X106" s="368">
        <v>3.3960000000000004</v>
      </c>
      <c r="Y106" s="226"/>
      <c r="Z106" s="465">
        <v>0.1</v>
      </c>
      <c r="AA106" s="481">
        <v>0.44289826970891966</v>
      </c>
      <c r="AB106" s="487">
        <v>4.5707101433960515</v>
      </c>
      <c r="AC106" s="312">
        <v>4.6707101433960512</v>
      </c>
      <c r="AD106" s="368">
        <v>5.0136084131049712</v>
      </c>
      <c r="AE106" s="418">
        <v>3.5840000000000001</v>
      </c>
      <c r="AF106" s="373">
        <v>3.306</v>
      </c>
      <c r="AG106" s="374">
        <v>3.706</v>
      </c>
      <c r="AH106" s="423">
        <v>-0.18</v>
      </c>
      <c r="AI106" s="467">
        <v>1.5576082561533799</v>
      </c>
      <c r="AJ106" s="478">
        <v>5.4187208446140597E-2</v>
      </c>
      <c r="AK106" s="478">
        <v>5.40539049107314E-2</v>
      </c>
      <c r="AL106" s="354">
        <v>0.7458701351460727</v>
      </c>
      <c r="AM106" s="377">
        <v>0.7464012081733139</v>
      </c>
      <c r="AN106" s="353">
        <v>0.38500000000000001</v>
      </c>
      <c r="AO106" s="378">
        <v>0.12</v>
      </c>
      <c r="AP106" s="238"/>
      <c r="AQ106" s="353">
        <v>-3.1993283984376273</v>
      </c>
      <c r="AR106" s="379">
        <v>-2.7793283984376274</v>
      </c>
      <c r="AS106" s="238"/>
      <c r="AT106" s="456">
        <v>7.4999999999999997E-3</v>
      </c>
      <c r="AU106" s="238"/>
      <c r="AV106" s="353">
        <v>8.0000000000000002E-3</v>
      </c>
      <c r="AW106" s="425">
        <v>0.02</v>
      </c>
      <c r="AX106" s="354">
        <v>5.0000000000000001E-3</v>
      </c>
      <c r="AY106" s="354"/>
      <c r="AZ106" s="488">
        <v>0.95</v>
      </c>
      <c r="BA106" s="488">
        <v>0.75</v>
      </c>
      <c r="BB106" s="433">
        <v>-0.42</v>
      </c>
      <c r="BC106" s="428"/>
      <c r="BD106" s="355">
        <v>3.6659999999999999</v>
      </c>
      <c r="BE106" s="238">
        <v>3.101418851605759</v>
      </c>
      <c r="BF106" s="319"/>
      <c r="BG106" s="238">
        <v>0.75</v>
      </c>
      <c r="BH106" s="293"/>
      <c r="BI106" s="293"/>
      <c r="BJ106" s="238"/>
      <c r="BK106" s="319"/>
      <c r="BL106" s="238"/>
      <c r="BM106" s="238"/>
      <c r="BN106" s="256"/>
      <c r="BO106" s="256"/>
      <c r="BP106" s="293"/>
      <c r="BQ106" s="238"/>
      <c r="BR106" s="293"/>
      <c r="BS106" s="238"/>
      <c r="BT106" s="238"/>
      <c r="BU106" s="238"/>
      <c r="BV106" s="238"/>
      <c r="BW106" s="238"/>
      <c r="BX106" s="238"/>
      <c r="BY106" s="238"/>
      <c r="BZ106" s="238"/>
      <c r="CA106" s="238"/>
      <c r="CB106" s="238"/>
      <c r="CC106" s="238"/>
      <c r="CD106" s="238"/>
      <c r="CE106" s="238"/>
      <c r="CF106" s="238"/>
      <c r="CG106" s="238"/>
    </row>
    <row r="107" spans="1:85">
      <c r="A107" s="356">
        <v>39173</v>
      </c>
      <c r="B107" s="461">
        <v>3.3180000000000001</v>
      </c>
      <c r="C107" s="484">
        <v>-0.49</v>
      </c>
      <c r="D107" s="359">
        <v>-0.4222583218439131</v>
      </c>
      <c r="E107" s="359">
        <v>-0.4222583218439131</v>
      </c>
      <c r="F107" s="469">
        <v>0.15</v>
      </c>
      <c r="G107" s="470">
        <v>0.15</v>
      </c>
      <c r="H107" s="470">
        <v>0.185</v>
      </c>
      <c r="I107" s="471">
        <v>0.14499999999999999</v>
      </c>
      <c r="J107" s="470">
        <v>4.4999999999999998E-2</v>
      </c>
      <c r="K107" s="470">
        <v>0.12</v>
      </c>
      <c r="L107" s="470">
        <v>0.4</v>
      </c>
      <c r="M107" s="469">
        <v>-0.38</v>
      </c>
      <c r="N107" s="470">
        <v>0.24</v>
      </c>
      <c r="O107" s="471">
        <v>0.12</v>
      </c>
      <c r="P107" s="485">
        <v>-0.25</v>
      </c>
      <c r="Q107" s="388">
        <v>0.26750000000000002</v>
      </c>
      <c r="R107" s="475">
        <v>0.23250000000000001</v>
      </c>
      <c r="S107" s="365">
        <v>0.23250000000000001</v>
      </c>
      <c r="T107" s="274">
        <v>0.4</v>
      </c>
      <c r="U107" s="494">
        <v>0.23250000000000001</v>
      </c>
      <c r="V107" s="225">
        <v>2.8280000000000003</v>
      </c>
      <c r="W107" s="225">
        <v>2.895741678156087</v>
      </c>
      <c r="X107" s="368">
        <v>2.895741678156087</v>
      </c>
      <c r="Y107" s="226"/>
      <c r="Z107" s="465">
        <v>0.1</v>
      </c>
      <c r="AA107" s="481">
        <v>0.1</v>
      </c>
      <c r="AB107" s="487">
        <v>4.1746825248171247</v>
      </c>
      <c r="AC107" s="312">
        <v>4.2746825248171243</v>
      </c>
      <c r="AD107" s="368">
        <v>4.2746825248171243</v>
      </c>
      <c r="AE107" s="418">
        <v>3.0680000000000001</v>
      </c>
      <c r="AF107" s="373">
        <v>2.9380000000000002</v>
      </c>
      <c r="AG107" s="374">
        <v>3.4380000000000002</v>
      </c>
      <c r="AH107" s="423">
        <v>-0.255</v>
      </c>
      <c r="AI107" s="467">
        <v>1.55746953532654</v>
      </c>
      <c r="AJ107" s="478">
        <v>5.4300821268113503E-2</v>
      </c>
      <c r="AK107" s="478">
        <v>5.4185968764221701E-2</v>
      </c>
      <c r="AL107" s="354">
        <v>0.74203593547112623</v>
      </c>
      <c r="AM107" s="377">
        <v>0.7424981455919123</v>
      </c>
      <c r="AN107" s="353">
        <v>0.15</v>
      </c>
      <c r="AO107" s="378">
        <v>0.124</v>
      </c>
      <c r="AP107" s="238"/>
      <c r="AQ107" s="353">
        <v>-3.2342866370044994</v>
      </c>
      <c r="AR107" s="379">
        <v>-2.7442866370044996</v>
      </c>
      <c r="AS107" s="238"/>
      <c r="AT107" s="456">
        <v>7.4999999999999997E-3</v>
      </c>
      <c r="AU107" s="238"/>
      <c r="AV107" s="353">
        <v>2.5000000000000001E-3</v>
      </c>
      <c r="AW107" s="425">
        <v>5.0000000000000001E-3</v>
      </c>
      <c r="AX107" s="354">
        <v>-8.5000000000000006E-2</v>
      </c>
      <c r="AY107" s="354"/>
      <c r="AZ107" s="488">
        <v>0.6</v>
      </c>
      <c r="BA107" s="488">
        <v>0.4</v>
      </c>
      <c r="BB107" s="433">
        <v>-0.49</v>
      </c>
      <c r="BC107" s="428"/>
      <c r="BD107" s="355">
        <v>3.3679999999999999</v>
      </c>
      <c r="BE107" s="238">
        <v>2.8296935419539024</v>
      </c>
      <c r="BF107" s="319"/>
      <c r="BG107" s="238">
        <v>0.45</v>
      </c>
      <c r="BH107" s="293"/>
      <c r="BI107" s="293"/>
      <c r="BJ107" s="238"/>
      <c r="BK107" s="319"/>
      <c r="BL107" s="238"/>
      <c r="BM107" s="238"/>
      <c r="BN107" s="256"/>
      <c r="BO107" s="256"/>
      <c r="BP107" s="293"/>
      <c r="BQ107" s="238"/>
      <c r="BR107" s="293"/>
      <c r="BS107" s="238"/>
      <c r="BT107" s="238"/>
      <c r="BU107" s="238"/>
      <c r="BV107" s="238"/>
      <c r="BW107" s="238"/>
      <c r="BX107" s="238"/>
      <c r="BY107" s="238"/>
      <c r="BZ107" s="238"/>
      <c r="CA107" s="238"/>
      <c r="CB107" s="238"/>
      <c r="CC107" s="238"/>
      <c r="CD107" s="238"/>
      <c r="CE107" s="238"/>
      <c r="CF107" s="238"/>
      <c r="CG107" s="238"/>
    </row>
    <row r="108" spans="1:85">
      <c r="A108" s="356">
        <v>39203</v>
      </c>
      <c r="B108" s="461">
        <v>3.3140000000000001</v>
      </c>
      <c r="C108" s="489">
        <v>-0.49</v>
      </c>
      <c r="D108" s="359">
        <v>-0.42225228686731198</v>
      </c>
      <c r="E108" s="359">
        <v>-0.42225228686731198</v>
      </c>
      <c r="F108" s="469">
        <v>0.15</v>
      </c>
      <c r="G108" s="470">
        <v>0.15</v>
      </c>
      <c r="H108" s="470">
        <v>0.185</v>
      </c>
      <c r="I108" s="471">
        <v>0.14499999999999999</v>
      </c>
      <c r="J108" s="470">
        <v>4.4999999999999998E-2</v>
      </c>
      <c r="K108" s="470">
        <v>0.12</v>
      </c>
      <c r="L108" s="470">
        <v>0.35</v>
      </c>
      <c r="M108" s="469">
        <v>-0.38</v>
      </c>
      <c r="N108" s="470">
        <v>0.24</v>
      </c>
      <c r="O108" s="471">
        <v>0.12</v>
      </c>
      <c r="P108" s="419">
        <v>-0.25</v>
      </c>
      <c r="Q108" s="388">
        <v>0.26750000000000002</v>
      </c>
      <c r="R108" s="475">
        <v>0.23250000000000001</v>
      </c>
      <c r="S108" s="365">
        <v>0.23250000000000001</v>
      </c>
      <c r="T108" s="274">
        <v>0.45</v>
      </c>
      <c r="U108" s="494">
        <v>0.23250000000000001</v>
      </c>
      <c r="V108" s="225">
        <v>2.8239999999999998</v>
      </c>
      <c r="W108" s="225">
        <v>2.8917477131326881</v>
      </c>
      <c r="X108" s="368">
        <v>2.8917477131326881</v>
      </c>
      <c r="Y108" s="226"/>
      <c r="Z108" s="465">
        <v>0.1</v>
      </c>
      <c r="AA108" s="481">
        <v>0.1</v>
      </c>
      <c r="AB108" s="487">
        <v>4.1684063851262687</v>
      </c>
      <c r="AC108" s="312">
        <v>4.2684063851262684</v>
      </c>
      <c r="AD108" s="368">
        <v>4.2684063851262684</v>
      </c>
      <c r="AE108" s="418">
        <v>3.0640000000000001</v>
      </c>
      <c r="AF108" s="373">
        <v>2.9340000000000002</v>
      </c>
      <c r="AG108" s="374">
        <v>3.4340000000000002</v>
      </c>
      <c r="AH108" s="423">
        <v>-0.255</v>
      </c>
      <c r="AI108" s="467">
        <v>1.5573307957031799</v>
      </c>
      <c r="AJ108" s="478">
        <v>5.4410769164441306E-2</v>
      </c>
      <c r="AK108" s="478">
        <v>5.4313772498938602E-2</v>
      </c>
      <c r="AL108" s="354">
        <v>0.73833101194795758</v>
      </c>
      <c r="AM108" s="377">
        <v>0.73872510268502933</v>
      </c>
      <c r="AN108" s="353">
        <v>0.15</v>
      </c>
      <c r="AO108" s="378">
        <v>0.12</v>
      </c>
      <c r="AP108" s="238"/>
      <c r="AQ108" s="353">
        <v>-3.2302806045504409</v>
      </c>
      <c r="AR108" s="379">
        <v>-2.7402806045504411</v>
      </c>
      <c r="AS108" s="238"/>
      <c r="AT108" s="456">
        <v>7.4999999999999997E-3</v>
      </c>
      <c r="AU108" s="238"/>
      <c r="AV108" s="353">
        <v>2.5000000000000001E-3</v>
      </c>
      <c r="AW108" s="425">
        <v>5.0000000000000001E-3</v>
      </c>
      <c r="AX108" s="354">
        <v>-8.5000000000000006E-2</v>
      </c>
      <c r="AY108" s="354"/>
      <c r="AZ108" s="488">
        <v>0.65</v>
      </c>
      <c r="BA108" s="488">
        <v>0.45</v>
      </c>
      <c r="BB108" s="433">
        <v>-0.49</v>
      </c>
      <c r="BC108" s="428"/>
      <c r="BD108" s="355">
        <v>3.3639999999999999</v>
      </c>
      <c r="BE108" s="238">
        <v>2.8256936928283172</v>
      </c>
      <c r="BF108" s="319"/>
      <c r="BG108" s="238">
        <v>0.5</v>
      </c>
      <c r="BH108" s="293"/>
      <c r="BI108" s="293"/>
      <c r="BJ108" s="238"/>
      <c r="BK108" s="319"/>
      <c r="BL108" s="238"/>
      <c r="BM108" s="238"/>
      <c r="BN108" s="256"/>
      <c r="BO108" s="256"/>
      <c r="BP108" s="293"/>
      <c r="BQ108" s="238"/>
      <c r="BR108" s="293"/>
      <c r="BS108" s="238"/>
      <c r="BT108" s="238"/>
      <c r="BU108" s="238"/>
      <c r="BV108" s="238"/>
      <c r="BW108" s="238"/>
      <c r="BX108" s="238"/>
      <c r="BY108" s="238"/>
      <c r="BZ108" s="238"/>
      <c r="CA108" s="238"/>
      <c r="CB108" s="238"/>
      <c r="CC108" s="238"/>
      <c r="CD108" s="238"/>
      <c r="CE108" s="238"/>
      <c r="CF108" s="238"/>
      <c r="CG108" s="238"/>
    </row>
    <row r="109" spans="1:85">
      <c r="A109" s="356">
        <v>39234</v>
      </c>
      <c r="B109" s="461">
        <v>3.3460000000000001</v>
      </c>
      <c r="C109" s="489">
        <v>-0.49</v>
      </c>
      <c r="D109" s="359">
        <v>-0.42224584764697282</v>
      </c>
      <c r="E109" s="359">
        <v>-0.42224584764697282</v>
      </c>
      <c r="F109" s="469">
        <v>0.15</v>
      </c>
      <c r="G109" s="470">
        <v>0.15</v>
      </c>
      <c r="H109" s="470">
        <v>0.185</v>
      </c>
      <c r="I109" s="471">
        <v>0.14499999999999999</v>
      </c>
      <c r="J109" s="470">
        <v>4.4999999999999998E-2</v>
      </c>
      <c r="K109" s="470">
        <v>0.12</v>
      </c>
      <c r="L109" s="470">
        <v>0.39</v>
      </c>
      <c r="M109" s="469">
        <v>-0.38</v>
      </c>
      <c r="N109" s="470">
        <v>0.24</v>
      </c>
      <c r="O109" s="471">
        <v>0.12</v>
      </c>
      <c r="P109" s="419">
        <v>-0.25</v>
      </c>
      <c r="Q109" s="388">
        <v>0.26750000000000002</v>
      </c>
      <c r="R109" s="475">
        <v>0.23250000000000001</v>
      </c>
      <c r="S109" s="365">
        <v>0.23250000000000001</v>
      </c>
      <c r="T109" s="274">
        <v>0.45</v>
      </c>
      <c r="U109" s="494">
        <v>0.23250000000000001</v>
      </c>
      <c r="V109" s="225">
        <v>2.8559999999999999</v>
      </c>
      <c r="W109" s="225">
        <v>2.9237541523530273</v>
      </c>
      <c r="X109" s="368">
        <v>2.9237541523530273</v>
      </c>
      <c r="Y109" s="490" t="s">
        <v>247</v>
      </c>
      <c r="Z109" s="465">
        <v>0.1</v>
      </c>
      <c r="AA109" s="481">
        <v>0.1</v>
      </c>
      <c r="AB109" s="487">
        <v>4.2152398057008247</v>
      </c>
      <c r="AC109" s="312">
        <v>4.3152398057008243</v>
      </c>
      <c r="AD109" s="368">
        <v>4.3152398057008243</v>
      </c>
      <c r="AE109" s="418">
        <v>3.0960000000000001</v>
      </c>
      <c r="AF109" s="373">
        <v>2.9660000000000002</v>
      </c>
      <c r="AG109" s="374">
        <v>3.4660000000000002</v>
      </c>
      <c r="AH109" s="423">
        <v>-0.255</v>
      </c>
      <c r="AI109" s="467">
        <v>1.5571827900712498</v>
      </c>
      <c r="AJ109" s="478">
        <v>5.4524381994877302E-2</v>
      </c>
      <c r="AK109" s="478">
        <v>5.4445836363863798E-2</v>
      </c>
      <c r="AL109" s="354">
        <v>0.73450848060411333</v>
      </c>
      <c r="AM109" s="377">
        <v>0.7348306875413485</v>
      </c>
      <c r="AN109" s="353">
        <v>0.15</v>
      </c>
      <c r="AO109" s="378">
        <v>0.124</v>
      </c>
      <c r="AP109" s="238"/>
      <c r="AQ109" s="353">
        <v>-3.2622741680216141</v>
      </c>
      <c r="AR109" s="379">
        <v>-2.7722741680216139</v>
      </c>
      <c r="AS109" s="238"/>
      <c r="AT109" s="456">
        <v>7.4999999999999997E-3</v>
      </c>
      <c r="AU109" s="238"/>
      <c r="AV109" s="353">
        <v>2.5000000000000001E-3</v>
      </c>
      <c r="AW109" s="425">
        <v>5.0000000000000001E-3</v>
      </c>
      <c r="AX109" s="354">
        <v>-8.5000000000000006E-2</v>
      </c>
      <c r="AY109" s="354"/>
      <c r="AZ109" s="488">
        <v>0.65</v>
      </c>
      <c r="BA109" s="488">
        <v>0.45</v>
      </c>
      <c r="BB109" s="433">
        <v>-0.49</v>
      </c>
      <c r="BC109" s="428"/>
      <c r="BD109" s="355">
        <v>3.3959999999999999</v>
      </c>
      <c r="BE109" s="238">
        <v>2.8576938538088257</v>
      </c>
      <c r="BF109" s="319"/>
      <c r="BG109" s="238">
        <v>0.5</v>
      </c>
      <c r="BH109" s="293"/>
      <c r="BI109" s="293"/>
      <c r="BJ109" s="238"/>
      <c r="BK109" s="319"/>
      <c r="BL109" s="238"/>
      <c r="BM109" s="238"/>
      <c r="BN109" s="256"/>
      <c r="BO109" s="256"/>
      <c r="BP109" s="293"/>
      <c r="BQ109" s="238"/>
      <c r="BR109" s="293"/>
      <c r="BS109" s="238"/>
      <c r="BT109" s="238"/>
      <c r="BU109" s="238"/>
      <c r="BV109" s="238"/>
      <c r="BW109" s="238"/>
      <c r="BX109" s="238"/>
      <c r="BY109" s="238"/>
      <c r="BZ109" s="238"/>
      <c r="CA109" s="238"/>
      <c r="CB109" s="238"/>
      <c r="CC109" s="238"/>
      <c r="CD109" s="238"/>
      <c r="CE109" s="238"/>
      <c r="CF109" s="238"/>
      <c r="CG109" s="238"/>
    </row>
    <row r="110" spans="1:85">
      <c r="A110" s="356">
        <v>39264</v>
      </c>
      <c r="B110" s="461">
        <v>3.3960000000000004</v>
      </c>
      <c r="C110" s="489">
        <v>-0.49</v>
      </c>
      <c r="D110" s="359">
        <v>-0.42223941959611144</v>
      </c>
      <c r="E110" s="359">
        <v>-0.42223941959611144</v>
      </c>
      <c r="F110" s="469">
        <v>0.15</v>
      </c>
      <c r="G110" s="470">
        <v>0.15</v>
      </c>
      <c r="H110" s="470">
        <v>0.185</v>
      </c>
      <c r="I110" s="471">
        <v>0.14499999999999999</v>
      </c>
      <c r="J110" s="470">
        <v>4.4999999999999998E-2</v>
      </c>
      <c r="K110" s="470">
        <v>0.12</v>
      </c>
      <c r="L110" s="470">
        <v>0.43</v>
      </c>
      <c r="M110" s="469">
        <v>-0.38</v>
      </c>
      <c r="N110" s="470">
        <v>0.24</v>
      </c>
      <c r="O110" s="471">
        <v>0.12</v>
      </c>
      <c r="P110" s="419">
        <v>-0.25</v>
      </c>
      <c r="Q110" s="388">
        <v>0.26750000000000002</v>
      </c>
      <c r="R110" s="475">
        <v>0.23250000000000001</v>
      </c>
      <c r="S110" s="365">
        <v>0.23250000000000001</v>
      </c>
      <c r="T110" s="274">
        <v>0.5</v>
      </c>
      <c r="U110" s="494">
        <v>0.23250000000000001</v>
      </c>
      <c r="V110" s="225">
        <v>2.9060000000000006</v>
      </c>
      <c r="W110" s="225">
        <v>2.9737605804038889</v>
      </c>
      <c r="X110" s="368">
        <v>2.9737605804038889</v>
      </c>
      <c r="Y110" s="415">
        <v>4.5350179180743417</v>
      </c>
      <c r="Z110" s="465">
        <v>0.1</v>
      </c>
      <c r="AA110" s="481">
        <v>0.1</v>
      </c>
      <c r="AB110" s="487">
        <v>4.2886291449670493</v>
      </c>
      <c r="AC110" s="312">
        <v>4.3886291449670489</v>
      </c>
      <c r="AD110" s="368">
        <v>4.3886291449670489</v>
      </c>
      <c r="AE110" s="418">
        <v>3.1460000000000004</v>
      </c>
      <c r="AF110" s="373">
        <v>3.0160000000000005</v>
      </c>
      <c r="AG110" s="374">
        <v>3.5160000000000005</v>
      </c>
      <c r="AH110" s="423">
        <v>-0.255</v>
      </c>
      <c r="AI110" s="467">
        <v>1.55703506922655</v>
      </c>
      <c r="AJ110" s="478">
        <v>5.4634329899393604E-2</v>
      </c>
      <c r="AK110" s="478">
        <v>5.4573640109646201E-2</v>
      </c>
      <c r="AL110" s="354">
        <v>0.73081506168481392</v>
      </c>
      <c r="AM110" s="377">
        <v>0.73106628985687161</v>
      </c>
      <c r="AN110" s="353">
        <v>0.15</v>
      </c>
      <c r="AO110" s="378">
        <v>0.12</v>
      </c>
      <c r="AP110" s="238"/>
      <c r="AQ110" s="353">
        <v>-3.3122677426575962</v>
      </c>
      <c r="AR110" s="379">
        <v>-2.8222677426575959</v>
      </c>
      <c r="AS110" s="238"/>
      <c r="AT110" s="456">
        <v>7.4999999999999997E-3</v>
      </c>
      <c r="AU110" s="238"/>
      <c r="AV110" s="353">
        <v>2.5000000000000001E-3</v>
      </c>
      <c r="AW110" s="425">
        <v>5.0000000000000001E-3</v>
      </c>
      <c r="AX110" s="354">
        <v>-8.5000000000000006E-2</v>
      </c>
      <c r="AY110" s="354"/>
      <c r="AZ110" s="488">
        <v>0.7</v>
      </c>
      <c r="BA110" s="488">
        <v>0.5</v>
      </c>
      <c r="BB110" s="433">
        <v>-0.49</v>
      </c>
      <c r="BC110" s="428"/>
      <c r="BD110" s="355">
        <v>3.4460000000000002</v>
      </c>
      <c r="BE110" s="238">
        <v>2.9076940145100978</v>
      </c>
      <c r="BF110" s="319"/>
      <c r="BG110" s="238">
        <v>0.55000000000000004</v>
      </c>
      <c r="BH110" s="293"/>
      <c r="BI110" s="293"/>
      <c r="BJ110" s="238"/>
      <c r="BK110" s="319"/>
      <c r="BL110" s="238"/>
      <c r="BM110" s="238"/>
      <c r="BN110" s="256"/>
      <c r="BO110" s="256"/>
      <c r="BP110" s="293"/>
      <c r="BQ110" s="238"/>
      <c r="BR110" s="293"/>
      <c r="BS110" s="238"/>
      <c r="BT110" s="238"/>
      <c r="BU110" s="238"/>
      <c r="BV110" s="238"/>
      <c r="BW110" s="238"/>
      <c r="BX110" s="238"/>
      <c r="BY110" s="238"/>
      <c r="BZ110" s="238"/>
      <c r="CA110" s="238"/>
      <c r="CB110" s="238"/>
      <c r="CC110" s="238"/>
      <c r="CD110" s="238"/>
      <c r="CE110" s="238"/>
      <c r="CF110" s="238"/>
      <c r="CG110" s="238"/>
    </row>
    <row r="111" spans="1:85">
      <c r="A111" s="356">
        <v>39295</v>
      </c>
      <c r="B111" s="461">
        <v>3.43</v>
      </c>
      <c r="C111" s="489">
        <v>-0.49</v>
      </c>
      <c r="D111" s="359">
        <v>-0.42223257415493887</v>
      </c>
      <c r="E111" s="359">
        <v>-0.42223257415493887</v>
      </c>
      <c r="F111" s="469">
        <v>0.15</v>
      </c>
      <c r="G111" s="470">
        <v>0.15</v>
      </c>
      <c r="H111" s="470">
        <v>0.185</v>
      </c>
      <c r="I111" s="471">
        <v>0.14499999999999999</v>
      </c>
      <c r="J111" s="470">
        <v>4.4999999999999998E-2</v>
      </c>
      <c r="K111" s="470">
        <v>0.12</v>
      </c>
      <c r="L111" s="470">
        <v>0.43</v>
      </c>
      <c r="M111" s="469">
        <v>-0.38</v>
      </c>
      <c r="N111" s="470">
        <v>0.24</v>
      </c>
      <c r="O111" s="471">
        <v>0.12</v>
      </c>
      <c r="P111" s="419">
        <v>-0.25</v>
      </c>
      <c r="Q111" s="388">
        <v>0.26750000000000002</v>
      </c>
      <c r="R111" s="475">
        <v>0.23250000000000001</v>
      </c>
      <c r="S111" s="365">
        <v>0.23250000000000001</v>
      </c>
      <c r="T111" s="274">
        <v>0.55000000000000004</v>
      </c>
      <c r="U111" s="494">
        <v>0.23250000000000001</v>
      </c>
      <c r="V111" s="225">
        <v>2.94</v>
      </c>
      <c r="W111" s="225">
        <v>3.0077674258450613</v>
      </c>
      <c r="X111" s="368">
        <v>3.0077674258450613</v>
      </c>
      <c r="Y111" s="415">
        <v>4.7746199720857536</v>
      </c>
      <c r="Z111" s="465">
        <v>0.1</v>
      </c>
      <c r="AA111" s="481">
        <v>0.1</v>
      </c>
      <c r="AB111" s="487">
        <v>4.3383675318017803</v>
      </c>
      <c r="AC111" s="312">
        <v>4.4383675318017799</v>
      </c>
      <c r="AD111" s="368">
        <v>4.4383675318017799</v>
      </c>
      <c r="AE111" s="418">
        <v>3.18</v>
      </c>
      <c r="AF111" s="373">
        <v>3.05</v>
      </c>
      <c r="AG111" s="374">
        <v>3.55</v>
      </c>
      <c r="AH111" s="423">
        <v>-0.255</v>
      </c>
      <c r="AI111" s="467">
        <v>1.5568777872900199</v>
      </c>
      <c r="AJ111" s="478">
        <v>5.4747942738290901E-2</v>
      </c>
      <c r="AK111" s="478">
        <v>5.47057039860048E-2</v>
      </c>
      <c r="AL111" s="354">
        <v>0.72700463638252766</v>
      </c>
      <c r="AM111" s="377">
        <v>0.72718109196325897</v>
      </c>
      <c r="AN111" s="353">
        <v>0.15</v>
      </c>
      <c r="AO111" s="378">
        <v>0.12</v>
      </c>
      <c r="AP111" s="238"/>
      <c r="AQ111" s="353">
        <v>-3.346260900077731</v>
      </c>
      <c r="AR111" s="379">
        <v>-2.8562609000777313</v>
      </c>
      <c r="AS111" s="238"/>
      <c r="AT111" s="456">
        <v>7.4999999999999997E-3</v>
      </c>
      <c r="AU111" s="238"/>
      <c r="AV111" s="353">
        <v>2.5000000000000001E-3</v>
      </c>
      <c r="AW111" s="425">
        <v>5.0000000000000001E-3</v>
      </c>
      <c r="AX111" s="354">
        <v>-8.5000000000000006E-2</v>
      </c>
      <c r="AY111" s="354"/>
      <c r="AZ111" s="488">
        <v>0.75</v>
      </c>
      <c r="BA111" s="488">
        <v>0.55000000000000004</v>
      </c>
      <c r="BB111" s="433">
        <v>-0.49</v>
      </c>
      <c r="BC111" s="428"/>
      <c r="BD111" s="355">
        <v>3.48</v>
      </c>
      <c r="BE111" s="238">
        <v>2.9416941856461269</v>
      </c>
      <c r="BF111" s="319"/>
      <c r="BG111" s="238">
        <v>0.6</v>
      </c>
      <c r="BH111" s="293"/>
      <c r="BI111" s="293"/>
      <c r="BJ111" s="238"/>
      <c r="BK111" s="319"/>
      <c r="BL111" s="238"/>
      <c r="BM111" s="238"/>
      <c r="BN111" s="256"/>
      <c r="BO111" s="256"/>
      <c r="BP111" s="293"/>
      <c r="BQ111" s="238"/>
      <c r="BR111" s="293"/>
      <c r="BS111" s="238"/>
      <c r="BT111" s="238"/>
      <c r="BU111" s="238"/>
      <c r="BV111" s="238"/>
      <c r="BW111" s="238"/>
      <c r="BX111" s="238"/>
      <c r="BY111" s="238"/>
      <c r="BZ111" s="238"/>
      <c r="CA111" s="238"/>
      <c r="CB111" s="238"/>
      <c r="CC111" s="238"/>
      <c r="CD111" s="238"/>
      <c r="CE111" s="238"/>
      <c r="CF111" s="238"/>
      <c r="CG111" s="238"/>
    </row>
    <row r="112" spans="1:85">
      <c r="A112" s="356">
        <v>39326</v>
      </c>
      <c r="B112" s="461">
        <v>3.4430000000000001</v>
      </c>
      <c r="C112" s="489">
        <v>-0.49</v>
      </c>
      <c r="D112" s="359">
        <v>-0.42222552223665843</v>
      </c>
      <c r="E112" s="359">
        <v>-0.42222552223665843</v>
      </c>
      <c r="F112" s="469">
        <v>0.15</v>
      </c>
      <c r="G112" s="470">
        <v>0.15</v>
      </c>
      <c r="H112" s="470">
        <v>0.185</v>
      </c>
      <c r="I112" s="471">
        <v>0.14499999999999999</v>
      </c>
      <c r="J112" s="470">
        <v>4.4999999999999998E-2</v>
      </c>
      <c r="K112" s="470">
        <v>0.12</v>
      </c>
      <c r="L112" s="470">
        <v>0.38</v>
      </c>
      <c r="M112" s="469">
        <v>-0.38</v>
      </c>
      <c r="N112" s="470">
        <v>0.24</v>
      </c>
      <c r="O112" s="471">
        <v>0.12</v>
      </c>
      <c r="P112" s="419">
        <v>-0.25</v>
      </c>
      <c r="Q112" s="388">
        <v>0.26750000000000002</v>
      </c>
      <c r="R112" s="475">
        <v>0.23250000000000001</v>
      </c>
      <c r="S112" s="365">
        <v>0.23250000000000001</v>
      </c>
      <c r="T112" s="274">
        <v>0.55000000000000004</v>
      </c>
      <c r="U112" s="494">
        <v>0.23250000000000001</v>
      </c>
      <c r="V112" s="225">
        <v>2.9530000000000003</v>
      </c>
      <c r="W112" s="225">
        <v>3.0207744777633416</v>
      </c>
      <c r="X112" s="368">
        <v>3.0207744777633416</v>
      </c>
      <c r="Y112" s="415">
        <v>4.3638735937804771</v>
      </c>
      <c r="Z112" s="465">
        <v>0.1</v>
      </c>
      <c r="AA112" s="481">
        <v>0.1</v>
      </c>
      <c r="AB112" s="487">
        <v>4.3570973874729297</v>
      </c>
      <c r="AC112" s="312">
        <v>4.4570973874729294</v>
      </c>
      <c r="AD112" s="368">
        <v>4.4570973874729294</v>
      </c>
      <c r="AE112" s="418">
        <v>3.1930000000000001</v>
      </c>
      <c r="AF112" s="373">
        <v>3.0630000000000002</v>
      </c>
      <c r="AG112" s="374">
        <v>3.5630000000000002</v>
      </c>
      <c r="AH112" s="423">
        <v>-0.255</v>
      </c>
      <c r="AI112" s="467">
        <v>1.5567157945267998</v>
      </c>
      <c r="AJ112" s="478">
        <v>5.4861555581488204E-2</v>
      </c>
      <c r="AK112" s="478">
        <v>5.4837767868173098E-2</v>
      </c>
      <c r="AL112" s="354">
        <v>0.72320052876309715</v>
      </c>
      <c r="AM112" s="377">
        <v>0.723300793919462</v>
      </c>
      <c r="AN112" s="353">
        <v>0.15</v>
      </c>
      <c r="AO112" s="378">
        <v>0.124</v>
      </c>
      <c r="AP112" s="238"/>
      <c r="AQ112" s="353">
        <v>-3.3592538511070624</v>
      </c>
      <c r="AR112" s="379">
        <v>-2.8692538511070627</v>
      </c>
      <c r="AS112" s="238"/>
      <c r="AT112" s="456">
        <v>7.4999999999999997E-3</v>
      </c>
      <c r="AU112" s="238"/>
      <c r="AV112" s="353">
        <v>2.5000000000000001E-3</v>
      </c>
      <c r="AW112" s="425">
        <v>5.0000000000000001E-3</v>
      </c>
      <c r="AX112" s="354">
        <v>-8.5000000000000006E-2</v>
      </c>
      <c r="AY112" s="354"/>
      <c r="AZ112" s="488">
        <v>0.75</v>
      </c>
      <c r="BA112" s="488">
        <v>0.55000000000000004</v>
      </c>
      <c r="BB112" s="433">
        <v>-0.49</v>
      </c>
      <c r="BC112" s="428"/>
      <c r="BD112" s="355">
        <v>3.4929999999999999</v>
      </c>
      <c r="BE112" s="238">
        <v>2.954694361944084</v>
      </c>
      <c r="BF112" s="319"/>
      <c r="BG112" s="238">
        <v>0.6</v>
      </c>
      <c r="BH112" s="293"/>
      <c r="BI112" s="293"/>
      <c r="BJ112" s="238"/>
      <c r="BK112" s="319"/>
      <c r="BL112" s="238"/>
      <c r="BM112" s="238"/>
      <c r="BN112" s="256"/>
      <c r="BO112" s="256"/>
      <c r="BP112" s="293"/>
      <c r="BQ112" s="238"/>
      <c r="BR112" s="293"/>
      <c r="BS112" s="238"/>
      <c r="BT112" s="238"/>
      <c r="BU112" s="238"/>
      <c r="BV112" s="238"/>
      <c r="BW112" s="238"/>
      <c r="BX112" s="238"/>
      <c r="BY112" s="238"/>
      <c r="BZ112" s="238"/>
      <c r="CA112" s="238"/>
      <c r="CB112" s="238"/>
      <c r="CC112" s="238"/>
      <c r="CD112" s="238"/>
      <c r="CE112" s="238"/>
      <c r="CF112" s="238"/>
      <c r="CG112" s="238"/>
    </row>
    <row r="113" spans="1:85">
      <c r="A113" s="356">
        <v>39356</v>
      </c>
      <c r="B113" s="461">
        <v>3.4550000000000001</v>
      </c>
      <c r="C113" s="489">
        <v>-0.49</v>
      </c>
      <c r="D113" s="359">
        <v>-0.42221850118008097</v>
      </c>
      <c r="E113" s="359">
        <v>-0.42221850118008097</v>
      </c>
      <c r="F113" s="469">
        <v>0.15</v>
      </c>
      <c r="G113" s="470">
        <v>0.15</v>
      </c>
      <c r="H113" s="470">
        <v>0.185</v>
      </c>
      <c r="I113" s="471">
        <v>0.14499999999999999</v>
      </c>
      <c r="J113" s="470">
        <v>4.4999999999999998E-2</v>
      </c>
      <c r="K113" s="470">
        <v>0.12</v>
      </c>
      <c r="L113" s="470">
        <v>0.42</v>
      </c>
      <c r="M113" s="469">
        <v>-0.38</v>
      </c>
      <c r="N113" s="470">
        <v>0.24</v>
      </c>
      <c r="O113" s="471">
        <v>0.12</v>
      </c>
      <c r="P113" s="419">
        <v>-0.25</v>
      </c>
      <c r="Q113" s="388">
        <v>0.26750000000000002</v>
      </c>
      <c r="R113" s="475">
        <v>0.23250000000000001</v>
      </c>
      <c r="S113" s="365">
        <v>0.23250000000000001</v>
      </c>
      <c r="T113" s="274">
        <v>0.6</v>
      </c>
      <c r="U113" s="494">
        <v>0.23250000000000001</v>
      </c>
      <c r="V113" s="225">
        <v>2.9649999999999999</v>
      </c>
      <c r="W113" s="225">
        <v>3.0327814988199191</v>
      </c>
      <c r="X113" s="368">
        <v>3.0327814988199191</v>
      </c>
      <c r="Y113" s="318" t="s">
        <v>240</v>
      </c>
      <c r="Z113" s="465">
        <v>0.1</v>
      </c>
      <c r="AA113" s="481">
        <v>0.1</v>
      </c>
      <c r="AB113" s="487">
        <v>4.3743500093991408</v>
      </c>
      <c r="AC113" s="312">
        <v>4.4743500093991404</v>
      </c>
      <c r="AD113" s="368">
        <v>4.4743500093991404</v>
      </c>
      <c r="AE113" s="418">
        <v>3.2050000000000001</v>
      </c>
      <c r="AF113" s="373">
        <v>3.0750000000000002</v>
      </c>
      <c r="AG113" s="374">
        <v>3.5750000000000002</v>
      </c>
      <c r="AH113" s="423">
        <v>-0.255</v>
      </c>
      <c r="AI113" s="467">
        <v>1.55655454418773</v>
      </c>
      <c r="AJ113" s="478">
        <v>5.4971503498353801E-2</v>
      </c>
      <c r="AK113" s="478">
        <v>5.4965571630641599E-2</v>
      </c>
      <c r="AL113" s="354">
        <v>0.71952525339865703</v>
      </c>
      <c r="AM113" s="377">
        <v>0.71955046761035057</v>
      </c>
      <c r="AN113" s="353">
        <v>0.15</v>
      </c>
      <c r="AO113" s="378">
        <v>0.12</v>
      </c>
      <c r="AP113" s="238"/>
      <c r="AQ113" s="353">
        <v>-3.3682468329851982</v>
      </c>
      <c r="AR113" s="379">
        <v>-2.878246832985198</v>
      </c>
      <c r="AS113" s="238"/>
      <c r="AT113" s="456">
        <v>7.4999999999999997E-3</v>
      </c>
      <c r="AU113" s="238"/>
      <c r="AV113" s="353">
        <v>2.5000000000000001E-3</v>
      </c>
      <c r="AW113" s="425">
        <v>5.0000000000000001E-3</v>
      </c>
      <c r="AX113" s="354">
        <v>-8.5000000000000006E-2</v>
      </c>
      <c r="AY113" s="354"/>
      <c r="AZ113" s="488">
        <v>0.8</v>
      </c>
      <c r="BA113" s="488">
        <v>0.6</v>
      </c>
      <c r="BB113" s="433">
        <v>-0.49</v>
      </c>
      <c r="BC113" s="428"/>
      <c r="BD113" s="355">
        <v>3.5049999999999999</v>
      </c>
      <c r="BE113" s="238">
        <v>2.9666945374704978</v>
      </c>
      <c r="BF113" s="319"/>
      <c r="BG113" s="238">
        <v>0.65</v>
      </c>
      <c r="BH113" s="293"/>
      <c r="BI113" s="293"/>
      <c r="BJ113" s="238"/>
      <c r="BK113" s="319"/>
      <c r="BL113" s="238"/>
      <c r="BM113" s="238"/>
      <c r="BN113" s="256"/>
      <c r="BO113" s="256"/>
      <c r="BP113" s="293"/>
      <c r="BQ113" s="238"/>
      <c r="BR113" s="293"/>
      <c r="BS113" s="238"/>
      <c r="BT113" s="238"/>
      <c r="BU113" s="238"/>
      <c r="BV113" s="238"/>
      <c r="BW113" s="238"/>
      <c r="BX113" s="238"/>
      <c r="BY113" s="238"/>
      <c r="BZ113" s="238"/>
      <c r="CA113" s="238"/>
      <c r="CB113" s="238"/>
      <c r="CC113" s="238"/>
      <c r="CD113" s="238"/>
      <c r="CE113" s="238"/>
      <c r="CF113" s="238"/>
      <c r="CG113" s="238"/>
    </row>
    <row r="114" spans="1:85">
      <c r="A114" s="460">
        <v>39387</v>
      </c>
      <c r="B114" s="461">
        <v>3.6</v>
      </c>
      <c r="C114" s="468">
        <v>-0.46</v>
      </c>
      <c r="D114" s="359">
        <v>-0.39221104288627151</v>
      </c>
      <c r="E114" s="359">
        <v>-0.12000000000000055</v>
      </c>
      <c r="F114" s="469">
        <v>0.2</v>
      </c>
      <c r="G114" s="470">
        <v>0.35</v>
      </c>
      <c r="H114" s="470">
        <v>0.35</v>
      </c>
      <c r="I114" s="471">
        <v>0.47</v>
      </c>
      <c r="J114" s="470">
        <v>0.13</v>
      </c>
      <c r="K114" s="470">
        <v>0.15</v>
      </c>
      <c r="L114" s="470">
        <v>0.73</v>
      </c>
      <c r="M114" s="469">
        <v>-0.2</v>
      </c>
      <c r="N114" s="470">
        <v>0.24</v>
      </c>
      <c r="O114" s="471">
        <v>0.19</v>
      </c>
      <c r="P114" s="419">
        <v>0.248</v>
      </c>
      <c r="Q114" s="388">
        <v>0.26750000000000002</v>
      </c>
      <c r="R114" s="475">
        <v>0.23250000000000001</v>
      </c>
      <c r="S114" s="365">
        <v>0.23250000000000001</v>
      </c>
      <c r="T114" s="274">
        <v>0.8</v>
      </c>
      <c r="U114" s="494">
        <v>0.23250000000000001</v>
      </c>
      <c r="V114" s="225">
        <v>3.14</v>
      </c>
      <c r="W114" s="225">
        <v>3.2077889571137286</v>
      </c>
      <c r="X114" s="368">
        <v>3.48</v>
      </c>
      <c r="Y114" s="415"/>
      <c r="Z114" s="465">
        <v>0.1</v>
      </c>
      <c r="AA114" s="481">
        <v>0.50155661700118159</v>
      </c>
      <c r="AB114" s="487">
        <v>4.6320228746579772</v>
      </c>
      <c r="AC114" s="312">
        <v>4.7320228746579769</v>
      </c>
      <c r="AD114" s="368">
        <v>5.1335794916591588</v>
      </c>
      <c r="AE114" s="418">
        <v>3.8479999999999999</v>
      </c>
      <c r="AF114" s="373">
        <v>3.4</v>
      </c>
      <c r="AG114" s="374">
        <v>3.79</v>
      </c>
      <c r="AH114" s="423">
        <v>-0.18</v>
      </c>
      <c r="AI114" s="467">
        <v>1.5563832885494098</v>
      </c>
      <c r="AJ114" s="478">
        <v>5.5085116350011003E-2</v>
      </c>
      <c r="AK114" s="478">
        <v>5.50976355242416E-2</v>
      </c>
      <c r="AL114" s="354">
        <v>0.71573389830016454</v>
      </c>
      <c r="AM114" s="377">
        <v>0.71568023023623328</v>
      </c>
      <c r="AN114" s="353">
        <v>0.35</v>
      </c>
      <c r="AO114" s="378">
        <v>0.124</v>
      </c>
      <c r="AP114" s="238"/>
      <c r="AQ114" s="353">
        <v>-3.2401496439209043</v>
      </c>
      <c r="AR114" s="379">
        <v>-2.7801496439209044</v>
      </c>
      <c r="AS114" s="238"/>
      <c r="AT114" s="456">
        <v>7.4999999999999997E-3</v>
      </c>
      <c r="AU114" s="238"/>
      <c r="AV114" s="353">
        <v>8.0000000000000002E-3</v>
      </c>
      <c r="AW114" s="425">
        <v>0.02</v>
      </c>
      <c r="AX114" s="354">
        <v>5.0000000000000001E-3</v>
      </c>
      <c r="AY114" s="354"/>
      <c r="AZ114" s="488">
        <v>1</v>
      </c>
      <c r="BA114" s="488">
        <v>0.8</v>
      </c>
      <c r="BB114" s="433">
        <v>-0.46</v>
      </c>
      <c r="BC114" s="428"/>
      <c r="BD114" s="355">
        <v>3.75</v>
      </c>
      <c r="BE114" s="238">
        <v>3.1454231165690985</v>
      </c>
      <c r="BF114" s="319"/>
      <c r="BG114" s="238">
        <v>0.8</v>
      </c>
      <c r="BH114" s="293"/>
      <c r="BI114" s="293"/>
      <c r="BJ114" s="238"/>
      <c r="BK114" s="319"/>
      <c r="BL114" s="238"/>
      <c r="BM114" s="238"/>
      <c r="BN114" s="256"/>
      <c r="BO114" s="256"/>
      <c r="BP114" s="293"/>
      <c r="BQ114" s="238"/>
      <c r="BR114" s="293"/>
      <c r="BS114" s="238"/>
      <c r="BT114" s="238"/>
      <c r="BU114" s="238"/>
      <c r="BV114" s="238"/>
      <c r="BW114" s="238"/>
      <c r="BX114" s="238"/>
      <c r="BY114" s="238"/>
      <c r="BZ114" s="238"/>
      <c r="CA114" s="238"/>
      <c r="CB114" s="238"/>
      <c r="CC114" s="238"/>
      <c r="CD114" s="238"/>
      <c r="CE114" s="238"/>
      <c r="CF114" s="238"/>
      <c r="CG114" s="238"/>
    </row>
    <row r="115" spans="1:85">
      <c r="A115" s="356">
        <v>39417</v>
      </c>
      <c r="B115" s="461">
        <v>3.7510000000000003</v>
      </c>
      <c r="C115" s="493">
        <v>-0.46</v>
      </c>
      <c r="D115" s="359">
        <v>-0.39220362850647073</v>
      </c>
      <c r="E115" s="359">
        <v>-0.12</v>
      </c>
      <c r="F115" s="469">
        <v>0.2</v>
      </c>
      <c r="G115" s="470">
        <v>0.35</v>
      </c>
      <c r="H115" s="470">
        <v>0.35</v>
      </c>
      <c r="I115" s="471">
        <v>0.47</v>
      </c>
      <c r="J115" s="470">
        <v>0.13</v>
      </c>
      <c r="K115" s="470">
        <v>0.15</v>
      </c>
      <c r="L115" s="470">
        <v>0.98</v>
      </c>
      <c r="M115" s="469">
        <v>-0.2</v>
      </c>
      <c r="N115" s="470">
        <v>0.24</v>
      </c>
      <c r="O115" s="471">
        <v>0.19</v>
      </c>
      <c r="P115" s="419">
        <v>0.308</v>
      </c>
      <c r="Q115" s="388">
        <v>0.26750000000000002</v>
      </c>
      <c r="R115" s="475">
        <v>0.23250000000000001</v>
      </c>
      <c r="S115" s="365">
        <v>0.23250000000000001</v>
      </c>
      <c r="T115" s="274">
        <v>1</v>
      </c>
      <c r="U115" s="494">
        <v>0.23250000000000001</v>
      </c>
      <c r="V115" s="225">
        <v>3.2910000000000004</v>
      </c>
      <c r="W115" s="225">
        <v>3.3587963714935296</v>
      </c>
      <c r="X115" s="368">
        <v>3.6310000000000002</v>
      </c>
      <c r="Y115" s="318" t="s">
        <v>238</v>
      </c>
      <c r="Z115" s="465">
        <v>0.1</v>
      </c>
      <c r="AA115" s="481">
        <v>0.50150176552213743</v>
      </c>
      <c r="AB115" s="487">
        <v>4.854242089215747</v>
      </c>
      <c r="AC115" s="312">
        <v>4.9542420892157466</v>
      </c>
      <c r="AD115" s="368">
        <v>5.3557438547378844</v>
      </c>
      <c r="AE115" s="418">
        <v>4.0590000000000002</v>
      </c>
      <c r="AF115" s="373">
        <v>3.5510000000000002</v>
      </c>
      <c r="AG115" s="374">
        <v>3.9410000000000003</v>
      </c>
      <c r="AH115" s="423">
        <v>-0.18</v>
      </c>
      <c r="AI115" s="467">
        <v>1.5562130786021298</v>
      </c>
      <c r="AJ115" s="478">
        <v>5.5195064275063405E-2</v>
      </c>
      <c r="AK115" s="478">
        <v>5.5225439297771996E-2</v>
      </c>
      <c r="AL115" s="354">
        <v>0.71207116796183156</v>
      </c>
      <c r="AM115" s="377">
        <v>0.71193990650670913</v>
      </c>
      <c r="AN115" s="353">
        <v>0.35</v>
      </c>
      <c r="AO115" s="378">
        <v>0.12</v>
      </c>
      <c r="AP115" s="238"/>
      <c r="AQ115" s="353">
        <v>-3.3951379193475097</v>
      </c>
      <c r="AR115" s="379">
        <v>-2.9351379193475098</v>
      </c>
      <c r="AS115" s="238"/>
      <c r="AT115" s="456">
        <v>7.4999999999999997E-3</v>
      </c>
      <c r="AU115" s="238"/>
      <c r="AV115" s="353">
        <v>8.0000000000000002E-3</v>
      </c>
      <c r="AW115" s="425">
        <v>0.02</v>
      </c>
      <c r="AX115" s="354">
        <v>0.01</v>
      </c>
      <c r="AY115" s="354"/>
      <c r="AZ115" s="488">
        <v>1.2</v>
      </c>
      <c r="BA115" s="488">
        <v>1</v>
      </c>
      <c r="BB115" s="433">
        <v>-0.46</v>
      </c>
      <c r="BC115" s="428"/>
      <c r="BD115" s="355">
        <v>3.9010000000000002</v>
      </c>
      <c r="BE115" s="238">
        <v>3.2964237097194826</v>
      </c>
      <c r="BF115" s="319"/>
      <c r="BG115" s="238">
        <v>1.1000000000000001</v>
      </c>
      <c r="BH115" s="293"/>
      <c r="BI115" s="293"/>
      <c r="BJ115" s="238"/>
      <c r="BK115" s="319"/>
      <c r="BL115" s="238"/>
      <c r="BM115" s="238"/>
      <c r="BN115" s="256"/>
      <c r="BO115" s="256"/>
      <c r="BP115" s="293"/>
      <c r="BQ115" s="238"/>
      <c r="BR115" s="293"/>
      <c r="BS115" s="238"/>
      <c r="BT115" s="238"/>
      <c r="BU115" s="238"/>
      <c r="BV115" s="238"/>
      <c r="BW115" s="238"/>
      <c r="BX115" s="238"/>
      <c r="BY115" s="238"/>
      <c r="BZ115" s="238"/>
      <c r="CA115" s="238"/>
      <c r="CB115" s="238"/>
      <c r="CC115" s="238"/>
      <c r="CD115" s="238"/>
      <c r="CE115" s="238"/>
      <c r="CF115" s="238"/>
      <c r="CG115" s="238"/>
    </row>
    <row r="116" spans="1:85">
      <c r="A116" s="356">
        <v>39448</v>
      </c>
      <c r="B116" s="461">
        <v>3.8320000000000003</v>
      </c>
      <c r="C116" s="493">
        <v>-0.46</v>
      </c>
      <c r="D116" s="359">
        <v>-0.39219576371658915</v>
      </c>
      <c r="E116" s="359">
        <v>-0.12</v>
      </c>
      <c r="F116" s="469">
        <v>0.2</v>
      </c>
      <c r="G116" s="470">
        <v>0.35</v>
      </c>
      <c r="H116" s="470">
        <v>0.35</v>
      </c>
      <c r="I116" s="471">
        <v>0.47</v>
      </c>
      <c r="J116" s="470">
        <v>0.13</v>
      </c>
      <c r="K116" s="470">
        <v>0.15</v>
      </c>
      <c r="L116" s="470">
        <v>1.6</v>
      </c>
      <c r="M116" s="469">
        <v>-0.2</v>
      </c>
      <c r="N116" s="470">
        <v>0.24</v>
      </c>
      <c r="O116" s="471">
        <v>0.19</v>
      </c>
      <c r="P116" s="419">
        <v>0.37800000000000006</v>
      </c>
      <c r="Q116" s="388">
        <v>0.26750000000000002</v>
      </c>
      <c r="R116" s="475">
        <v>0.23250000000000001</v>
      </c>
      <c r="S116" s="365">
        <v>0.23250000000000001</v>
      </c>
      <c r="T116" s="274">
        <v>1</v>
      </c>
      <c r="U116" s="494">
        <v>0.23250000000000001</v>
      </c>
      <c r="V116" s="225">
        <v>3.3720000000000003</v>
      </c>
      <c r="W116" s="225">
        <v>3.4398042362834111</v>
      </c>
      <c r="X116" s="368">
        <v>3.7120000000000002</v>
      </c>
      <c r="Y116" s="415"/>
      <c r="Z116" s="465">
        <v>0.1</v>
      </c>
      <c r="AA116" s="481">
        <v>0.50144359502679681</v>
      </c>
      <c r="AB116" s="487">
        <v>4.9731405953834109</v>
      </c>
      <c r="AC116" s="312">
        <v>5.0731405953834106</v>
      </c>
      <c r="AD116" s="368">
        <v>5.4745841904102077</v>
      </c>
      <c r="AE116" s="418">
        <v>4.21</v>
      </c>
      <c r="AF116" s="373">
        <v>3.6320000000000001</v>
      </c>
      <c r="AG116" s="374">
        <v>4.0220000000000002</v>
      </c>
      <c r="AH116" s="423">
        <v>-0.18</v>
      </c>
      <c r="AI116" s="467">
        <v>1.5560325693958599</v>
      </c>
      <c r="AJ116" s="478">
        <v>5.5308677135180104E-2</v>
      </c>
      <c r="AK116" s="478">
        <v>5.5357503202801507E-2</v>
      </c>
      <c r="AL116" s="354">
        <v>0.70829298489035231</v>
      </c>
      <c r="AM116" s="377">
        <v>0.70808027829360443</v>
      </c>
      <c r="AN116" s="353">
        <v>0.35</v>
      </c>
      <c r="AO116" s="378">
        <v>0.12</v>
      </c>
      <c r="AP116" s="238"/>
      <c r="AQ116" s="353">
        <v>-3.4751256203676264</v>
      </c>
      <c r="AR116" s="379">
        <v>-3.0151256203676264</v>
      </c>
      <c r="AS116" s="238"/>
      <c r="AT116" s="456">
        <v>7.4999999999999997E-3</v>
      </c>
      <c r="AU116" s="238"/>
      <c r="AV116" s="353">
        <v>8.0000000000000002E-3</v>
      </c>
      <c r="AW116" s="425">
        <v>0.02</v>
      </c>
      <c r="AX116" s="354">
        <v>0.03</v>
      </c>
      <c r="AY116" s="354"/>
      <c r="AZ116" s="488">
        <v>1.2</v>
      </c>
      <c r="BA116" s="488">
        <v>1</v>
      </c>
      <c r="BB116" s="433">
        <v>-0.46</v>
      </c>
      <c r="BC116" s="428"/>
      <c r="BD116" s="355">
        <v>3.9820000000000002</v>
      </c>
      <c r="BE116" s="238">
        <v>3.377424338902673</v>
      </c>
      <c r="BF116" s="319"/>
      <c r="BG116" s="238">
        <v>1.1000000000000001</v>
      </c>
      <c r="BH116" s="293"/>
      <c r="BI116" s="293"/>
      <c r="BJ116" s="238"/>
      <c r="BK116" s="319"/>
      <c r="BL116" s="238"/>
      <c r="BM116" s="238"/>
      <c r="BN116" s="256"/>
      <c r="BO116" s="256"/>
      <c r="BP116" s="293"/>
      <c r="BQ116" s="238"/>
      <c r="BR116" s="293"/>
      <c r="BS116" s="238"/>
      <c r="BT116" s="238"/>
      <c r="BU116" s="238"/>
      <c r="BV116" s="238"/>
      <c r="BW116" s="238"/>
      <c r="BX116" s="238"/>
      <c r="BY116" s="238"/>
      <c r="BZ116" s="238"/>
      <c r="CA116" s="238"/>
      <c r="CB116" s="238"/>
      <c r="CC116" s="238"/>
      <c r="CD116" s="238"/>
      <c r="CE116" s="238"/>
      <c r="CF116" s="238"/>
      <c r="CG116" s="238"/>
    </row>
    <row r="117" spans="1:85">
      <c r="A117" s="356">
        <v>39479</v>
      </c>
      <c r="B117" s="461">
        <v>3.718</v>
      </c>
      <c r="C117" s="493">
        <v>-0.46</v>
      </c>
      <c r="D117" s="359">
        <v>-0.39218769229595196</v>
      </c>
      <c r="E117" s="359">
        <v>-0.12</v>
      </c>
      <c r="F117" s="469">
        <v>0.2</v>
      </c>
      <c r="G117" s="470">
        <v>0.35</v>
      </c>
      <c r="H117" s="470">
        <v>0.35</v>
      </c>
      <c r="I117" s="471">
        <v>0.47</v>
      </c>
      <c r="J117" s="470">
        <v>0.13</v>
      </c>
      <c r="K117" s="470">
        <v>0.15</v>
      </c>
      <c r="L117" s="470">
        <v>1.6</v>
      </c>
      <c r="M117" s="469">
        <v>-0.2</v>
      </c>
      <c r="N117" s="470">
        <v>0.24</v>
      </c>
      <c r="O117" s="471">
        <v>0.19</v>
      </c>
      <c r="P117" s="419">
        <v>0.248</v>
      </c>
      <c r="Q117" s="388">
        <v>0.26750000000000002</v>
      </c>
      <c r="R117" s="475">
        <v>0.23250000000000001</v>
      </c>
      <c r="S117" s="365">
        <v>0.23250000000000001</v>
      </c>
      <c r="T117" s="274">
        <v>1</v>
      </c>
      <c r="U117" s="494">
        <v>0.23250000000000001</v>
      </c>
      <c r="V117" s="225">
        <v>3.258</v>
      </c>
      <c r="W117" s="225">
        <v>3.325812307704048</v>
      </c>
      <c r="X117" s="368">
        <v>3.5979999999999999</v>
      </c>
      <c r="Y117" s="226"/>
      <c r="Z117" s="465">
        <v>0.1</v>
      </c>
      <c r="AA117" s="481">
        <v>0.50138391025395013</v>
      </c>
      <c r="AB117" s="487">
        <v>4.8044375870804927</v>
      </c>
      <c r="AC117" s="312">
        <v>4.9044375870804924</v>
      </c>
      <c r="AD117" s="368">
        <v>5.3058214973344429</v>
      </c>
      <c r="AE117" s="418">
        <v>3.9660000000000002</v>
      </c>
      <c r="AF117" s="373">
        <v>3.5179999999999998</v>
      </c>
      <c r="AG117" s="374">
        <v>3.9079999999999999</v>
      </c>
      <c r="AH117" s="423">
        <v>-0.18</v>
      </c>
      <c r="AI117" s="467">
        <v>1.5558473612261501</v>
      </c>
      <c r="AJ117" s="478">
        <v>5.5422289999595503E-2</v>
      </c>
      <c r="AK117" s="478">
        <v>5.5489567113638803E-2</v>
      </c>
      <c r="AL117" s="354">
        <v>0.70452165421744239</v>
      </c>
      <c r="AM117" s="377">
        <v>0.70422624904650855</v>
      </c>
      <c r="AN117" s="353">
        <v>0.35</v>
      </c>
      <c r="AO117" s="378">
        <v>0.13300000000000001</v>
      </c>
      <c r="AP117" s="238"/>
      <c r="AQ117" s="353">
        <v>-3.3611131348066423</v>
      </c>
      <c r="AR117" s="379">
        <v>-2.9011131348066423</v>
      </c>
      <c r="AS117" s="238"/>
      <c r="AT117" s="456">
        <v>7.4999999999999997E-3</v>
      </c>
      <c r="AU117" s="238"/>
      <c r="AV117" s="353">
        <v>8.0000000000000002E-3</v>
      </c>
      <c r="AW117" s="425">
        <v>0.02</v>
      </c>
      <c r="AX117" s="354">
        <v>2.5000000000000001E-2</v>
      </c>
      <c r="AY117" s="354"/>
      <c r="AZ117" s="488">
        <v>1.2</v>
      </c>
      <c r="BA117" s="488">
        <v>1</v>
      </c>
      <c r="BB117" s="433">
        <v>-0.46</v>
      </c>
      <c r="BC117" s="428"/>
      <c r="BD117" s="355">
        <v>3.8679999999999999</v>
      </c>
      <c r="BE117" s="238">
        <v>3.2634249846163237</v>
      </c>
      <c r="BF117" s="319"/>
      <c r="BG117" s="238">
        <v>1.1000000000000001</v>
      </c>
      <c r="BH117" s="293"/>
      <c r="BI117" s="293"/>
      <c r="BJ117" s="238"/>
      <c r="BK117" s="319"/>
      <c r="BL117" s="238"/>
      <c r="BM117" s="238"/>
      <c r="BN117" s="256"/>
      <c r="BO117" s="256"/>
      <c r="BP117" s="293"/>
      <c r="BQ117" s="238"/>
      <c r="BR117" s="293"/>
      <c r="BS117" s="238"/>
      <c r="BT117" s="238"/>
      <c r="BU117" s="238"/>
      <c r="BV117" s="238"/>
      <c r="BW117" s="238"/>
      <c r="BX117" s="238"/>
      <c r="BY117" s="238"/>
      <c r="BZ117" s="238"/>
      <c r="CA117" s="238"/>
      <c r="CB117" s="238"/>
      <c r="CC117" s="238"/>
      <c r="CD117" s="238"/>
      <c r="CE117" s="238"/>
      <c r="CF117" s="238"/>
      <c r="CG117" s="238"/>
    </row>
    <row r="118" spans="1:85">
      <c r="A118" s="356">
        <v>39508</v>
      </c>
      <c r="B118" s="461">
        <v>3.5860000000000003</v>
      </c>
      <c r="C118" s="493">
        <v>-0.46</v>
      </c>
      <c r="D118" s="359">
        <v>-0.39217995451536947</v>
      </c>
      <c r="E118" s="359">
        <v>-0.12</v>
      </c>
      <c r="F118" s="469">
        <v>0.2</v>
      </c>
      <c r="G118" s="470">
        <v>0.35</v>
      </c>
      <c r="H118" s="470">
        <v>0.35</v>
      </c>
      <c r="I118" s="471">
        <v>0.47</v>
      </c>
      <c r="J118" s="470">
        <v>0.13</v>
      </c>
      <c r="K118" s="470">
        <v>0.15</v>
      </c>
      <c r="L118" s="470">
        <v>0.72</v>
      </c>
      <c r="M118" s="469">
        <v>-0.2</v>
      </c>
      <c r="N118" s="470">
        <v>0.24</v>
      </c>
      <c r="O118" s="471">
        <v>0.19</v>
      </c>
      <c r="P118" s="419">
        <v>6.8000000000000005E-2</v>
      </c>
      <c r="Q118" s="388">
        <v>0.25750000000000001</v>
      </c>
      <c r="R118" s="475">
        <v>0.2225</v>
      </c>
      <c r="S118" s="365">
        <v>0.2225</v>
      </c>
      <c r="T118" s="274">
        <v>0.75</v>
      </c>
      <c r="U118" s="494">
        <v>0.2225</v>
      </c>
      <c r="V118" s="225">
        <v>3.1260000000000003</v>
      </c>
      <c r="W118" s="225">
        <v>3.1938200454846308</v>
      </c>
      <c r="X118" s="368">
        <v>3.4660000000000002</v>
      </c>
      <c r="Y118" s="226"/>
      <c r="Z118" s="465">
        <v>0.1</v>
      </c>
      <c r="AA118" s="481">
        <v>0.5013267059472124</v>
      </c>
      <c r="AB118" s="487">
        <v>4.609256714091142</v>
      </c>
      <c r="AC118" s="312">
        <v>4.7092567140911417</v>
      </c>
      <c r="AD118" s="368">
        <v>5.1105834200383544</v>
      </c>
      <c r="AE118" s="418">
        <v>3.6540000000000004</v>
      </c>
      <c r="AF118" s="373">
        <v>3.3860000000000001</v>
      </c>
      <c r="AG118" s="374">
        <v>3.7760000000000002</v>
      </c>
      <c r="AH118" s="423">
        <v>-0.18</v>
      </c>
      <c r="AI118" s="467">
        <v>1.55566985020542</v>
      </c>
      <c r="AJ118" s="478">
        <v>5.55285730056818E-2</v>
      </c>
      <c r="AK118" s="478">
        <v>5.5613110777422002E-2</v>
      </c>
      <c r="AL118" s="354">
        <v>0.70099993217805534</v>
      </c>
      <c r="AM118" s="377">
        <v>0.70062605813391809</v>
      </c>
      <c r="AN118" s="353">
        <v>0.35</v>
      </c>
      <c r="AO118" s="378">
        <v>0.12</v>
      </c>
      <c r="AP118" s="238"/>
      <c r="AQ118" s="353">
        <v>-3.2291012858665331</v>
      </c>
      <c r="AR118" s="379">
        <v>-2.7691012858665331</v>
      </c>
      <c r="AS118" s="238"/>
      <c r="AT118" s="456">
        <v>7.4999999999999997E-3</v>
      </c>
      <c r="AU118" s="238"/>
      <c r="AV118" s="353">
        <v>8.0000000000000002E-3</v>
      </c>
      <c r="AW118" s="425">
        <v>0.02</v>
      </c>
      <c r="AX118" s="354">
        <v>5.0000000000000001E-3</v>
      </c>
      <c r="AY118" s="354"/>
      <c r="AZ118" s="488">
        <v>0.95</v>
      </c>
      <c r="BA118" s="488">
        <v>0.75</v>
      </c>
      <c r="BB118" s="433">
        <v>-0.46</v>
      </c>
      <c r="BC118" s="428"/>
      <c r="BD118" s="355">
        <v>3.7360000000000002</v>
      </c>
      <c r="BE118" s="238">
        <v>3.1314256036387706</v>
      </c>
      <c r="BF118" s="319"/>
      <c r="BG118" s="238">
        <v>0.75</v>
      </c>
      <c r="BH118" s="293"/>
      <c r="BI118" s="293"/>
      <c r="BJ118" s="238"/>
      <c r="BK118" s="319"/>
      <c r="BL118" s="238"/>
      <c r="BM118" s="238"/>
      <c r="BN118" s="256"/>
      <c r="BO118" s="256"/>
      <c r="BP118" s="293"/>
      <c r="BQ118" s="238"/>
      <c r="BR118" s="293"/>
      <c r="BS118" s="238"/>
      <c r="BT118" s="238"/>
      <c r="BU118" s="238"/>
      <c r="BV118" s="238"/>
      <c r="BW118" s="238"/>
      <c r="BX118" s="238"/>
      <c r="BY118" s="238"/>
      <c r="BZ118" s="238"/>
      <c r="CA118" s="238"/>
      <c r="CB118" s="238"/>
      <c r="CC118" s="238"/>
      <c r="CD118" s="238"/>
      <c r="CE118" s="238"/>
      <c r="CF118" s="238"/>
      <c r="CG118" s="238"/>
    </row>
    <row r="119" spans="1:85">
      <c r="A119" s="356">
        <v>39539</v>
      </c>
      <c r="B119" s="461">
        <v>3.3880000000000003</v>
      </c>
      <c r="C119" s="484">
        <v>-0.495</v>
      </c>
      <c r="D119" s="359">
        <v>-0.42717148305827601</v>
      </c>
      <c r="E119" s="359">
        <v>-0.42717148305827601</v>
      </c>
      <c r="F119" s="469">
        <v>0.15</v>
      </c>
      <c r="G119" s="470">
        <v>0.15</v>
      </c>
      <c r="H119" s="470">
        <v>0.185</v>
      </c>
      <c r="I119" s="471">
        <v>0.14499999999999999</v>
      </c>
      <c r="J119" s="470">
        <v>4.4999999999999998E-2</v>
      </c>
      <c r="K119" s="470">
        <v>0.12</v>
      </c>
      <c r="L119" s="470">
        <v>0.4</v>
      </c>
      <c r="M119" s="469">
        <v>-0.37</v>
      </c>
      <c r="N119" s="470">
        <v>0.24</v>
      </c>
      <c r="O119" s="471">
        <v>0.12</v>
      </c>
      <c r="P119" s="419">
        <v>-0.25</v>
      </c>
      <c r="Q119" s="388">
        <v>0.25750000000000001</v>
      </c>
      <c r="R119" s="475">
        <v>0.2225</v>
      </c>
      <c r="S119" s="365">
        <v>0.2225</v>
      </c>
      <c r="T119" s="274">
        <v>0.4</v>
      </c>
      <c r="U119" s="494">
        <v>0.2225</v>
      </c>
      <c r="V119" s="225">
        <v>2.8930000000000002</v>
      </c>
      <c r="W119" s="225">
        <v>2.9608285169417243</v>
      </c>
      <c r="X119" s="368">
        <v>2.9608285169417243</v>
      </c>
      <c r="Y119" s="226"/>
      <c r="Z119" s="465">
        <v>0.1</v>
      </c>
      <c r="AA119" s="481">
        <v>0.1</v>
      </c>
      <c r="AB119" s="487">
        <v>4.2651677059157027</v>
      </c>
      <c r="AC119" s="312">
        <v>4.3651677059157024</v>
      </c>
      <c r="AD119" s="368">
        <v>4.3651677059157024</v>
      </c>
      <c r="AE119" s="418">
        <v>3.1380000000000003</v>
      </c>
      <c r="AF119" s="373">
        <v>3.0180000000000002</v>
      </c>
      <c r="AG119" s="374">
        <v>3.5080000000000005</v>
      </c>
      <c r="AH119" s="423">
        <v>-0.255</v>
      </c>
      <c r="AI119" s="467">
        <v>1.55547555448759</v>
      </c>
      <c r="AJ119" s="478">
        <v>5.5642185878416399E-2</v>
      </c>
      <c r="AK119" s="478">
        <v>5.5745174699500105E-2</v>
      </c>
      <c r="AL119" s="354">
        <v>0.69724216300244235</v>
      </c>
      <c r="AM119" s="377">
        <v>0.69678325737767299</v>
      </c>
      <c r="AN119" s="353">
        <v>0.15</v>
      </c>
      <c r="AO119" s="378">
        <v>0.124</v>
      </c>
      <c r="AP119" s="238"/>
      <c r="AQ119" s="353">
        <v>-3.3041998345163703</v>
      </c>
      <c r="AR119" s="379">
        <v>-2.8091998345163702</v>
      </c>
      <c r="AS119" s="238"/>
      <c r="AT119" s="456">
        <v>7.4999999999999997E-3</v>
      </c>
      <c r="AU119" s="238"/>
      <c r="AV119" s="353">
        <v>2.5000000000000001E-3</v>
      </c>
      <c r="AW119" s="425">
        <v>5.0000000000000001E-3</v>
      </c>
      <c r="AX119" s="354">
        <v>-8.5000000000000006E-2</v>
      </c>
      <c r="AY119" s="354"/>
      <c r="AZ119" s="488">
        <v>0.6</v>
      </c>
      <c r="BA119" s="488">
        <v>0.4</v>
      </c>
      <c r="BB119" s="433">
        <v>-0.495</v>
      </c>
      <c r="BC119" s="428"/>
      <c r="BD119" s="355">
        <v>3.4380000000000002</v>
      </c>
      <c r="BE119" s="238">
        <v>2.8946957129235433</v>
      </c>
      <c r="BF119" s="319"/>
      <c r="BG119" s="238">
        <v>0.45</v>
      </c>
      <c r="BH119" s="293"/>
      <c r="BI119" s="293"/>
      <c r="BJ119" s="238"/>
      <c r="BK119" s="319"/>
      <c r="BL119" s="238"/>
      <c r="BM119" s="238"/>
      <c r="BN119" s="256"/>
      <c r="BO119" s="256"/>
      <c r="BP119" s="293"/>
      <c r="BQ119" s="238"/>
      <c r="BR119" s="293"/>
      <c r="BS119" s="238"/>
      <c r="BT119" s="238"/>
      <c r="BU119" s="238"/>
      <c r="BV119" s="238"/>
      <c r="BW119" s="238"/>
      <c r="BX119" s="238"/>
      <c r="BY119" s="238"/>
      <c r="BZ119" s="238"/>
      <c r="CA119" s="238"/>
      <c r="CB119" s="238"/>
      <c r="CC119" s="238"/>
      <c r="CD119" s="238"/>
      <c r="CE119" s="238"/>
      <c r="CF119" s="238"/>
      <c r="CG119" s="238"/>
    </row>
    <row r="120" spans="1:85">
      <c r="A120" s="356">
        <v>39569</v>
      </c>
      <c r="B120" s="461">
        <v>3.3840000000000003</v>
      </c>
      <c r="C120" s="489">
        <v>-0.495</v>
      </c>
      <c r="D120" s="359">
        <v>-0.42716308802671854</v>
      </c>
      <c r="E120" s="359">
        <v>-0.42716308802671854</v>
      </c>
      <c r="F120" s="469">
        <v>0.15</v>
      </c>
      <c r="G120" s="470">
        <v>0.15</v>
      </c>
      <c r="H120" s="470">
        <v>0.185</v>
      </c>
      <c r="I120" s="471">
        <v>0.14499999999999999</v>
      </c>
      <c r="J120" s="470">
        <v>4.4999999999999998E-2</v>
      </c>
      <c r="K120" s="470">
        <v>0.12</v>
      </c>
      <c r="L120" s="470">
        <v>0.35</v>
      </c>
      <c r="M120" s="469">
        <v>-0.37</v>
      </c>
      <c r="N120" s="470">
        <v>0.24</v>
      </c>
      <c r="O120" s="471">
        <v>0.12</v>
      </c>
      <c r="P120" s="419">
        <v>-0.25</v>
      </c>
      <c r="Q120" s="388">
        <v>0.25750000000000001</v>
      </c>
      <c r="R120" s="475">
        <v>0.2225</v>
      </c>
      <c r="S120" s="365">
        <v>0.2225</v>
      </c>
      <c r="T120" s="274">
        <v>0.45</v>
      </c>
      <c r="U120" s="494">
        <v>0.2225</v>
      </c>
      <c r="V120" s="225">
        <v>2.8890000000000002</v>
      </c>
      <c r="W120" s="225">
        <v>2.9568369119732818</v>
      </c>
      <c r="X120" s="368">
        <v>2.9568369119732818</v>
      </c>
      <c r="Y120" s="226"/>
      <c r="Z120" s="465">
        <v>0.1</v>
      </c>
      <c r="AA120" s="481">
        <v>0.1</v>
      </c>
      <c r="AB120" s="487">
        <v>4.2587433831567152</v>
      </c>
      <c r="AC120" s="312">
        <v>4.3587433831567148</v>
      </c>
      <c r="AD120" s="368">
        <v>4.3587433831567148</v>
      </c>
      <c r="AE120" s="418">
        <v>3.1340000000000003</v>
      </c>
      <c r="AF120" s="373">
        <v>3.0140000000000002</v>
      </c>
      <c r="AG120" s="374">
        <v>3.5040000000000004</v>
      </c>
      <c r="AH120" s="423">
        <v>-0.255</v>
      </c>
      <c r="AI120" s="467">
        <v>1.5552830594876399</v>
      </c>
      <c r="AJ120" s="478">
        <v>5.5752133823864507E-2</v>
      </c>
      <c r="AK120" s="478">
        <v>5.5872978500588498E-2</v>
      </c>
      <c r="AL120" s="354">
        <v>0.69361242772076559</v>
      </c>
      <c r="AM120" s="377">
        <v>0.69307013086039049</v>
      </c>
      <c r="AN120" s="353">
        <v>0.15</v>
      </c>
      <c r="AO120" s="378">
        <v>0.12</v>
      </c>
      <c r="AP120" s="238"/>
      <c r="AQ120" s="353">
        <v>-3.300191442993829</v>
      </c>
      <c r="AR120" s="379">
        <v>-2.8051914429938289</v>
      </c>
      <c r="AS120" s="238"/>
      <c r="AT120" s="456">
        <v>7.4999999999999997E-3</v>
      </c>
      <c r="AU120" s="238"/>
      <c r="AV120" s="353">
        <v>2.5000000000000001E-3</v>
      </c>
      <c r="AW120" s="425">
        <v>5.0000000000000001E-3</v>
      </c>
      <c r="AX120" s="354">
        <v>-8.5000000000000006E-2</v>
      </c>
      <c r="AY120" s="354"/>
      <c r="AZ120" s="488">
        <v>0.65</v>
      </c>
      <c r="BA120" s="488">
        <v>0.45</v>
      </c>
      <c r="BB120" s="433">
        <v>-0.495</v>
      </c>
      <c r="BC120" s="428"/>
      <c r="BD120" s="355">
        <v>3.4340000000000002</v>
      </c>
      <c r="BE120" s="238">
        <v>2.8906959227993321</v>
      </c>
      <c r="BF120" s="319"/>
      <c r="BG120" s="238">
        <v>0.5</v>
      </c>
      <c r="BH120" s="293"/>
      <c r="BI120" s="293"/>
      <c r="BJ120" s="238"/>
      <c r="BK120" s="319"/>
      <c r="BL120" s="238"/>
      <c r="BM120" s="238"/>
      <c r="BN120" s="256"/>
      <c r="BO120" s="256"/>
      <c r="BP120" s="293"/>
      <c r="BQ120" s="238"/>
      <c r="BR120" s="293"/>
      <c r="BS120" s="238"/>
      <c r="BT120" s="238"/>
      <c r="BU120" s="238"/>
      <c r="BV120" s="238"/>
      <c r="BW120" s="238"/>
      <c r="BX120" s="238"/>
      <c r="BY120" s="238"/>
      <c r="BZ120" s="238"/>
      <c r="CA120" s="238"/>
      <c r="CB120" s="238"/>
      <c r="CC120" s="238"/>
      <c r="CD120" s="238"/>
      <c r="CE120" s="238"/>
      <c r="CF120" s="238"/>
      <c r="CG120" s="238"/>
    </row>
    <row r="121" spans="1:85">
      <c r="A121" s="356">
        <v>39600</v>
      </c>
      <c r="B121" s="461">
        <v>3.4160000000000004</v>
      </c>
      <c r="C121" s="489">
        <v>-0.495</v>
      </c>
      <c r="D121" s="359">
        <v>-0.42715420971085072</v>
      </c>
      <c r="E121" s="359">
        <v>-0.42715420971085072</v>
      </c>
      <c r="F121" s="469">
        <v>0.15</v>
      </c>
      <c r="G121" s="470">
        <v>0.15</v>
      </c>
      <c r="H121" s="470">
        <v>0.185</v>
      </c>
      <c r="I121" s="471">
        <v>0.14499999999999999</v>
      </c>
      <c r="J121" s="470">
        <v>4.4999999999999998E-2</v>
      </c>
      <c r="K121" s="470">
        <v>0.12</v>
      </c>
      <c r="L121" s="470">
        <v>0.39</v>
      </c>
      <c r="M121" s="469">
        <v>-0.37</v>
      </c>
      <c r="N121" s="470">
        <v>0.24</v>
      </c>
      <c r="O121" s="471">
        <v>0.12</v>
      </c>
      <c r="P121" s="419">
        <v>-0.25</v>
      </c>
      <c r="Q121" s="388">
        <v>0.25750000000000001</v>
      </c>
      <c r="R121" s="475">
        <v>0.2225</v>
      </c>
      <c r="S121" s="365">
        <v>0.2225</v>
      </c>
      <c r="T121" s="274">
        <v>0.45</v>
      </c>
      <c r="U121" s="494">
        <v>0.2225</v>
      </c>
      <c r="V121" s="225">
        <v>2.9210000000000003</v>
      </c>
      <c r="W121" s="225">
        <v>2.9888457902891497</v>
      </c>
      <c r="X121" s="368">
        <v>2.9888457902891497</v>
      </c>
      <c r="Y121" s="490" t="s">
        <v>248</v>
      </c>
      <c r="Z121" s="465">
        <v>0.1</v>
      </c>
      <c r="AA121" s="481">
        <v>0.1</v>
      </c>
      <c r="AB121" s="487">
        <v>4.3053518686289749</v>
      </c>
      <c r="AC121" s="312">
        <v>4.4053518686289745</v>
      </c>
      <c r="AD121" s="368">
        <v>4.4053518686289745</v>
      </c>
      <c r="AE121" s="418">
        <v>3.1660000000000004</v>
      </c>
      <c r="AF121" s="373">
        <v>3.0460000000000003</v>
      </c>
      <c r="AG121" s="374">
        <v>3.5360000000000005</v>
      </c>
      <c r="AH121" s="423">
        <v>-0.255</v>
      </c>
      <c r="AI121" s="467">
        <v>1.5550795347854198</v>
      </c>
      <c r="AJ121" s="478">
        <v>5.5865746705056306E-2</v>
      </c>
      <c r="AK121" s="478">
        <v>5.6005042434092496E-2</v>
      </c>
      <c r="AL121" s="354">
        <v>0.68986884388149128</v>
      </c>
      <c r="AM121" s="377">
        <v>0.68923926810548486</v>
      </c>
      <c r="AN121" s="353">
        <v>0.15</v>
      </c>
      <c r="AO121" s="378">
        <v>0.124</v>
      </c>
      <c r="AP121" s="238"/>
      <c r="AQ121" s="353">
        <v>-3.3321825683889843</v>
      </c>
      <c r="AR121" s="379">
        <v>-2.8371825683889842</v>
      </c>
      <c r="AS121" s="238"/>
      <c r="AT121" s="456">
        <v>7.4999999999999997E-3</v>
      </c>
      <c r="AU121" s="238"/>
      <c r="AV121" s="353">
        <v>2.5000000000000001E-3</v>
      </c>
      <c r="AW121" s="425">
        <v>5.0000000000000001E-3</v>
      </c>
      <c r="AX121" s="354">
        <v>-8.5000000000000006E-2</v>
      </c>
      <c r="AY121" s="354"/>
      <c r="AZ121" s="488">
        <v>0.65</v>
      </c>
      <c r="BA121" s="488">
        <v>0.45</v>
      </c>
      <c r="BB121" s="433">
        <v>-0.495</v>
      </c>
      <c r="BC121" s="428"/>
      <c r="BD121" s="355">
        <v>3.4660000000000002</v>
      </c>
      <c r="BE121" s="238">
        <v>2.9226961447572291</v>
      </c>
      <c r="BF121" s="319"/>
      <c r="BG121" s="238">
        <v>0.5</v>
      </c>
      <c r="BH121" s="293"/>
      <c r="BI121" s="293"/>
      <c r="BJ121" s="238"/>
      <c r="BK121" s="319"/>
      <c r="BL121" s="238"/>
      <c r="BM121" s="238"/>
      <c r="BN121" s="256"/>
      <c r="BO121" s="256"/>
      <c r="BP121" s="293"/>
      <c r="BQ121" s="238"/>
      <c r="BR121" s="293"/>
      <c r="BS121" s="238"/>
      <c r="BT121" s="238"/>
      <c r="BU121" s="238"/>
      <c r="BV121" s="238"/>
      <c r="BW121" s="238"/>
      <c r="BX121" s="238"/>
      <c r="BY121" s="238"/>
      <c r="BZ121" s="238"/>
      <c r="CA121" s="238"/>
      <c r="CB121" s="238"/>
      <c r="CC121" s="238"/>
      <c r="CD121" s="238"/>
      <c r="CE121" s="238"/>
      <c r="CF121" s="238"/>
      <c r="CG121" s="238"/>
    </row>
    <row r="122" spans="1:85">
      <c r="A122" s="356">
        <v>39630</v>
      </c>
      <c r="B122" s="461">
        <v>3.4660000000000002</v>
      </c>
      <c r="C122" s="489">
        <v>-0.495</v>
      </c>
      <c r="D122" s="359">
        <v>-0.42714542086420293</v>
      </c>
      <c r="E122" s="359">
        <v>-0.42714542086420293</v>
      </c>
      <c r="F122" s="469">
        <v>0.15</v>
      </c>
      <c r="G122" s="470">
        <v>0.15</v>
      </c>
      <c r="H122" s="470">
        <v>0.185</v>
      </c>
      <c r="I122" s="471">
        <v>0.14499999999999999</v>
      </c>
      <c r="J122" s="470">
        <v>4.4999999999999998E-2</v>
      </c>
      <c r="K122" s="470">
        <v>0.12</v>
      </c>
      <c r="L122" s="470">
        <v>0.43</v>
      </c>
      <c r="M122" s="469">
        <v>-0.37</v>
      </c>
      <c r="N122" s="470">
        <v>0.24</v>
      </c>
      <c r="O122" s="471">
        <v>0.12</v>
      </c>
      <c r="P122" s="419">
        <v>-0.25</v>
      </c>
      <c r="Q122" s="388">
        <v>0.255</v>
      </c>
      <c r="R122" s="475">
        <v>0.22</v>
      </c>
      <c r="S122" s="365">
        <v>0.22</v>
      </c>
      <c r="T122" s="274">
        <v>0.5</v>
      </c>
      <c r="U122" s="494">
        <v>0.22</v>
      </c>
      <c r="V122" s="225">
        <v>2.9710000000000001</v>
      </c>
      <c r="W122" s="225">
        <v>3.0388545791357973</v>
      </c>
      <c r="X122" s="368">
        <v>3.0388545791357973</v>
      </c>
      <c r="Y122" s="415">
        <v>4.5357481158284445</v>
      </c>
      <c r="Z122" s="465">
        <v>0.1</v>
      </c>
      <c r="AA122" s="481">
        <v>0.1</v>
      </c>
      <c r="AB122" s="487">
        <v>4.3784812135584126</v>
      </c>
      <c r="AC122" s="312">
        <v>4.4784812135584122</v>
      </c>
      <c r="AD122" s="368">
        <v>4.4784812135584122</v>
      </c>
      <c r="AE122" s="418">
        <v>3.2160000000000002</v>
      </c>
      <c r="AF122" s="373">
        <v>3.0960000000000001</v>
      </c>
      <c r="AG122" s="374">
        <v>3.5860000000000003</v>
      </c>
      <c r="AH122" s="423">
        <v>-0.255</v>
      </c>
      <c r="AI122" s="467">
        <v>1.5548781135146699</v>
      </c>
      <c r="AJ122" s="478">
        <v>5.5975694658687999E-2</v>
      </c>
      <c r="AK122" s="478">
        <v>5.6132846246237801E-2</v>
      </c>
      <c r="AL122" s="354">
        <v>0.68625302775401109</v>
      </c>
      <c r="AM122" s="377">
        <v>0.68553794615347663</v>
      </c>
      <c r="AN122" s="353">
        <v>0.15</v>
      </c>
      <c r="AO122" s="378">
        <v>0.12</v>
      </c>
      <c r="AP122" s="238"/>
      <c r="AQ122" s="353">
        <v>-3.3821737832159635</v>
      </c>
      <c r="AR122" s="379">
        <v>-2.8871737832159634</v>
      </c>
      <c r="AS122" s="238"/>
      <c r="AT122" s="456">
        <v>7.4999999999999997E-3</v>
      </c>
      <c r="AU122" s="238"/>
      <c r="AV122" s="353">
        <v>2.5000000000000001E-3</v>
      </c>
      <c r="AW122" s="425">
        <v>5.0000000000000001E-3</v>
      </c>
      <c r="AX122" s="354">
        <v>-8.5000000000000006E-2</v>
      </c>
      <c r="AY122" s="354"/>
      <c r="AZ122" s="488">
        <v>0.7</v>
      </c>
      <c r="BA122" s="488">
        <v>0.5</v>
      </c>
      <c r="BB122" s="433">
        <v>-0.495</v>
      </c>
      <c r="BC122" s="428"/>
      <c r="BD122" s="355">
        <v>3.516</v>
      </c>
      <c r="BE122" s="238">
        <v>2.972696364478395</v>
      </c>
      <c r="BF122" s="319"/>
      <c r="BG122" s="238">
        <v>0.55000000000000004</v>
      </c>
      <c r="BH122" s="293"/>
      <c r="BI122" s="293"/>
      <c r="BJ122" s="238"/>
      <c r="BK122" s="319"/>
      <c r="BL122" s="238"/>
      <c r="BM122" s="238"/>
      <c r="BN122" s="256"/>
      <c r="BO122" s="256"/>
      <c r="BP122" s="293"/>
      <c r="BQ122" s="238"/>
      <c r="BR122" s="293"/>
      <c r="BS122" s="238"/>
      <c r="BT122" s="238"/>
      <c r="BU122" s="238"/>
      <c r="BV122" s="238"/>
      <c r="BW122" s="238"/>
      <c r="BX122" s="238"/>
      <c r="BY122" s="238"/>
      <c r="BZ122" s="238"/>
      <c r="CA122" s="238"/>
      <c r="CB122" s="238"/>
      <c r="CC122" s="238"/>
      <c r="CD122" s="238"/>
      <c r="CE122" s="238"/>
      <c r="CF122" s="238"/>
      <c r="CG122" s="238"/>
    </row>
    <row r="123" spans="1:85">
      <c r="A123" s="356">
        <v>39661</v>
      </c>
      <c r="B123" s="461">
        <v>3.5</v>
      </c>
      <c r="C123" s="489">
        <v>-0.495</v>
      </c>
      <c r="D123" s="359">
        <v>-0.42713613551898755</v>
      </c>
      <c r="E123" s="359">
        <v>-0.42713613551898755</v>
      </c>
      <c r="F123" s="469">
        <v>0.15</v>
      </c>
      <c r="G123" s="470">
        <v>0.15</v>
      </c>
      <c r="H123" s="470">
        <v>0.185</v>
      </c>
      <c r="I123" s="471">
        <v>0.14499999999999999</v>
      </c>
      <c r="J123" s="470">
        <v>4.4999999999999998E-2</v>
      </c>
      <c r="K123" s="470">
        <v>0.12</v>
      </c>
      <c r="L123" s="470">
        <v>0.43</v>
      </c>
      <c r="M123" s="469">
        <v>-0.37</v>
      </c>
      <c r="N123" s="470">
        <v>0.24</v>
      </c>
      <c r="O123" s="471">
        <v>0.12</v>
      </c>
      <c r="P123" s="419">
        <v>-0.25</v>
      </c>
      <c r="Q123" s="388">
        <v>0.255</v>
      </c>
      <c r="R123" s="475">
        <v>0.22</v>
      </c>
      <c r="S123" s="365">
        <v>0.22</v>
      </c>
      <c r="T123" s="274">
        <v>0.55000000000000004</v>
      </c>
      <c r="U123" s="494">
        <v>0.22</v>
      </c>
      <c r="V123" s="225">
        <v>3.0049999999999999</v>
      </c>
      <c r="W123" s="225">
        <v>3.0728638644810125</v>
      </c>
      <c r="X123" s="368">
        <v>3.0728638644810125</v>
      </c>
      <c r="Y123" s="415">
        <v>4.8449461605633397</v>
      </c>
      <c r="Z123" s="465">
        <v>0.1</v>
      </c>
      <c r="AA123" s="481">
        <v>0.1</v>
      </c>
      <c r="AB123" s="487">
        <v>4.4279824365745535</v>
      </c>
      <c r="AC123" s="312">
        <v>4.5279824365745531</v>
      </c>
      <c r="AD123" s="368">
        <v>4.5279824365745531</v>
      </c>
      <c r="AE123" s="418">
        <v>3.25</v>
      </c>
      <c r="AF123" s="373">
        <v>3.13</v>
      </c>
      <c r="AG123" s="374">
        <v>3.62</v>
      </c>
      <c r="AH123" s="423">
        <v>-0.255</v>
      </c>
      <c r="AI123" s="467">
        <v>1.55466537025045</v>
      </c>
      <c r="AJ123" s="478">
        <v>5.6089307548335299E-2</v>
      </c>
      <c r="AK123" s="478">
        <v>5.6264910191167E-2</v>
      </c>
      <c r="AL123" s="354">
        <v>0.68252402295669146</v>
      </c>
      <c r="AM123" s="377">
        <v>0.68171953925781703</v>
      </c>
      <c r="AN123" s="353">
        <v>0.15</v>
      </c>
      <c r="AO123" s="378">
        <v>0.12</v>
      </c>
      <c r="AP123" s="238"/>
      <c r="AQ123" s="353">
        <v>-3.4161645017519038</v>
      </c>
      <c r="AR123" s="379">
        <v>-2.9211645017519037</v>
      </c>
      <c r="AS123" s="238"/>
      <c r="AT123" s="456">
        <v>7.4999999999999997E-3</v>
      </c>
      <c r="AU123" s="238"/>
      <c r="AV123" s="353">
        <v>2.5000000000000001E-3</v>
      </c>
      <c r="AW123" s="425">
        <v>5.0000000000000001E-3</v>
      </c>
      <c r="AX123" s="354">
        <v>-8.5000000000000006E-2</v>
      </c>
      <c r="AY123" s="354"/>
      <c r="AZ123" s="488">
        <v>0.75</v>
      </c>
      <c r="BA123" s="488">
        <v>0.55000000000000004</v>
      </c>
      <c r="BB123" s="433">
        <v>-0.495</v>
      </c>
      <c r="BC123" s="428"/>
      <c r="BD123" s="355">
        <v>3.55</v>
      </c>
      <c r="BE123" s="238">
        <v>3.0066965966120254</v>
      </c>
      <c r="BF123" s="319"/>
      <c r="BG123" s="238">
        <v>0.6</v>
      </c>
      <c r="BH123" s="293"/>
      <c r="BI123" s="293"/>
      <c r="BJ123" s="238"/>
      <c r="BK123" s="319"/>
      <c r="BL123" s="238"/>
      <c r="BM123" s="238"/>
      <c r="BN123" s="256"/>
      <c r="BO123" s="256"/>
      <c r="BP123" s="293"/>
      <c r="BQ123" s="238"/>
      <c r="BR123" s="293"/>
      <c r="BS123" s="238"/>
      <c r="BT123" s="238"/>
      <c r="BU123" s="238"/>
      <c r="BV123" s="238"/>
      <c r="BW123" s="238"/>
      <c r="BX123" s="238"/>
      <c r="BY123" s="238"/>
      <c r="BZ123" s="238"/>
      <c r="CA123" s="238"/>
      <c r="CB123" s="238"/>
      <c r="CC123" s="238"/>
      <c r="CD123" s="238"/>
      <c r="CE123" s="238"/>
      <c r="CF123" s="238"/>
      <c r="CG123" s="238"/>
    </row>
    <row r="124" spans="1:85">
      <c r="A124" s="356">
        <v>39692</v>
      </c>
      <c r="B124" s="461">
        <v>3.5130000000000003</v>
      </c>
      <c r="C124" s="489">
        <v>-0.495</v>
      </c>
      <c r="D124" s="359">
        <v>-0.42712664325283134</v>
      </c>
      <c r="E124" s="359">
        <v>-0.42712664325283134</v>
      </c>
      <c r="F124" s="469">
        <v>0.15</v>
      </c>
      <c r="G124" s="470">
        <v>0.15</v>
      </c>
      <c r="H124" s="470">
        <v>0.185</v>
      </c>
      <c r="I124" s="471">
        <v>0.14499999999999999</v>
      </c>
      <c r="J124" s="470">
        <v>4.4999999999999998E-2</v>
      </c>
      <c r="K124" s="470">
        <v>0.12</v>
      </c>
      <c r="L124" s="470">
        <v>0.38</v>
      </c>
      <c r="M124" s="469">
        <v>-0.37</v>
      </c>
      <c r="N124" s="470">
        <v>0.24</v>
      </c>
      <c r="O124" s="471">
        <v>0.12</v>
      </c>
      <c r="P124" s="419">
        <v>-0.25</v>
      </c>
      <c r="Q124" s="388">
        <v>0.255</v>
      </c>
      <c r="R124" s="475">
        <v>0.22</v>
      </c>
      <c r="S124" s="365">
        <v>0.22</v>
      </c>
      <c r="T124" s="274">
        <v>0.55000000000000004</v>
      </c>
      <c r="U124" s="494">
        <v>0.22</v>
      </c>
      <c r="V124" s="225">
        <v>3.0180000000000002</v>
      </c>
      <c r="W124" s="225">
        <v>3.085873356747169</v>
      </c>
      <c r="X124" s="368">
        <v>3.085873356747169</v>
      </c>
      <c r="Y124" s="415">
        <v>4.3148923695892325</v>
      </c>
      <c r="Z124" s="465">
        <v>0.1</v>
      </c>
      <c r="AA124" s="481">
        <v>0.1</v>
      </c>
      <c r="AB124" s="487">
        <v>4.4465164898830265</v>
      </c>
      <c r="AC124" s="312">
        <v>4.5465164898830261</v>
      </c>
      <c r="AD124" s="368">
        <v>4.5465164898830261</v>
      </c>
      <c r="AE124" s="418">
        <v>3.2630000000000003</v>
      </c>
      <c r="AF124" s="373">
        <v>3.1430000000000002</v>
      </c>
      <c r="AG124" s="374">
        <v>3.6330000000000005</v>
      </c>
      <c r="AH124" s="423">
        <v>-0.255</v>
      </c>
      <c r="AI124" s="467">
        <v>1.55444794623924</v>
      </c>
      <c r="AJ124" s="478">
        <v>5.6202920442279994E-2</v>
      </c>
      <c r="AK124" s="478">
        <v>5.6396974141901306E-2</v>
      </c>
      <c r="AL124" s="354">
        <v>0.67880257566830027</v>
      </c>
      <c r="AM124" s="377">
        <v>0.67790765798232833</v>
      </c>
      <c r="AN124" s="353">
        <v>0.15</v>
      </c>
      <c r="AO124" s="378">
        <v>0.124</v>
      </c>
      <c r="AP124" s="238"/>
      <c r="AQ124" s="353">
        <v>-3.4291550134533946</v>
      </c>
      <c r="AR124" s="379">
        <v>-2.9341550134533945</v>
      </c>
      <c r="AS124" s="238"/>
      <c r="AT124" s="456">
        <v>7.4999999999999997E-3</v>
      </c>
      <c r="AU124" s="238"/>
      <c r="AV124" s="353">
        <v>2.5000000000000001E-3</v>
      </c>
      <c r="AW124" s="425">
        <v>5.0000000000000001E-3</v>
      </c>
      <c r="AX124" s="354">
        <v>-8.5000000000000006E-2</v>
      </c>
      <c r="AY124" s="354"/>
      <c r="AZ124" s="488">
        <v>0.75</v>
      </c>
      <c r="BA124" s="488">
        <v>0.55000000000000004</v>
      </c>
      <c r="BB124" s="433">
        <v>-0.495</v>
      </c>
      <c r="BC124" s="428"/>
      <c r="BD124" s="355">
        <v>3.5630000000000002</v>
      </c>
      <c r="BE124" s="238">
        <v>3.0196968339186796</v>
      </c>
      <c r="BF124" s="319"/>
      <c r="BG124" s="238">
        <v>0.6</v>
      </c>
      <c r="BH124" s="293"/>
      <c r="BI124" s="293"/>
      <c r="BJ124" s="238"/>
      <c r="BK124" s="319"/>
      <c r="BL124" s="238"/>
      <c r="BM124" s="238"/>
      <c r="BN124" s="256"/>
      <c r="BO124" s="256"/>
      <c r="BP124" s="293"/>
      <c r="BQ124" s="238"/>
      <c r="BR124" s="293"/>
      <c r="BS124" s="238"/>
      <c r="BT124" s="238"/>
      <c r="BU124" s="238"/>
      <c r="BV124" s="238"/>
      <c r="BW124" s="238"/>
      <c r="BX124" s="238"/>
      <c r="BY124" s="238"/>
      <c r="BZ124" s="238"/>
      <c r="CA124" s="238"/>
      <c r="CB124" s="238"/>
      <c r="CC124" s="238"/>
      <c r="CD124" s="238"/>
      <c r="CE124" s="238"/>
      <c r="CF124" s="238"/>
      <c r="CG124" s="238"/>
    </row>
    <row r="125" spans="1:85">
      <c r="A125" s="356">
        <v>39722</v>
      </c>
      <c r="B125" s="461">
        <v>3.5249999999999999</v>
      </c>
      <c r="C125" s="489">
        <v>-0.495</v>
      </c>
      <c r="D125" s="359">
        <v>-0.42713691321647795</v>
      </c>
      <c r="E125" s="359">
        <v>-0.42713691321647795</v>
      </c>
      <c r="F125" s="469">
        <v>0.15</v>
      </c>
      <c r="G125" s="470">
        <v>0.15</v>
      </c>
      <c r="H125" s="470">
        <v>0.185</v>
      </c>
      <c r="I125" s="471">
        <v>0.14499999999999999</v>
      </c>
      <c r="J125" s="470">
        <v>4.4999999999999998E-2</v>
      </c>
      <c r="K125" s="470">
        <v>0.12</v>
      </c>
      <c r="L125" s="470">
        <v>0.42</v>
      </c>
      <c r="M125" s="469">
        <v>-0.37</v>
      </c>
      <c r="N125" s="470">
        <v>0.24</v>
      </c>
      <c r="O125" s="471">
        <v>0.12</v>
      </c>
      <c r="P125" s="419">
        <v>-0.25</v>
      </c>
      <c r="Q125" s="388">
        <v>0.255</v>
      </c>
      <c r="R125" s="475">
        <v>0.22</v>
      </c>
      <c r="S125" s="365">
        <v>0.22</v>
      </c>
      <c r="T125" s="274">
        <v>0.6</v>
      </c>
      <c r="U125" s="494">
        <v>0.22</v>
      </c>
      <c r="V125" s="225">
        <v>3.03</v>
      </c>
      <c r="W125" s="225">
        <v>3.097863086783522</v>
      </c>
      <c r="X125" s="368">
        <v>3.097863086783522</v>
      </c>
      <c r="Y125" s="318" t="s">
        <v>240</v>
      </c>
      <c r="Z125" s="465">
        <v>0.1</v>
      </c>
      <c r="AA125" s="481">
        <v>0.1</v>
      </c>
      <c r="AB125" s="487">
        <v>4.4648720587459536</v>
      </c>
      <c r="AC125" s="312">
        <v>4.5648720587459533</v>
      </c>
      <c r="AD125" s="368">
        <v>4.5648720587459533</v>
      </c>
      <c r="AE125" s="418">
        <v>3.2749999999999999</v>
      </c>
      <c r="AF125" s="373">
        <v>3.1549999999999998</v>
      </c>
      <c r="AG125" s="374">
        <v>3.645</v>
      </c>
      <c r="AH125" s="423">
        <v>-0.255</v>
      </c>
      <c r="AI125" s="467">
        <v>1.5546831864066901</v>
      </c>
      <c r="AJ125" s="478">
        <v>5.6312868408252996E-2</v>
      </c>
      <c r="AK125" s="478">
        <v>5.6482676264709895E-2</v>
      </c>
      <c r="AL125" s="354">
        <v>0.67520846385788946</v>
      </c>
      <c r="AM125" s="377">
        <v>0.67442033156398962</v>
      </c>
      <c r="AN125" s="353">
        <v>0.15</v>
      </c>
      <c r="AO125" s="378">
        <v>0.12</v>
      </c>
      <c r="AP125" s="238"/>
      <c r="AQ125" s="353">
        <v>-3.4381652791243269</v>
      </c>
      <c r="AR125" s="379">
        <v>-2.9431652791243268</v>
      </c>
      <c r="AS125" s="238"/>
      <c r="AT125" s="456">
        <v>7.4999999999999997E-3</v>
      </c>
      <c r="AU125" s="238"/>
      <c r="AV125" s="353">
        <v>2.5000000000000001E-3</v>
      </c>
      <c r="AW125" s="425">
        <v>5.0000000000000001E-3</v>
      </c>
      <c r="AX125" s="354">
        <v>-8.5000000000000006E-2</v>
      </c>
      <c r="AY125" s="354"/>
      <c r="AZ125" s="488">
        <v>0.85</v>
      </c>
      <c r="BA125" s="488">
        <v>0.6</v>
      </c>
      <c r="BB125" s="433">
        <v>-0.495</v>
      </c>
      <c r="BC125" s="428"/>
      <c r="BD125" s="355">
        <v>3.5750000000000002</v>
      </c>
      <c r="BE125" s="238">
        <v>3.0316965771695878</v>
      </c>
      <c r="BF125" s="319"/>
      <c r="BG125" s="238">
        <v>0.65</v>
      </c>
      <c r="BH125" s="293"/>
      <c r="BI125" s="293"/>
      <c r="BJ125" s="238"/>
      <c r="BK125" s="319"/>
      <c r="BL125" s="238"/>
      <c r="BM125" s="238"/>
      <c r="BN125" s="256"/>
      <c r="BO125" s="256"/>
      <c r="BP125" s="293"/>
      <c r="BQ125" s="238"/>
      <c r="BR125" s="293"/>
      <c r="BS125" s="238"/>
      <c r="BT125" s="238"/>
      <c r="BU125" s="238"/>
      <c r="BV125" s="238"/>
      <c r="BW125" s="238"/>
      <c r="BX125" s="238"/>
      <c r="BY125" s="238"/>
      <c r="BZ125" s="238"/>
      <c r="CA125" s="238"/>
      <c r="CB125" s="238"/>
      <c r="CC125" s="238"/>
      <c r="CD125" s="238"/>
      <c r="CE125" s="238"/>
      <c r="CF125" s="238"/>
      <c r="CG125" s="238"/>
    </row>
    <row r="126" spans="1:85">
      <c r="A126" s="460">
        <v>39753</v>
      </c>
      <c r="B126" s="461">
        <v>3.67</v>
      </c>
      <c r="C126" s="468">
        <v>-0.48499999999999999</v>
      </c>
      <c r="D126" s="359">
        <v>-0.41715405151668516</v>
      </c>
      <c r="E126" s="359">
        <v>-0.12000000000000055</v>
      </c>
      <c r="F126" s="469">
        <v>0.17499999999999999</v>
      </c>
      <c r="G126" s="470">
        <v>0.34499999999999997</v>
      </c>
      <c r="H126" s="470">
        <v>0.28499999999999998</v>
      </c>
      <c r="I126" s="471">
        <v>0.38500000000000001</v>
      </c>
      <c r="J126" s="470">
        <v>0.13</v>
      </c>
      <c r="K126" s="470">
        <v>0.16</v>
      </c>
      <c r="L126" s="470">
        <v>0.73</v>
      </c>
      <c r="M126" s="469">
        <v>-0.2</v>
      </c>
      <c r="N126" s="470">
        <v>0.24</v>
      </c>
      <c r="O126" s="471">
        <v>0</v>
      </c>
      <c r="P126" s="419">
        <v>0.248</v>
      </c>
      <c r="Q126" s="388">
        <v>0.19500000000000001</v>
      </c>
      <c r="R126" s="475">
        <v>0.22</v>
      </c>
      <c r="S126" s="365">
        <v>0.22</v>
      </c>
      <c r="T126" s="274">
        <v>0.8</v>
      </c>
      <c r="U126" s="494">
        <v>0.22</v>
      </c>
      <c r="V126" s="225">
        <v>3.1850000000000001</v>
      </c>
      <c r="W126" s="225">
        <v>3.2528459484833148</v>
      </c>
      <c r="X126" s="368">
        <v>3.55</v>
      </c>
      <c r="Y126" s="415"/>
      <c r="Z126" s="465">
        <v>0.1</v>
      </c>
      <c r="AA126" s="481">
        <v>0.53798348782722272</v>
      </c>
      <c r="AB126" s="487">
        <v>4.694458654053987</v>
      </c>
      <c r="AC126" s="312">
        <v>4.7944586540539866</v>
      </c>
      <c r="AD126" s="368">
        <v>5.2324421418812097</v>
      </c>
      <c r="AE126" s="418">
        <v>3.9180000000000001</v>
      </c>
      <c r="AF126" s="373">
        <v>3.47</v>
      </c>
      <c r="AG126" s="374">
        <v>3.67</v>
      </c>
      <c r="AH126" s="423">
        <v>-0.18</v>
      </c>
      <c r="AI126" s="467">
        <v>1.55507590885764</v>
      </c>
      <c r="AJ126" s="478">
        <v>5.6426481310651901E-2</v>
      </c>
      <c r="AK126" s="478">
        <v>5.6557994445790405E-2</v>
      </c>
      <c r="AL126" s="354">
        <v>0.67150217525733147</v>
      </c>
      <c r="AM126" s="377">
        <v>0.67088779665157305</v>
      </c>
      <c r="AN126" s="353">
        <v>0.34499999999999997</v>
      </c>
      <c r="AO126" s="378">
        <v>0.124</v>
      </c>
      <c r="AP126" s="238"/>
      <c r="AQ126" s="353">
        <v>-3.2849478034327992</v>
      </c>
      <c r="AR126" s="379">
        <v>-2.7999478034327994</v>
      </c>
      <c r="AS126" s="238"/>
      <c r="AT126" s="456">
        <v>7.4999999999999997E-3</v>
      </c>
      <c r="AU126" s="238"/>
      <c r="AV126" s="353">
        <v>8.0000000000000002E-3</v>
      </c>
      <c r="AW126" s="425">
        <v>0.02</v>
      </c>
      <c r="AX126" s="354">
        <v>5.0000000000000001E-3</v>
      </c>
      <c r="AY126" s="354"/>
      <c r="AZ126" s="488">
        <v>1.05</v>
      </c>
      <c r="BA126" s="488">
        <v>0.8</v>
      </c>
      <c r="BB126" s="433">
        <v>-0.48499999999999999</v>
      </c>
      <c r="BC126" s="428"/>
      <c r="BD126" s="355">
        <v>3.82</v>
      </c>
      <c r="BE126" s="238">
        <v>3.1904276758786652</v>
      </c>
      <c r="BF126" s="319"/>
      <c r="BG126" s="238">
        <v>0.8</v>
      </c>
      <c r="BH126" s="293"/>
      <c r="BI126" s="293"/>
      <c r="BJ126" s="238"/>
      <c r="BK126" s="319"/>
      <c r="BL126" s="238"/>
      <c r="BM126" s="238"/>
      <c r="BN126" s="256"/>
      <c r="BO126" s="256"/>
      <c r="BP126" s="293"/>
      <c r="BQ126" s="238"/>
      <c r="BR126" s="293"/>
      <c r="BS126" s="238"/>
      <c r="BT126" s="238"/>
      <c r="BU126" s="238"/>
      <c r="BV126" s="238"/>
      <c r="BW126" s="238"/>
      <c r="BX126" s="238"/>
      <c r="BY126" s="238"/>
      <c r="BZ126" s="238"/>
      <c r="CA126" s="238"/>
      <c r="CB126" s="238"/>
      <c r="CC126" s="238"/>
      <c r="CD126" s="238"/>
      <c r="CE126" s="238"/>
      <c r="CF126" s="238"/>
      <c r="CG126" s="238"/>
    </row>
    <row r="127" spans="1:85">
      <c r="A127" s="356">
        <v>39783</v>
      </c>
      <c r="B127" s="461">
        <v>3.8210000000000002</v>
      </c>
      <c r="C127" s="493">
        <v>-0.48499999999999999</v>
      </c>
      <c r="D127" s="359">
        <v>-0.41717103961134105</v>
      </c>
      <c r="E127" s="359">
        <v>-0.12</v>
      </c>
      <c r="F127" s="469">
        <v>0.17499999999999999</v>
      </c>
      <c r="G127" s="470">
        <v>0.34499999999999997</v>
      </c>
      <c r="H127" s="470">
        <v>0.28499999999999998</v>
      </c>
      <c r="I127" s="471">
        <v>0.38500000000000001</v>
      </c>
      <c r="J127" s="470">
        <v>0.13</v>
      </c>
      <c r="K127" s="470">
        <v>0.16</v>
      </c>
      <c r="L127" s="470">
        <v>0.98</v>
      </c>
      <c r="M127" s="469">
        <v>-0.2</v>
      </c>
      <c r="N127" s="470">
        <v>0.24</v>
      </c>
      <c r="O127" s="471">
        <v>0</v>
      </c>
      <c r="P127" s="419">
        <v>0.308</v>
      </c>
      <c r="Q127" s="388">
        <v>0.19750000000000001</v>
      </c>
      <c r="R127" s="475">
        <v>0.2225</v>
      </c>
      <c r="S127" s="365">
        <v>0.2225</v>
      </c>
      <c r="T127" s="274">
        <v>1</v>
      </c>
      <c r="U127" s="494">
        <v>0.2225</v>
      </c>
      <c r="V127" s="225">
        <v>3.3360000000000003</v>
      </c>
      <c r="W127" s="225">
        <v>3.4038289603886591</v>
      </c>
      <c r="X127" s="368">
        <v>3.7010000000000001</v>
      </c>
      <c r="Y127" s="318" t="s">
        <v>238</v>
      </c>
      <c r="Z127" s="465">
        <v>0.1</v>
      </c>
      <c r="AA127" s="481">
        <v>0.53811822842124446</v>
      </c>
      <c r="AB127" s="487">
        <v>4.9182531781185572</v>
      </c>
      <c r="AC127" s="312">
        <v>5.0182531781185569</v>
      </c>
      <c r="AD127" s="368">
        <v>5.4563714065398017</v>
      </c>
      <c r="AE127" s="418">
        <v>4.1290000000000004</v>
      </c>
      <c r="AF127" s="373">
        <v>3.621</v>
      </c>
      <c r="AG127" s="374">
        <v>3.8210000000000002</v>
      </c>
      <c r="AH127" s="423">
        <v>-0.18</v>
      </c>
      <c r="AI127" s="467">
        <v>1.5554653852197398</v>
      </c>
      <c r="AJ127" s="478">
        <v>5.6536429284806705E-2</v>
      </c>
      <c r="AK127" s="478">
        <v>5.6630883009923999E-2</v>
      </c>
      <c r="AL127" s="354">
        <v>0.66792291546933724</v>
      </c>
      <c r="AM127" s="377">
        <v>0.66747894314654754</v>
      </c>
      <c r="AN127" s="353">
        <v>0.34499999999999997</v>
      </c>
      <c r="AO127" s="378">
        <v>0.12</v>
      </c>
      <c r="AP127" s="238"/>
      <c r="AQ127" s="353">
        <v>-3.4399484436345564</v>
      </c>
      <c r="AR127" s="379">
        <v>-2.9549484436345566</v>
      </c>
      <c r="AS127" s="238"/>
      <c r="AT127" s="456">
        <v>7.4999999999999997E-3</v>
      </c>
      <c r="AU127" s="238"/>
      <c r="AV127" s="353">
        <v>8.0000000000000002E-3</v>
      </c>
      <c r="AW127" s="425">
        <v>0.02</v>
      </c>
      <c r="AX127" s="354">
        <v>0.01</v>
      </c>
      <c r="AY127" s="354"/>
      <c r="AZ127" s="488">
        <v>1.25</v>
      </c>
      <c r="BA127" s="488">
        <v>1</v>
      </c>
      <c r="BB127" s="433">
        <v>-0.48499999999999999</v>
      </c>
      <c r="BC127" s="428"/>
      <c r="BD127" s="355">
        <v>3.9710000000000001</v>
      </c>
      <c r="BE127" s="238">
        <v>3.3414263168310931</v>
      </c>
      <c r="BF127" s="319"/>
      <c r="BG127" s="238">
        <v>1.1000000000000001</v>
      </c>
      <c r="BH127" s="293"/>
      <c r="BI127" s="293"/>
      <c r="BJ127" s="238"/>
      <c r="BK127" s="319"/>
      <c r="BL127" s="238"/>
      <c r="BM127" s="238"/>
      <c r="BN127" s="256"/>
      <c r="BO127" s="256"/>
      <c r="BP127" s="293"/>
      <c r="BQ127" s="238"/>
      <c r="BR127" s="293"/>
      <c r="BS127" s="238"/>
      <c r="BT127" s="238"/>
      <c r="BU127" s="238"/>
      <c r="BV127" s="238"/>
      <c r="BW127" s="238"/>
      <c r="BX127" s="238"/>
      <c r="BY127" s="238"/>
      <c r="BZ127" s="238"/>
      <c r="CA127" s="238"/>
      <c r="CB127" s="238"/>
      <c r="CC127" s="238"/>
      <c r="CD127" s="238"/>
      <c r="CE127" s="238"/>
      <c r="CF127" s="238"/>
      <c r="CG127" s="238"/>
    </row>
    <row r="128" spans="1:85">
      <c r="A128" s="356">
        <v>39814</v>
      </c>
      <c r="B128" s="461">
        <v>3.907</v>
      </c>
      <c r="C128" s="493">
        <v>-0.48499999999999999</v>
      </c>
      <c r="D128" s="359">
        <v>-0.41718900966116435</v>
      </c>
      <c r="E128" s="359">
        <v>-0.12</v>
      </c>
      <c r="F128" s="469">
        <v>0.17499999999999999</v>
      </c>
      <c r="G128" s="470">
        <v>0.34499999999999997</v>
      </c>
      <c r="H128" s="470">
        <v>0.28499999999999998</v>
      </c>
      <c r="I128" s="471">
        <v>0.38500000000000001</v>
      </c>
      <c r="J128" s="470">
        <v>0.13</v>
      </c>
      <c r="K128" s="470">
        <v>0.16</v>
      </c>
      <c r="L128" s="470">
        <v>1.6</v>
      </c>
      <c r="M128" s="469">
        <v>-0.2</v>
      </c>
      <c r="N128" s="470">
        <v>0.24</v>
      </c>
      <c r="O128" s="471">
        <v>0</v>
      </c>
      <c r="P128" s="419">
        <v>0.37800000000000006</v>
      </c>
      <c r="Q128" s="388">
        <v>0.19750000000000001</v>
      </c>
      <c r="R128" s="475">
        <v>0.22500000000000001</v>
      </c>
      <c r="S128" s="365">
        <v>0.22500000000000001</v>
      </c>
      <c r="T128" s="274">
        <v>1</v>
      </c>
      <c r="U128" s="494">
        <v>0.22500000000000001</v>
      </c>
      <c r="V128" s="225">
        <v>3.4220000000000002</v>
      </c>
      <c r="W128" s="225">
        <v>3.4898109903388357</v>
      </c>
      <c r="X128" s="368">
        <v>3.7869999999999999</v>
      </c>
      <c r="Y128" s="415"/>
      <c r="Z128" s="465">
        <v>0.1</v>
      </c>
      <c r="AA128" s="481">
        <v>0.53826083084199094</v>
      </c>
      <c r="AB128" s="487">
        <v>5.0463796250446462</v>
      </c>
      <c r="AC128" s="312">
        <v>5.1463796250446459</v>
      </c>
      <c r="AD128" s="368">
        <v>5.5846404558866372</v>
      </c>
      <c r="AE128" s="418">
        <v>4.2850000000000001</v>
      </c>
      <c r="AF128" s="373">
        <v>3.7069999999999999</v>
      </c>
      <c r="AG128" s="374">
        <v>3.907</v>
      </c>
      <c r="AH128" s="423">
        <v>-0.18</v>
      </c>
      <c r="AI128" s="467">
        <v>1.55587758669816</v>
      </c>
      <c r="AJ128" s="478">
        <v>5.6650042195659299E-2</v>
      </c>
      <c r="AK128" s="478">
        <v>5.6706201194719197E-2</v>
      </c>
      <c r="AL128" s="354">
        <v>0.66423216046809241</v>
      </c>
      <c r="AM128" s="377">
        <v>0.66396654727683957</v>
      </c>
      <c r="AN128" s="353">
        <v>0.34499999999999997</v>
      </c>
      <c r="AO128" s="378">
        <v>0.12</v>
      </c>
      <c r="AP128" s="238"/>
      <c r="AQ128" s="353">
        <v>-3.524949270788893</v>
      </c>
      <c r="AR128" s="379">
        <v>-3.0399492707888931</v>
      </c>
      <c r="AS128" s="238"/>
      <c r="AT128" s="456">
        <v>7.4999999999999997E-3</v>
      </c>
      <c r="AU128" s="238"/>
      <c r="AV128" s="353">
        <v>8.0000000000000002E-3</v>
      </c>
      <c r="AW128" s="425">
        <v>0.02</v>
      </c>
      <c r="AX128" s="354">
        <v>0.03</v>
      </c>
      <c r="AY128" s="354"/>
      <c r="AZ128" s="488">
        <v>1.25</v>
      </c>
      <c r="BA128" s="488">
        <v>1</v>
      </c>
      <c r="BB128" s="433">
        <v>-0.48499999999999999</v>
      </c>
      <c r="BC128" s="428"/>
      <c r="BD128" s="355">
        <v>4.0569999999999995</v>
      </c>
      <c r="BE128" s="238">
        <v>3.4274248792271069</v>
      </c>
      <c r="BF128" s="319"/>
      <c r="BG128" s="238">
        <v>1.1000000000000001</v>
      </c>
      <c r="BH128" s="293"/>
      <c r="BI128" s="293"/>
      <c r="BJ128" s="238"/>
      <c r="BK128" s="319"/>
      <c r="BL128" s="238"/>
      <c r="BM128" s="238"/>
      <c r="BN128" s="256"/>
      <c r="BO128" s="256"/>
      <c r="BP128" s="293"/>
      <c r="BQ128" s="238"/>
      <c r="BR128" s="293"/>
      <c r="BS128" s="238"/>
      <c r="BT128" s="238"/>
      <c r="BU128" s="238"/>
      <c r="BV128" s="238"/>
      <c r="BW128" s="238"/>
      <c r="BX128" s="238"/>
      <c r="BY128" s="238"/>
      <c r="BZ128" s="238"/>
      <c r="CA128" s="238"/>
      <c r="CB128" s="238"/>
      <c r="CC128" s="238"/>
      <c r="CD128" s="238"/>
      <c r="CE128" s="238"/>
      <c r="CF128" s="238"/>
      <c r="CG128" s="238"/>
    </row>
    <row r="129" spans="1:85">
      <c r="A129" s="356">
        <v>39845</v>
      </c>
      <c r="B129" s="461">
        <v>3.7930000000000001</v>
      </c>
      <c r="C129" s="493">
        <v>-0.48499999999999999</v>
      </c>
      <c r="D129" s="359">
        <v>-0.41720740181803562</v>
      </c>
      <c r="E129" s="359">
        <v>-0.12</v>
      </c>
      <c r="F129" s="469">
        <v>0.17499999999999999</v>
      </c>
      <c r="G129" s="470">
        <v>0.34499999999999997</v>
      </c>
      <c r="H129" s="470">
        <v>0.28499999999999998</v>
      </c>
      <c r="I129" s="471">
        <v>0.38500000000000001</v>
      </c>
      <c r="J129" s="470">
        <v>0.13</v>
      </c>
      <c r="K129" s="470">
        <v>0.16</v>
      </c>
      <c r="L129" s="470">
        <v>1.6</v>
      </c>
      <c r="M129" s="469">
        <v>-0.2</v>
      </c>
      <c r="N129" s="470">
        <v>0.24</v>
      </c>
      <c r="O129" s="471">
        <v>0</v>
      </c>
      <c r="P129" s="419">
        <v>0.248</v>
      </c>
      <c r="Q129" s="388">
        <v>0.1925</v>
      </c>
      <c r="R129" s="475">
        <v>0.22</v>
      </c>
      <c r="S129" s="365">
        <v>0.22</v>
      </c>
      <c r="T129" s="274">
        <v>1</v>
      </c>
      <c r="U129" s="494">
        <v>0.22</v>
      </c>
      <c r="V129" s="225">
        <v>3.3080000000000003</v>
      </c>
      <c r="W129" s="225">
        <v>3.3757925981819645</v>
      </c>
      <c r="X129" s="368">
        <v>3.673</v>
      </c>
      <c r="Y129" s="226"/>
      <c r="Z129" s="465">
        <v>0.1</v>
      </c>
      <c r="AA129" s="481">
        <v>0.53840686120376802</v>
      </c>
      <c r="AB129" s="487">
        <v>4.8795887585262063</v>
      </c>
      <c r="AC129" s="312">
        <v>4.979588758526206</v>
      </c>
      <c r="AD129" s="368">
        <v>5.4179956197299743</v>
      </c>
      <c r="AE129" s="418">
        <v>4.0410000000000004</v>
      </c>
      <c r="AF129" s="373">
        <v>3.593</v>
      </c>
      <c r="AG129" s="374">
        <v>3.7930000000000001</v>
      </c>
      <c r="AH129" s="423">
        <v>-0.18</v>
      </c>
      <c r="AI129" s="467">
        <v>1.5562996968608298</v>
      </c>
      <c r="AJ129" s="478">
        <v>5.6763655110807901E-2</v>
      </c>
      <c r="AK129" s="478">
        <v>5.6781519381402301E-2</v>
      </c>
      <c r="AL129" s="354">
        <v>0.66054944085317657</v>
      </c>
      <c r="AM129" s="377">
        <v>0.66046443595334881</v>
      </c>
      <c r="AN129" s="353">
        <v>0.34499999999999997</v>
      </c>
      <c r="AO129" s="378">
        <v>0.13300000000000001</v>
      </c>
      <c r="AP129" s="238"/>
      <c r="AQ129" s="353">
        <v>-3.4109502662488786</v>
      </c>
      <c r="AR129" s="379">
        <v>-2.9259502662488788</v>
      </c>
      <c r="AS129" s="238"/>
      <c r="AT129" s="456">
        <v>7.4999999999999997E-3</v>
      </c>
      <c r="AU129" s="238"/>
      <c r="AV129" s="353">
        <v>8.0000000000000002E-3</v>
      </c>
      <c r="AW129" s="425">
        <v>0.02</v>
      </c>
      <c r="AX129" s="354">
        <v>2.5000000000000001E-2</v>
      </c>
      <c r="AY129" s="354"/>
      <c r="AZ129" s="488">
        <v>1.25</v>
      </c>
      <c r="BA129" s="488">
        <v>1</v>
      </c>
      <c r="BB129" s="433">
        <v>-0.48499999999999999</v>
      </c>
      <c r="BC129" s="428"/>
      <c r="BD129" s="355">
        <v>3.9430000000000001</v>
      </c>
      <c r="BE129" s="238">
        <v>3.3134234078545575</v>
      </c>
      <c r="BF129" s="319"/>
      <c r="BG129" s="238">
        <v>1.1000000000000001</v>
      </c>
      <c r="BH129" s="293"/>
      <c r="BI129" s="293"/>
      <c r="BJ129" s="238"/>
      <c r="BK129" s="319"/>
      <c r="BL129" s="238"/>
      <c r="BM129" s="238"/>
      <c r="BN129" s="256"/>
      <c r="BO129" s="256"/>
      <c r="BP129" s="293"/>
      <c r="BQ129" s="238"/>
      <c r="BR129" s="293"/>
      <c r="BS129" s="238"/>
      <c r="BT129" s="238"/>
      <c r="BU129" s="238"/>
      <c r="BV129" s="238"/>
      <c r="BW129" s="238"/>
      <c r="BX129" s="238"/>
      <c r="BY129" s="238"/>
      <c r="BZ129" s="238"/>
      <c r="CA129" s="238"/>
      <c r="CB129" s="238"/>
      <c r="CC129" s="238"/>
      <c r="CD129" s="238"/>
      <c r="CE129" s="238"/>
      <c r="CF129" s="238"/>
      <c r="CG129" s="238"/>
    </row>
    <row r="130" spans="1:85">
      <c r="A130" s="356">
        <v>39873</v>
      </c>
      <c r="B130" s="461">
        <v>3.661</v>
      </c>
      <c r="C130" s="493">
        <v>-0.48499999999999999</v>
      </c>
      <c r="D130" s="359">
        <v>-0.41722437656219213</v>
      </c>
      <c r="E130" s="359">
        <v>-0.12</v>
      </c>
      <c r="F130" s="469">
        <v>0.17499999999999999</v>
      </c>
      <c r="G130" s="470">
        <v>0.34499999999999997</v>
      </c>
      <c r="H130" s="470">
        <v>0.28499999999999998</v>
      </c>
      <c r="I130" s="471">
        <v>0.38500000000000001</v>
      </c>
      <c r="J130" s="470">
        <v>0.13</v>
      </c>
      <c r="K130" s="470">
        <v>0.16</v>
      </c>
      <c r="L130" s="470">
        <v>0.72</v>
      </c>
      <c r="M130" s="469">
        <v>-0.2</v>
      </c>
      <c r="N130" s="470">
        <v>0.24</v>
      </c>
      <c r="O130" s="471">
        <v>0</v>
      </c>
      <c r="P130" s="419">
        <v>6.8000000000000005E-2</v>
      </c>
      <c r="Q130" s="388">
        <v>0.1825</v>
      </c>
      <c r="R130" s="475">
        <v>0.20499999999999999</v>
      </c>
      <c r="S130" s="365">
        <v>0.20499999999999999</v>
      </c>
      <c r="T130" s="274">
        <v>0.75</v>
      </c>
      <c r="U130" s="494">
        <v>0.20499999999999999</v>
      </c>
      <c r="V130" s="225">
        <v>3.1760000000000002</v>
      </c>
      <c r="W130" s="225">
        <v>3.2437756234378079</v>
      </c>
      <c r="X130" s="368">
        <v>3.5409999999999999</v>
      </c>
      <c r="Y130" s="226"/>
      <c r="Z130" s="465">
        <v>0.1</v>
      </c>
      <c r="AA130" s="481">
        <v>0.53854170789727807</v>
      </c>
      <c r="AB130" s="487">
        <v>4.6860505870733</v>
      </c>
      <c r="AC130" s="312">
        <v>4.7860505870732997</v>
      </c>
      <c r="AD130" s="368">
        <v>5.2245922949705781</v>
      </c>
      <c r="AE130" s="418">
        <v>3.7290000000000001</v>
      </c>
      <c r="AF130" s="373">
        <v>3.4609999999999999</v>
      </c>
      <c r="AG130" s="374">
        <v>3.661</v>
      </c>
      <c r="AH130" s="423">
        <v>-0.18</v>
      </c>
      <c r="AI130" s="467">
        <v>1.5566894799103299</v>
      </c>
      <c r="AJ130" s="478">
        <v>5.6866273231408505E-2</v>
      </c>
      <c r="AK130" s="478">
        <v>5.6849548712932602E-2</v>
      </c>
      <c r="AL130" s="354">
        <v>0.65723009815945621</v>
      </c>
      <c r="AM130" s="377">
        <v>0.65731010580485705</v>
      </c>
      <c r="AN130" s="353">
        <v>0.34499999999999997</v>
      </c>
      <c r="AO130" s="378">
        <v>0.12</v>
      </c>
      <c r="AP130" s="238"/>
      <c r="AQ130" s="353">
        <v>-3.2789513100177641</v>
      </c>
      <c r="AR130" s="379">
        <v>-2.7939513100177642</v>
      </c>
      <c r="AS130" s="238"/>
      <c r="AT130" s="456">
        <v>7.4999999999999997E-3</v>
      </c>
      <c r="AU130" s="238"/>
      <c r="AV130" s="353">
        <v>8.0000000000000002E-3</v>
      </c>
      <c r="AW130" s="425">
        <v>0.02</v>
      </c>
      <c r="AX130" s="354">
        <v>5.0000000000000001E-3</v>
      </c>
      <c r="AY130" s="354"/>
      <c r="AZ130" s="488">
        <v>1</v>
      </c>
      <c r="BA130" s="488">
        <v>0.75</v>
      </c>
      <c r="BB130" s="433">
        <v>-0.48499999999999999</v>
      </c>
      <c r="BC130" s="428"/>
      <c r="BD130" s="355">
        <v>3.8109999999999999</v>
      </c>
      <c r="BE130" s="238">
        <v>3.181422049875025</v>
      </c>
      <c r="BF130" s="319"/>
      <c r="BG130" s="238">
        <v>0.75</v>
      </c>
      <c r="BH130" s="293"/>
      <c r="BI130" s="293"/>
      <c r="BJ130" s="238"/>
      <c r="BK130" s="319"/>
      <c r="BL130" s="238"/>
      <c r="BM130" s="238"/>
      <c r="BN130" s="256"/>
      <c r="BO130" s="256"/>
      <c r="BP130" s="293"/>
      <c r="BQ130" s="238"/>
      <c r="BR130" s="293"/>
      <c r="BS130" s="238"/>
      <c r="BT130" s="238"/>
      <c r="BU130" s="238"/>
      <c r="BV130" s="238"/>
      <c r="BW130" s="238"/>
      <c r="BX130" s="238"/>
      <c r="BY130" s="238"/>
      <c r="BZ130" s="238"/>
      <c r="CA130" s="238"/>
      <c r="CB130" s="238"/>
      <c r="CC130" s="238"/>
      <c r="CD130" s="238"/>
      <c r="CE130" s="238"/>
      <c r="CF130" s="238"/>
      <c r="CG130" s="238"/>
    </row>
    <row r="131" spans="1:85">
      <c r="A131" s="356">
        <v>39904</v>
      </c>
      <c r="B131" s="461">
        <v>3.4630000000000001</v>
      </c>
      <c r="C131" s="484">
        <v>-0.61</v>
      </c>
      <c r="D131" s="359">
        <v>-0.54224357095917064</v>
      </c>
      <c r="E131" s="359">
        <v>-0.54224357095917064</v>
      </c>
      <c r="F131" s="469">
        <v>0.13</v>
      </c>
      <c r="G131" s="470">
        <v>0.13</v>
      </c>
      <c r="H131" s="470">
        <v>0.16500000000000001</v>
      </c>
      <c r="I131" s="471">
        <v>0.125</v>
      </c>
      <c r="J131" s="470">
        <v>4.4999999999999998E-2</v>
      </c>
      <c r="K131" s="470">
        <v>0.115</v>
      </c>
      <c r="L131" s="470">
        <v>0.4</v>
      </c>
      <c r="M131" s="469">
        <v>-0.35</v>
      </c>
      <c r="N131" s="470">
        <v>0.24</v>
      </c>
      <c r="O131" s="471">
        <v>0</v>
      </c>
      <c r="P131" s="419">
        <v>-0.25</v>
      </c>
      <c r="Q131" s="388">
        <v>0.1825</v>
      </c>
      <c r="R131" s="475">
        <v>0.19500000000000001</v>
      </c>
      <c r="S131" s="365">
        <v>0.19500000000000001</v>
      </c>
      <c r="T131" s="274">
        <v>0.4</v>
      </c>
      <c r="U131" s="494">
        <v>0.19500000000000001</v>
      </c>
      <c r="V131" s="225">
        <v>2.8530000000000002</v>
      </c>
      <c r="W131" s="225">
        <v>2.9207564290408294</v>
      </c>
      <c r="X131" s="368">
        <v>2.9207564290408294</v>
      </c>
      <c r="Y131" s="226"/>
      <c r="Z131" s="465">
        <v>0.1</v>
      </c>
      <c r="AA131" s="481">
        <v>0.1</v>
      </c>
      <c r="AB131" s="487">
        <v>4.210670545050105</v>
      </c>
      <c r="AC131" s="312">
        <v>4.3106705450501046</v>
      </c>
      <c r="AD131" s="368">
        <v>4.3106705450501046</v>
      </c>
      <c r="AE131" s="418">
        <v>3.2130000000000001</v>
      </c>
      <c r="AF131" s="373">
        <v>3.113</v>
      </c>
      <c r="AG131" s="374">
        <v>3.4630000000000001</v>
      </c>
      <c r="AH131" s="423">
        <v>-0.255</v>
      </c>
      <c r="AI131" s="467">
        <v>1.5571304670796999</v>
      </c>
      <c r="AJ131" s="478">
        <v>5.6979886154732401E-2</v>
      </c>
      <c r="AK131" s="478">
        <v>5.6924866903209199E-2</v>
      </c>
      <c r="AL131" s="354">
        <v>0.65356293025787937</v>
      </c>
      <c r="AM131" s="377">
        <v>0.65382765875902671</v>
      </c>
      <c r="AN131" s="353">
        <v>0.13</v>
      </c>
      <c r="AO131" s="378">
        <v>0.124</v>
      </c>
      <c r="AP131" s="238"/>
      <c r="AQ131" s="353">
        <v>-3.3792718922854381</v>
      </c>
      <c r="AR131" s="379">
        <v>-2.7692718922854382</v>
      </c>
      <c r="AS131" s="238"/>
      <c r="AT131" s="456">
        <v>7.4999999999999997E-3</v>
      </c>
      <c r="AU131" s="238"/>
      <c r="AV131" s="353">
        <v>2.5000000000000001E-3</v>
      </c>
      <c r="AW131" s="425">
        <v>5.0000000000000001E-3</v>
      </c>
      <c r="AX131" s="354">
        <v>-8.5000000000000006E-2</v>
      </c>
      <c r="AY131" s="354"/>
      <c r="AZ131" s="488">
        <v>0.65</v>
      </c>
      <c r="BA131" s="488">
        <v>0.4</v>
      </c>
      <c r="BB131" s="433">
        <v>-0.61</v>
      </c>
      <c r="BC131" s="428"/>
      <c r="BD131" s="355">
        <v>3.5129999999999999</v>
      </c>
      <c r="BE131" s="238">
        <v>2.854693910726021</v>
      </c>
      <c r="BF131" s="319"/>
      <c r="BG131" s="238">
        <v>0.45</v>
      </c>
      <c r="BH131" s="293"/>
      <c r="BI131" s="293"/>
      <c r="BJ131" s="238"/>
      <c r="BK131" s="319"/>
      <c r="BL131" s="238"/>
      <c r="BM131" s="238"/>
      <c r="BN131" s="256"/>
      <c r="BO131" s="256"/>
      <c r="BP131" s="293"/>
      <c r="BQ131" s="238"/>
      <c r="BR131" s="293"/>
      <c r="BS131" s="238"/>
      <c r="BT131" s="238"/>
      <c r="BU131" s="238"/>
      <c r="BV131" s="238"/>
      <c r="BW131" s="238"/>
      <c r="BX131" s="238"/>
      <c r="BY131" s="238"/>
      <c r="BZ131" s="238"/>
      <c r="CA131" s="238"/>
      <c r="CB131" s="238"/>
      <c r="CC131" s="238"/>
      <c r="CD131" s="238"/>
      <c r="CE131" s="238"/>
      <c r="CF131" s="238"/>
      <c r="CG131" s="238"/>
    </row>
    <row r="132" spans="1:85">
      <c r="A132" s="356">
        <v>39934</v>
      </c>
      <c r="B132" s="461">
        <v>3.4590000000000001</v>
      </c>
      <c r="C132" s="489">
        <v>-0.61</v>
      </c>
      <c r="D132" s="359">
        <v>-0.54226254694900389</v>
      </c>
      <c r="E132" s="359">
        <v>-0.54226254694900389</v>
      </c>
      <c r="F132" s="469">
        <v>0.13</v>
      </c>
      <c r="G132" s="470">
        <v>0.13</v>
      </c>
      <c r="H132" s="470">
        <v>0.16500000000000001</v>
      </c>
      <c r="I132" s="471">
        <v>0.125</v>
      </c>
      <c r="J132" s="470">
        <v>4.4999999999999998E-2</v>
      </c>
      <c r="K132" s="470">
        <v>0.115</v>
      </c>
      <c r="L132" s="470">
        <v>0.35</v>
      </c>
      <c r="M132" s="469">
        <v>-0.35</v>
      </c>
      <c r="N132" s="470">
        <v>0.24</v>
      </c>
      <c r="O132" s="471">
        <v>0</v>
      </c>
      <c r="P132" s="419">
        <v>-0.25</v>
      </c>
      <c r="Q132" s="388">
        <v>0.1825</v>
      </c>
      <c r="R132" s="475">
        <v>0.19500000000000001</v>
      </c>
      <c r="S132" s="365">
        <v>0.19500000000000001</v>
      </c>
      <c r="T132" s="274">
        <v>0.45</v>
      </c>
      <c r="U132" s="494">
        <v>0.19500000000000001</v>
      </c>
      <c r="V132" s="225">
        <v>2.8490000000000002</v>
      </c>
      <c r="W132" s="225">
        <v>2.9167374530509962</v>
      </c>
      <c r="X132" s="368">
        <v>2.9167374530509962</v>
      </c>
      <c r="Y132" s="226"/>
      <c r="Z132" s="465">
        <v>0.1</v>
      </c>
      <c r="AA132" s="481">
        <v>0.1</v>
      </c>
      <c r="AB132" s="487">
        <v>4.2059449708791412</v>
      </c>
      <c r="AC132" s="312">
        <v>4.3059449708791409</v>
      </c>
      <c r="AD132" s="368">
        <v>4.3059449708791409</v>
      </c>
      <c r="AE132" s="418">
        <v>3.2090000000000001</v>
      </c>
      <c r="AF132" s="373">
        <v>3.109</v>
      </c>
      <c r="AG132" s="374">
        <v>3.4590000000000001</v>
      </c>
      <c r="AH132" s="423">
        <v>-0.255</v>
      </c>
      <c r="AI132" s="467">
        <v>1.5575666820624301</v>
      </c>
      <c r="AJ132" s="478">
        <v>5.7089834149135502E-2</v>
      </c>
      <c r="AK132" s="478">
        <v>5.6997755476241502E-2</v>
      </c>
      <c r="AL132" s="354">
        <v>0.65002196483115571</v>
      </c>
      <c r="AM132" s="377">
        <v>0.65046743015082809</v>
      </c>
      <c r="AN132" s="353">
        <v>0.13</v>
      </c>
      <c r="AO132" s="378">
        <v>0.12</v>
      </c>
      <c r="AP132" s="238"/>
      <c r="AQ132" s="353">
        <v>-3.375290860343549</v>
      </c>
      <c r="AR132" s="379">
        <v>-2.7652908603435491</v>
      </c>
      <c r="AS132" s="238"/>
      <c r="AT132" s="456">
        <v>7.4999999999999997E-3</v>
      </c>
      <c r="AU132" s="238"/>
      <c r="AV132" s="353">
        <v>2.5000000000000001E-3</v>
      </c>
      <c r="AW132" s="425">
        <v>5.0000000000000001E-3</v>
      </c>
      <c r="AX132" s="354">
        <v>-8.5000000000000006E-2</v>
      </c>
      <c r="AY132" s="354"/>
      <c r="AZ132" s="488">
        <v>0.7</v>
      </c>
      <c r="BA132" s="488">
        <v>0.45</v>
      </c>
      <c r="BB132" s="433">
        <v>-0.61</v>
      </c>
      <c r="BC132" s="428"/>
      <c r="BD132" s="355">
        <v>3.5089999999999999</v>
      </c>
      <c r="BE132" s="238">
        <v>2.8506934363262753</v>
      </c>
      <c r="BF132" s="319"/>
      <c r="BG132" s="238">
        <v>0.5</v>
      </c>
      <c r="BH132" s="293"/>
      <c r="BI132" s="293"/>
      <c r="BJ132" s="238"/>
      <c r="BK132" s="319"/>
      <c r="BL132" s="238"/>
      <c r="BM132" s="238"/>
      <c r="BN132" s="256"/>
      <c r="BO132" s="256"/>
      <c r="BP132" s="293"/>
      <c r="BQ132" s="238"/>
      <c r="BR132" s="293"/>
      <c r="BS132" s="238"/>
      <c r="BT132" s="238"/>
      <c r="BU132" s="238"/>
      <c r="BV132" s="238"/>
      <c r="BW132" s="238"/>
      <c r="BX132" s="238"/>
      <c r="BY132" s="238"/>
      <c r="BZ132" s="238"/>
      <c r="CA132" s="238"/>
      <c r="CB132" s="238"/>
      <c r="CC132" s="238"/>
      <c r="CD132" s="238"/>
      <c r="CE132" s="238"/>
      <c r="CF132" s="238"/>
      <c r="CG132" s="238"/>
    </row>
    <row r="133" spans="1:85">
      <c r="A133" s="356">
        <v>39965</v>
      </c>
      <c r="B133" s="461">
        <v>3.4910000000000001</v>
      </c>
      <c r="C133" s="489">
        <v>-0.61</v>
      </c>
      <c r="D133" s="359">
        <v>-0.54228256918180717</v>
      </c>
      <c r="E133" s="359">
        <v>-0.54228256918180717</v>
      </c>
      <c r="F133" s="469">
        <v>0.13</v>
      </c>
      <c r="G133" s="470">
        <v>0.13</v>
      </c>
      <c r="H133" s="470">
        <v>0.16500000000000001</v>
      </c>
      <c r="I133" s="471">
        <v>0.125</v>
      </c>
      <c r="J133" s="470">
        <v>4.4999999999999998E-2</v>
      </c>
      <c r="K133" s="470">
        <v>0.115</v>
      </c>
      <c r="L133" s="470">
        <v>0.39</v>
      </c>
      <c r="M133" s="469">
        <v>-0.35</v>
      </c>
      <c r="N133" s="470">
        <v>0.24</v>
      </c>
      <c r="O133" s="471">
        <v>0</v>
      </c>
      <c r="P133" s="419">
        <v>-0.25</v>
      </c>
      <c r="Q133" s="388">
        <v>0.1825</v>
      </c>
      <c r="R133" s="475">
        <v>0.19500000000000001</v>
      </c>
      <c r="S133" s="365">
        <v>0.19500000000000001</v>
      </c>
      <c r="T133" s="274">
        <v>0.45</v>
      </c>
      <c r="U133" s="494">
        <v>0.19500000000000001</v>
      </c>
      <c r="V133" s="225">
        <v>2.8810000000000002</v>
      </c>
      <c r="W133" s="225">
        <v>2.9487174308181929</v>
      </c>
      <c r="X133" s="368">
        <v>2.9487174308181929</v>
      </c>
      <c r="Y133" s="226"/>
      <c r="Z133" s="465">
        <v>0.1</v>
      </c>
      <c r="AA133" s="481">
        <v>0.1</v>
      </c>
      <c r="AB133" s="487">
        <v>4.2544437454145072</v>
      </c>
      <c r="AC133" s="312">
        <v>4.3544437454145069</v>
      </c>
      <c r="AD133" s="368">
        <v>4.3544437454145069</v>
      </c>
      <c r="AE133" s="418">
        <v>3.2410000000000001</v>
      </c>
      <c r="AF133" s="373">
        <v>3.141</v>
      </c>
      <c r="AG133" s="374">
        <v>3.4910000000000001</v>
      </c>
      <c r="AH133" s="423">
        <v>-0.255</v>
      </c>
      <c r="AI133" s="467">
        <v>1.5580272128642998</v>
      </c>
      <c r="AJ133" s="478">
        <v>5.7203447080910803E-2</v>
      </c>
      <c r="AK133" s="478">
        <v>5.7073073670232101E-2</v>
      </c>
      <c r="AL133" s="354">
        <v>0.64637122610128039</v>
      </c>
      <c r="AM133" s="377">
        <v>0.64700543519322518</v>
      </c>
      <c r="AN133" s="353">
        <v>0.13</v>
      </c>
      <c r="AO133" s="378">
        <v>0.124</v>
      </c>
      <c r="AP133" s="238"/>
      <c r="AQ133" s="353">
        <v>-3.4073108742073139</v>
      </c>
      <c r="AR133" s="379">
        <v>-2.7973108742073141</v>
      </c>
      <c r="AS133" s="238"/>
      <c r="AT133" s="456">
        <v>7.4999999999999997E-3</v>
      </c>
      <c r="AU133" s="238"/>
      <c r="AV133" s="353">
        <v>2.5000000000000001E-3</v>
      </c>
      <c r="AW133" s="425">
        <v>5.0000000000000001E-3</v>
      </c>
      <c r="AX133" s="354">
        <v>-8.5000000000000006E-2</v>
      </c>
      <c r="AY133" s="354"/>
      <c r="AZ133" s="488">
        <v>0.7</v>
      </c>
      <c r="BA133" s="488">
        <v>0.45</v>
      </c>
      <c r="BB133" s="433">
        <v>-0.61</v>
      </c>
      <c r="BC133" s="428"/>
      <c r="BD133" s="355">
        <v>3.5409999999999999</v>
      </c>
      <c r="BE133" s="238">
        <v>2.8826929357704549</v>
      </c>
      <c r="BF133" s="319"/>
      <c r="BG133" s="238">
        <v>0.5</v>
      </c>
      <c r="BH133" s="293"/>
      <c r="BI133" s="293"/>
      <c r="BJ133" s="238"/>
      <c r="BK133" s="319"/>
      <c r="BL133" s="238"/>
      <c r="BM133" s="238"/>
      <c r="BN133" s="256"/>
      <c r="BO133" s="256"/>
      <c r="BP133" s="293"/>
      <c r="BQ133" s="238"/>
      <c r="BR133" s="293"/>
      <c r="BS133" s="238"/>
      <c r="BT133" s="238"/>
      <c r="BU133" s="238"/>
      <c r="BV133" s="238"/>
      <c r="BW133" s="238"/>
      <c r="BX133" s="238"/>
      <c r="BY133" s="238"/>
      <c r="BZ133" s="238"/>
      <c r="CA133" s="238"/>
      <c r="CB133" s="238"/>
      <c r="CC133" s="238"/>
      <c r="CD133" s="238"/>
      <c r="CE133" s="238"/>
      <c r="CF133" s="238"/>
      <c r="CG133" s="238"/>
    </row>
    <row r="134" spans="1:85">
      <c r="A134" s="356">
        <v>39995</v>
      </c>
      <c r="B134" s="461">
        <v>3.5410000000000004</v>
      </c>
      <c r="C134" s="489">
        <v>-0.61</v>
      </c>
      <c r="D134" s="359">
        <v>-0.54230234549543566</v>
      </c>
      <c r="E134" s="359">
        <v>-0.54230234549543566</v>
      </c>
      <c r="F134" s="469">
        <v>0.13</v>
      </c>
      <c r="G134" s="470">
        <v>0.13</v>
      </c>
      <c r="H134" s="470">
        <v>0.16500000000000001</v>
      </c>
      <c r="I134" s="471">
        <v>0.125</v>
      </c>
      <c r="J134" s="470">
        <v>4.4999999999999998E-2</v>
      </c>
      <c r="K134" s="470">
        <v>0.115</v>
      </c>
      <c r="L134" s="470">
        <v>0.43</v>
      </c>
      <c r="M134" s="469">
        <v>-0.35</v>
      </c>
      <c r="N134" s="470">
        <v>0.24</v>
      </c>
      <c r="O134" s="471">
        <v>0</v>
      </c>
      <c r="P134" s="419">
        <v>-0.25</v>
      </c>
      <c r="Q134" s="388">
        <v>0.1825</v>
      </c>
      <c r="R134" s="475">
        <v>0.19500000000000001</v>
      </c>
      <c r="S134" s="365">
        <v>0.19500000000000001</v>
      </c>
      <c r="T134" s="274">
        <v>0.5</v>
      </c>
      <c r="U134" s="494">
        <v>0.19500000000000001</v>
      </c>
      <c r="V134" s="225">
        <v>2.9310000000000005</v>
      </c>
      <c r="W134" s="225">
        <v>2.9986976545045647</v>
      </c>
      <c r="X134" s="368">
        <v>2.9986976545045647</v>
      </c>
      <c r="Y134" s="226"/>
      <c r="Z134" s="465">
        <v>0.1</v>
      </c>
      <c r="AA134" s="481">
        <v>0.1</v>
      </c>
      <c r="AB134" s="487">
        <v>4.3295443859172495</v>
      </c>
      <c r="AC134" s="312">
        <v>4.4295443859172492</v>
      </c>
      <c r="AD134" s="368">
        <v>4.4295443859172492</v>
      </c>
      <c r="AE134" s="418">
        <v>3.2910000000000004</v>
      </c>
      <c r="AF134" s="373">
        <v>3.1910000000000003</v>
      </c>
      <c r="AG134" s="374">
        <v>3.5410000000000004</v>
      </c>
      <c r="AH134" s="423">
        <v>-0.255</v>
      </c>
      <c r="AI134" s="467">
        <v>1.5584823547008899</v>
      </c>
      <c r="AJ134" s="478">
        <v>5.7313395083492799E-2</v>
      </c>
      <c r="AK134" s="478">
        <v>5.7145962246858903E-2</v>
      </c>
      <c r="AL134" s="354">
        <v>0.64284632947965814</v>
      </c>
      <c r="AM134" s="377">
        <v>0.64366505703712262</v>
      </c>
      <c r="AN134" s="353">
        <v>0.13</v>
      </c>
      <c r="AO134" s="378">
        <v>0.12</v>
      </c>
      <c r="AP134" s="238"/>
      <c r="AQ134" s="353">
        <v>-3.457330642254695</v>
      </c>
      <c r="AR134" s="379">
        <v>-2.8473306422546951</v>
      </c>
      <c r="AS134" s="238"/>
      <c r="AT134" s="456">
        <v>7.4999999999999997E-3</v>
      </c>
      <c r="AU134" s="238"/>
      <c r="AV134" s="353">
        <v>2.5000000000000001E-3</v>
      </c>
      <c r="AW134" s="425">
        <v>5.0000000000000001E-3</v>
      </c>
      <c r="AX134" s="354">
        <v>-8.5000000000000006E-2</v>
      </c>
      <c r="AY134" s="354"/>
      <c r="AZ134" s="488">
        <v>0.75</v>
      </c>
      <c r="BA134" s="488">
        <v>0.5</v>
      </c>
      <c r="BB134" s="433">
        <v>-0.61</v>
      </c>
      <c r="BC134" s="428"/>
      <c r="BD134" s="355">
        <v>3.5910000000000002</v>
      </c>
      <c r="BE134" s="238">
        <v>2.9326924413626148</v>
      </c>
      <c r="BF134" s="319"/>
      <c r="BG134" s="238">
        <v>0.55000000000000004</v>
      </c>
      <c r="BH134" s="293"/>
      <c r="BI134" s="293"/>
      <c r="BJ134" s="238"/>
      <c r="BK134" s="319"/>
      <c r="BL134" s="238"/>
      <c r="BM134" s="238"/>
      <c r="BN134" s="256"/>
      <c r="BO134" s="256"/>
      <c r="BP134" s="293"/>
      <c r="BQ134" s="238"/>
      <c r="BR134" s="293"/>
      <c r="BS134" s="238"/>
      <c r="BT134" s="238"/>
      <c r="BU134" s="238"/>
      <c r="BV134" s="238"/>
      <c r="BW134" s="238"/>
      <c r="BX134" s="238"/>
      <c r="BY134" s="238"/>
      <c r="BZ134" s="238"/>
      <c r="CA134" s="238"/>
      <c r="CB134" s="238"/>
      <c r="CC134" s="238"/>
      <c r="CD134" s="238"/>
      <c r="CE134" s="238"/>
      <c r="CF134" s="238"/>
      <c r="CG134" s="238"/>
    </row>
    <row r="135" spans="1:85">
      <c r="A135" s="356">
        <v>40026</v>
      </c>
      <c r="B135" s="461">
        <v>3.5750000000000002</v>
      </c>
      <c r="C135" s="489">
        <v>-0.61</v>
      </c>
      <c r="D135" s="359">
        <v>-0.5423231938800952</v>
      </c>
      <c r="E135" s="359">
        <v>-0.5423231938800952</v>
      </c>
      <c r="F135" s="469">
        <v>0.13</v>
      </c>
      <c r="G135" s="470">
        <v>0.13</v>
      </c>
      <c r="H135" s="470">
        <v>0.16500000000000001</v>
      </c>
      <c r="I135" s="471">
        <v>0.125</v>
      </c>
      <c r="J135" s="470">
        <v>4.4999999999999998E-2</v>
      </c>
      <c r="K135" s="470">
        <v>0.115</v>
      </c>
      <c r="L135" s="470">
        <v>0.43</v>
      </c>
      <c r="M135" s="469">
        <v>-0.35</v>
      </c>
      <c r="N135" s="470">
        <v>0.24</v>
      </c>
      <c r="O135" s="471">
        <v>0</v>
      </c>
      <c r="P135" s="419">
        <v>-0.25</v>
      </c>
      <c r="Q135" s="388">
        <v>0.1825</v>
      </c>
      <c r="R135" s="475">
        <v>0.19500000000000001</v>
      </c>
      <c r="S135" s="365">
        <v>0.19500000000000001</v>
      </c>
      <c r="T135" s="274">
        <v>0.55000000000000004</v>
      </c>
      <c r="U135" s="494">
        <v>0.19500000000000001</v>
      </c>
      <c r="V135" s="225">
        <v>2.9649999999999999</v>
      </c>
      <c r="W135" s="225">
        <v>3.032676806119905</v>
      </c>
      <c r="X135" s="368">
        <v>3.032676806119905</v>
      </c>
      <c r="Y135" s="226"/>
      <c r="Z135" s="465">
        <v>0.1</v>
      </c>
      <c r="AA135" s="481">
        <v>0.1</v>
      </c>
      <c r="AB135" s="487">
        <v>4.3811169143337434</v>
      </c>
      <c r="AC135" s="312">
        <v>4.481116914333743</v>
      </c>
      <c r="AD135" s="368">
        <v>4.481116914333743</v>
      </c>
      <c r="AE135" s="418">
        <v>3.3250000000000002</v>
      </c>
      <c r="AF135" s="373">
        <v>3.2250000000000001</v>
      </c>
      <c r="AG135" s="374">
        <v>3.5750000000000002</v>
      </c>
      <c r="AH135" s="423">
        <v>-0.255</v>
      </c>
      <c r="AI135" s="467">
        <v>1.5589624577299499</v>
      </c>
      <c r="AJ135" s="478">
        <v>5.7427008023718702E-2</v>
      </c>
      <c r="AK135" s="478">
        <v>5.7221280444563802E-2</v>
      </c>
      <c r="AL135" s="354">
        <v>0.63921236853133634</v>
      </c>
      <c r="AM135" s="377">
        <v>0.64022363318792019</v>
      </c>
      <c r="AN135" s="353">
        <v>0.13</v>
      </c>
      <c r="AO135" s="378">
        <v>0.12</v>
      </c>
      <c r="AP135" s="238"/>
      <c r="AQ135" s="353">
        <v>-3.4913514819249944</v>
      </c>
      <c r="AR135" s="379">
        <v>-2.8813514819249946</v>
      </c>
      <c r="AS135" s="238"/>
      <c r="AT135" s="456">
        <v>7.4999999999999997E-3</v>
      </c>
      <c r="AU135" s="238"/>
      <c r="AV135" s="353">
        <v>2.5000000000000001E-3</v>
      </c>
      <c r="AW135" s="425">
        <v>5.0000000000000001E-3</v>
      </c>
      <c r="AX135" s="354">
        <v>-8.5000000000000006E-2</v>
      </c>
      <c r="AY135" s="354"/>
      <c r="AZ135" s="488">
        <v>0.8</v>
      </c>
      <c r="BA135" s="488">
        <v>0.55000000000000004</v>
      </c>
      <c r="BB135" s="433">
        <v>-0.61</v>
      </c>
      <c r="BC135" s="428"/>
      <c r="BD135" s="355">
        <v>3.625</v>
      </c>
      <c r="BE135" s="238">
        <v>2.9666919201529978</v>
      </c>
      <c r="BF135" s="319"/>
      <c r="BG135" s="238">
        <v>0.6</v>
      </c>
      <c r="BH135" s="293"/>
      <c r="BI135" s="293"/>
      <c r="BJ135" s="238"/>
      <c r="BK135" s="319"/>
      <c r="BL135" s="238"/>
      <c r="BM135" s="238"/>
      <c r="BN135" s="256"/>
      <c r="BO135" s="256"/>
      <c r="BP135" s="293"/>
      <c r="BQ135" s="238"/>
      <c r="BR135" s="293"/>
      <c r="BS135" s="238"/>
      <c r="BT135" s="238"/>
      <c r="BU135" s="238"/>
      <c r="BV135" s="238"/>
      <c r="BW135" s="238"/>
      <c r="BX135" s="238"/>
      <c r="BY135" s="238"/>
      <c r="BZ135" s="238"/>
      <c r="CA135" s="238"/>
      <c r="CB135" s="238"/>
      <c r="CC135" s="238"/>
      <c r="CD135" s="238"/>
      <c r="CE135" s="238"/>
      <c r="CF135" s="238"/>
      <c r="CG135" s="238"/>
    </row>
    <row r="136" spans="1:85">
      <c r="A136" s="356">
        <v>40057</v>
      </c>
      <c r="B136" s="461">
        <v>3.5880000000000001</v>
      </c>
      <c r="C136" s="489">
        <v>-0.61</v>
      </c>
      <c r="D136" s="359">
        <v>-0.54234446144819737</v>
      </c>
      <c r="E136" s="359">
        <v>-0.54234446144819737</v>
      </c>
      <c r="F136" s="469">
        <v>0.13</v>
      </c>
      <c r="G136" s="470">
        <v>0.13</v>
      </c>
      <c r="H136" s="470">
        <v>0.16500000000000001</v>
      </c>
      <c r="I136" s="471">
        <v>0.125</v>
      </c>
      <c r="J136" s="470">
        <v>4.4999999999999998E-2</v>
      </c>
      <c r="K136" s="470">
        <v>0.115</v>
      </c>
      <c r="L136" s="470">
        <v>0.38</v>
      </c>
      <c r="M136" s="469">
        <v>-0.35</v>
      </c>
      <c r="N136" s="470">
        <v>0.24</v>
      </c>
      <c r="O136" s="471">
        <v>0</v>
      </c>
      <c r="P136" s="419">
        <v>-0.25</v>
      </c>
      <c r="Q136" s="388">
        <v>0.1825</v>
      </c>
      <c r="R136" s="475">
        <v>0.19500000000000001</v>
      </c>
      <c r="S136" s="365">
        <v>0.19500000000000001</v>
      </c>
      <c r="T136" s="274">
        <v>0.55000000000000004</v>
      </c>
      <c r="U136" s="494">
        <v>0.19500000000000001</v>
      </c>
      <c r="V136" s="225">
        <v>2.9780000000000002</v>
      </c>
      <c r="W136" s="225">
        <v>3.0456555385518027</v>
      </c>
      <c r="X136" s="368">
        <v>3.0456555385518027</v>
      </c>
      <c r="Y136" s="226"/>
      <c r="Z136" s="465">
        <v>0.1</v>
      </c>
      <c r="AA136" s="481">
        <v>0.1</v>
      </c>
      <c r="AB136" s="487">
        <v>4.4017091043031646</v>
      </c>
      <c r="AC136" s="312">
        <v>4.5017091043031643</v>
      </c>
      <c r="AD136" s="368">
        <v>4.5017091043031643</v>
      </c>
      <c r="AE136" s="418">
        <v>3.3380000000000001</v>
      </c>
      <c r="AF136" s="373">
        <v>3.238</v>
      </c>
      <c r="AG136" s="374">
        <v>3.5880000000000001</v>
      </c>
      <c r="AH136" s="423">
        <v>-0.255</v>
      </c>
      <c r="AI136" s="467">
        <v>1.5594525187205099</v>
      </c>
      <c r="AJ136" s="478">
        <v>5.7540620968239004E-2</v>
      </c>
      <c r="AK136" s="478">
        <v>5.7296598644155601E-2</v>
      </c>
      <c r="AL136" s="354">
        <v>0.63558706515728225</v>
      </c>
      <c r="AM136" s="377">
        <v>0.63679270775824171</v>
      </c>
      <c r="AN136" s="353">
        <v>0.13</v>
      </c>
      <c r="AO136" s="378">
        <v>0.124</v>
      </c>
      <c r="AP136" s="238"/>
      <c r="AQ136" s="353">
        <v>-3.5043727406035239</v>
      </c>
      <c r="AR136" s="379">
        <v>-2.894372740603524</v>
      </c>
      <c r="AS136" s="238"/>
      <c r="AT136" s="456">
        <v>7.4999999999999997E-3</v>
      </c>
      <c r="AU136" s="238"/>
      <c r="AV136" s="353">
        <v>2.5000000000000001E-3</v>
      </c>
      <c r="AW136" s="425">
        <v>5.0000000000000001E-3</v>
      </c>
      <c r="AX136" s="354">
        <v>-8.5000000000000006E-2</v>
      </c>
      <c r="AY136" s="354"/>
      <c r="AZ136" s="488">
        <v>0.8</v>
      </c>
      <c r="BA136" s="488">
        <v>0.55000000000000004</v>
      </c>
      <c r="BB136" s="433">
        <v>-0.61</v>
      </c>
      <c r="BC136" s="428"/>
      <c r="BD136" s="355">
        <v>3.6379999999999999</v>
      </c>
      <c r="BE136" s="238">
        <v>2.9796913884637952</v>
      </c>
      <c r="BF136" s="319"/>
      <c r="BG136" s="238">
        <v>0.6</v>
      </c>
      <c r="BH136" s="293"/>
      <c r="BI136" s="293"/>
      <c r="BJ136" s="238"/>
      <c r="BK136" s="319"/>
      <c r="BL136" s="238"/>
      <c r="BM136" s="238"/>
      <c r="BN136" s="256"/>
      <c r="BO136" s="256"/>
      <c r="BP136" s="293"/>
      <c r="BQ136" s="238"/>
      <c r="BR136" s="293"/>
      <c r="BS136" s="238"/>
      <c r="BT136" s="238"/>
      <c r="BU136" s="238"/>
      <c r="BV136" s="238"/>
      <c r="BW136" s="238"/>
      <c r="BX136" s="238"/>
      <c r="BY136" s="238"/>
      <c r="BZ136" s="238"/>
      <c r="CA136" s="238"/>
      <c r="CB136" s="238"/>
      <c r="CC136" s="238"/>
      <c r="CD136" s="238"/>
      <c r="CE136" s="238"/>
      <c r="CF136" s="238"/>
      <c r="CG136" s="238"/>
    </row>
    <row r="137" spans="1:85">
      <c r="A137" s="356">
        <v>40087</v>
      </c>
      <c r="B137" s="461">
        <v>3.6</v>
      </c>
      <c r="C137" s="489">
        <v>-0.61</v>
      </c>
      <c r="D137" s="359">
        <v>-0.54236544165302547</v>
      </c>
      <c r="E137" s="359">
        <v>-0.54236544165302547</v>
      </c>
      <c r="F137" s="469">
        <v>0.13</v>
      </c>
      <c r="G137" s="470">
        <v>0.13</v>
      </c>
      <c r="H137" s="470">
        <v>0.16500000000000001</v>
      </c>
      <c r="I137" s="471">
        <v>0.125</v>
      </c>
      <c r="J137" s="470">
        <v>4.4999999999999998E-2</v>
      </c>
      <c r="K137" s="470">
        <v>0.115</v>
      </c>
      <c r="L137" s="470">
        <v>0.42</v>
      </c>
      <c r="M137" s="469">
        <v>-0.35</v>
      </c>
      <c r="N137" s="470">
        <v>0.24</v>
      </c>
      <c r="O137" s="471">
        <v>0</v>
      </c>
      <c r="P137" s="419">
        <v>-0.25</v>
      </c>
      <c r="Q137" s="388">
        <v>0.1825</v>
      </c>
      <c r="R137" s="475">
        <v>0.19500000000000001</v>
      </c>
      <c r="S137" s="365">
        <v>0.19500000000000001</v>
      </c>
      <c r="T137" s="274">
        <v>0.6</v>
      </c>
      <c r="U137" s="494">
        <v>0.19500000000000001</v>
      </c>
      <c r="V137" s="225">
        <v>2.99</v>
      </c>
      <c r="W137" s="225">
        <v>3.0576345583469746</v>
      </c>
      <c r="X137" s="368">
        <v>3.0576345583469746</v>
      </c>
      <c r="Y137" s="226"/>
      <c r="Z137" s="465">
        <v>0.1</v>
      </c>
      <c r="AA137" s="481">
        <v>0.1</v>
      </c>
      <c r="AB137" s="487">
        <v>4.4208169212267139</v>
      </c>
      <c r="AC137" s="312">
        <v>4.5208169212267135</v>
      </c>
      <c r="AD137" s="368">
        <v>4.5208169212267135</v>
      </c>
      <c r="AE137" s="418">
        <v>3.35</v>
      </c>
      <c r="AF137" s="373">
        <v>3.25</v>
      </c>
      <c r="AG137" s="374">
        <v>3.6</v>
      </c>
      <c r="AH137" s="423">
        <v>-0.255</v>
      </c>
      <c r="AI137" s="467">
        <v>1.5599362600808599</v>
      </c>
      <c r="AJ137" s="478">
        <v>5.7650568983153204E-2</v>
      </c>
      <c r="AK137" s="478">
        <v>5.73694872262034E-2</v>
      </c>
      <c r="AL137" s="354">
        <v>0.63208703223444174</v>
      </c>
      <c r="AM137" s="377">
        <v>0.63348248063566226</v>
      </c>
      <c r="AN137" s="353">
        <v>0.13</v>
      </c>
      <c r="AO137" s="378">
        <v>0.12</v>
      </c>
      <c r="AP137" s="238"/>
      <c r="AQ137" s="353">
        <v>-3.5133937120388921</v>
      </c>
      <c r="AR137" s="379">
        <v>-2.9033937120388922</v>
      </c>
      <c r="AS137" s="238"/>
      <c r="AT137" s="456">
        <v>7.4999999999999997E-3</v>
      </c>
      <c r="AU137" s="238"/>
      <c r="AV137" s="353">
        <v>2.5000000000000001E-3</v>
      </c>
      <c r="AW137" s="425">
        <v>5.0000000000000001E-3</v>
      </c>
      <c r="AX137" s="354">
        <v>-8.5000000000000006E-2</v>
      </c>
      <c r="AY137" s="354"/>
      <c r="AZ137" s="488">
        <v>0.85</v>
      </c>
      <c r="BA137" s="488">
        <v>0.6</v>
      </c>
      <c r="BB137" s="433">
        <v>-0.61</v>
      </c>
      <c r="BC137" s="428"/>
      <c r="BD137" s="355">
        <v>3.65</v>
      </c>
      <c r="BE137" s="238">
        <v>2.9916908639586746</v>
      </c>
      <c r="BF137" s="319"/>
      <c r="BG137" s="238">
        <v>0.65</v>
      </c>
      <c r="BH137" s="293"/>
      <c r="BI137" s="293"/>
      <c r="BJ137" s="238"/>
      <c r="BK137" s="319"/>
      <c r="BL137" s="238"/>
      <c r="BM137" s="238"/>
      <c r="BN137" s="256"/>
      <c r="BO137" s="256"/>
      <c r="BP137" s="293"/>
      <c r="BQ137" s="238"/>
      <c r="BR137" s="293"/>
      <c r="BS137" s="238"/>
      <c r="BT137" s="238"/>
      <c r="BU137" s="238"/>
      <c r="BV137" s="238"/>
      <c r="BW137" s="238"/>
      <c r="BX137" s="238"/>
      <c r="BY137" s="238"/>
      <c r="BZ137" s="238"/>
      <c r="CA137" s="238"/>
      <c r="CB137" s="238"/>
      <c r="CC137" s="238"/>
      <c r="CD137" s="238"/>
      <c r="CE137" s="238"/>
      <c r="CF137" s="238"/>
      <c r="CG137" s="238"/>
    </row>
    <row r="138" spans="1:85">
      <c r="A138" s="460">
        <v>40118</v>
      </c>
      <c r="B138" s="461">
        <v>3.7450000000000001</v>
      </c>
      <c r="C138" s="496">
        <v>-0.48499999999999999</v>
      </c>
      <c r="D138" s="359">
        <v>-0.39710379253852679</v>
      </c>
      <c r="E138" s="359">
        <v>-0.12000000000000055</v>
      </c>
      <c r="F138" s="469">
        <v>0.17499999999999999</v>
      </c>
      <c r="G138" s="470">
        <v>0.34</v>
      </c>
      <c r="H138" s="470">
        <v>0.29499999999999998</v>
      </c>
      <c r="I138" s="471">
        <v>0.39500000000000002</v>
      </c>
      <c r="J138" s="470">
        <v>0.13</v>
      </c>
      <c r="K138" s="470">
        <v>0.16</v>
      </c>
      <c r="L138" s="470">
        <v>0.73</v>
      </c>
      <c r="M138" s="469">
        <v>-0.2</v>
      </c>
      <c r="N138" s="470">
        <v>0.24</v>
      </c>
      <c r="O138" s="471">
        <v>0</v>
      </c>
      <c r="P138" s="419">
        <v>0.248</v>
      </c>
      <c r="Q138" s="388">
        <v>0.1825</v>
      </c>
      <c r="R138" s="475">
        <v>0.19500000000000001</v>
      </c>
      <c r="S138" s="365">
        <v>0.19500000000000001</v>
      </c>
      <c r="T138" s="274">
        <v>0.8</v>
      </c>
      <c r="U138" s="494">
        <v>0.19500000000000001</v>
      </c>
      <c r="V138" s="225">
        <v>3.26</v>
      </c>
      <c r="W138" s="225">
        <v>3.3478962074614733</v>
      </c>
      <c r="X138" s="368">
        <v>3.625</v>
      </c>
      <c r="Y138" s="226"/>
      <c r="Z138" s="465">
        <v>0.13</v>
      </c>
      <c r="AA138" s="481">
        <v>0.53984126699435198</v>
      </c>
      <c r="AB138" s="487">
        <v>4.8215959737029923</v>
      </c>
      <c r="AC138" s="312">
        <v>4.9515959737029922</v>
      </c>
      <c r="AD138" s="368">
        <v>5.3614372406973443</v>
      </c>
      <c r="AE138" s="418">
        <v>3.9930000000000003</v>
      </c>
      <c r="AF138" s="373">
        <v>3.5449999999999999</v>
      </c>
      <c r="AG138" s="374">
        <v>3.7450000000000001</v>
      </c>
      <c r="AH138" s="423">
        <v>-0.18</v>
      </c>
      <c r="AI138" s="467">
        <v>1.5604459391506698</v>
      </c>
      <c r="AJ138" s="478">
        <v>5.7764181936122296E-2</v>
      </c>
      <c r="AK138" s="478">
        <v>5.7444805429509103E-2</v>
      </c>
      <c r="AL138" s="354">
        <v>0.6284790180197376</v>
      </c>
      <c r="AM138" s="377">
        <v>0.63007229779010809</v>
      </c>
      <c r="AN138" s="353">
        <v>0.34</v>
      </c>
      <c r="AO138" s="378">
        <v>0.124</v>
      </c>
      <c r="AP138" s="238"/>
      <c r="AQ138" s="353">
        <v>-3.3599662966222059</v>
      </c>
      <c r="AR138" s="379">
        <v>-2.874966296622206</v>
      </c>
      <c r="AS138" s="238"/>
      <c r="AT138" s="456">
        <v>7.4999999999999997E-3</v>
      </c>
      <c r="AU138" s="238"/>
      <c r="AV138" s="353">
        <v>8.0000000000000002E-3</v>
      </c>
      <c r="AW138" s="238">
        <v>0.02</v>
      </c>
      <c r="AX138" s="238">
        <v>5.0000000000000001E-3</v>
      </c>
      <c r="AY138" s="354"/>
      <c r="AZ138" s="488">
        <v>1.05</v>
      </c>
      <c r="BA138" s="488">
        <v>0.8</v>
      </c>
      <c r="BB138" s="433">
        <v>-0.48499999999999999</v>
      </c>
      <c r="BC138" s="319"/>
      <c r="BD138" s="355">
        <v>3.895</v>
      </c>
      <c r="BE138" s="238">
        <v>3.2654089973822447</v>
      </c>
      <c r="BF138" s="319"/>
      <c r="BG138" s="238">
        <v>0.8</v>
      </c>
      <c r="BH138" s="293"/>
      <c r="BI138" s="293"/>
      <c r="BJ138" s="238"/>
      <c r="BK138" s="319"/>
      <c r="BL138" s="238"/>
      <c r="BM138" s="238"/>
      <c r="BN138" s="256"/>
      <c r="BO138" s="256"/>
      <c r="BP138" s="293"/>
      <c r="BQ138" s="238"/>
      <c r="BR138" s="293"/>
      <c r="BS138" s="238"/>
      <c r="BT138" s="238"/>
      <c r="BU138" s="238"/>
      <c r="BV138" s="238"/>
      <c r="BW138" s="238"/>
      <c r="BX138" s="238"/>
      <c r="BY138" s="238"/>
      <c r="BZ138" s="238"/>
      <c r="CA138" s="238"/>
      <c r="CB138" s="238"/>
      <c r="CC138" s="238"/>
      <c r="CD138" s="238"/>
      <c r="CE138" s="238"/>
      <c r="CF138" s="238"/>
      <c r="CG138" s="238"/>
    </row>
    <row r="139" spans="1:85">
      <c r="A139" s="356">
        <v>40148</v>
      </c>
      <c r="B139" s="461">
        <v>3.8960000000000004</v>
      </c>
      <c r="C139" s="497">
        <v>-0.48499999999999999</v>
      </c>
      <c r="D139" s="359">
        <v>-0.39713210167931434</v>
      </c>
      <c r="E139" s="359">
        <v>-0.12</v>
      </c>
      <c r="F139" s="469">
        <v>0.17499999999999999</v>
      </c>
      <c r="G139" s="470">
        <v>0.34</v>
      </c>
      <c r="H139" s="470">
        <v>0.29499999999999998</v>
      </c>
      <c r="I139" s="471">
        <v>0.39500000000000002</v>
      </c>
      <c r="J139" s="470">
        <v>0.13</v>
      </c>
      <c r="K139" s="470">
        <v>0.16</v>
      </c>
      <c r="L139" s="470">
        <v>0.98</v>
      </c>
      <c r="M139" s="469">
        <v>-0.2</v>
      </c>
      <c r="N139" s="470">
        <v>0.24</v>
      </c>
      <c r="O139" s="471">
        <v>0</v>
      </c>
      <c r="P139" s="419">
        <v>0.308</v>
      </c>
      <c r="Q139" s="388">
        <v>0.185</v>
      </c>
      <c r="R139" s="475">
        <v>0.19500000000000001</v>
      </c>
      <c r="S139" s="365">
        <v>0.19500000000000001</v>
      </c>
      <c r="T139" s="274">
        <v>1</v>
      </c>
      <c r="U139" s="494">
        <v>0.19500000000000001</v>
      </c>
      <c r="V139" s="225">
        <v>3.4110000000000005</v>
      </c>
      <c r="W139" s="225">
        <v>3.498867898320686</v>
      </c>
      <c r="X139" s="368">
        <v>3.7760000000000007</v>
      </c>
      <c r="Y139" s="226"/>
      <c r="Z139" s="465">
        <v>0.13</v>
      </c>
      <c r="AA139" s="481">
        <v>0.54001519220164873</v>
      </c>
      <c r="AB139" s="487">
        <v>5.0465529331501982</v>
      </c>
      <c r="AC139" s="312">
        <v>5.176552933150198</v>
      </c>
      <c r="AD139" s="368">
        <v>5.5865681253518469</v>
      </c>
      <c r="AE139" s="418">
        <v>4.2040000000000006</v>
      </c>
      <c r="AF139" s="373">
        <v>3.6960000000000002</v>
      </c>
      <c r="AG139" s="374">
        <v>3.8960000000000004</v>
      </c>
      <c r="AH139" s="423">
        <v>-0.18</v>
      </c>
      <c r="AI139" s="467">
        <v>1.56094868116028</v>
      </c>
      <c r="AJ139" s="478">
        <v>5.7874129959212699E-2</v>
      </c>
      <c r="AK139" s="478">
        <v>5.75176940151505E-2</v>
      </c>
      <c r="AL139" s="354">
        <v>0.6249958769070616</v>
      </c>
      <c r="AM139" s="377">
        <v>0.62678219710163396</v>
      </c>
      <c r="AN139" s="353">
        <v>0.34</v>
      </c>
      <c r="AO139" s="378">
        <v>0.12</v>
      </c>
      <c r="AP139" s="238"/>
      <c r="AQ139" s="353">
        <v>-3.5149688534092993</v>
      </c>
      <c r="AR139" s="379">
        <v>-3.0299688534092994</v>
      </c>
      <c r="AS139" s="238"/>
      <c r="AT139" s="456">
        <v>7.4999999999999997E-3</v>
      </c>
      <c r="AU139" s="238"/>
      <c r="AV139" s="353">
        <v>8.0000000000000002E-3</v>
      </c>
      <c r="AW139" s="238">
        <v>0.02</v>
      </c>
      <c r="AX139" s="238">
        <v>0.01</v>
      </c>
      <c r="AY139" s="354"/>
      <c r="AZ139" s="488">
        <v>1.25</v>
      </c>
      <c r="BA139" s="488">
        <v>1</v>
      </c>
      <c r="BB139" s="433">
        <v>-0.48499999999999999</v>
      </c>
      <c r="BC139" s="319"/>
      <c r="BD139" s="355">
        <v>4.0460000000000003</v>
      </c>
      <c r="BE139" s="238">
        <v>3.4164072552812734</v>
      </c>
      <c r="BF139" s="319"/>
      <c r="BG139" s="238">
        <v>1.1000000000000001</v>
      </c>
      <c r="BH139" s="293"/>
      <c r="BI139" s="293"/>
      <c r="BJ139" s="238"/>
      <c r="BK139" s="319"/>
      <c r="BL139" s="238"/>
      <c r="BM139" s="238"/>
      <c r="BN139" s="256"/>
      <c r="BO139" s="256"/>
      <c r="BP139" s="293"/>
      <c r="BQ139" s="238"/>
      <c r="BR139" s="293"/>
      <c r="BS139" s="238"/>
      <c r="BT139" s="238"/>
      <c r="BU139" s="238"/>
      <c r="BV139" s="238"/>
      <c r="BW139" s="238"/>
      <c r="BX139" s="238"/>
      <c r="BY139" s="238"/>
      <c r="BZ139" s="238"/>
      <c r="CA139" s="238"/>
      <c r="CB139" s="238"/>
      <c r="CC139" s="238"/>
      <c r="CD139" s="238"/>
      <c r="CE139" s="238"/>
      <c r="CF139" s="238"/>
      <c r="CG139" s="238"/>
    </row>
    <row r="140" spans="1:85">
      <c r="A140" s="356">
        <v>40179</v>
      </c>
      <c r="B140" s="461">
        <v>3.9870000000000001</v>
      </c>
      <c r="C140" s="497">
        <v>-0.48499999999999999</v>
      </c>
      <c r="D140" s="359">
        <v>-0.397161888239423</v>
      </c>
      <c r="E140" s="359">
        <v>-0.12</v>
      </c>
      <c r="F140" s="469">
        <v>0.17499999999999999</v>
      </c>
      <c r="G140" s="470">
        <v>0.34</v>
      </c>
      <c r="H140" s="470">
        <v>0.29499999999999998</v>
      </c>
      <c r="I140" s="471">
        <v>0.39500000000000002</v>
      </c>
      <c r="J140" s="470">
        <v>0.13</v>
      </c>
      <c r="K140" s="470">
        <v>0.16</v>
      </c>
      <c r="L140" s="470">
        <v>1.6</v>
      </c>
      <c r="M140" s="469">
        <v>-0.2</v>
      </c>
      <c r="N140" s="470">
        <v>0.24</v>
      </c>
      <c r="O140" s="471">
        <v>0</v>
      </c>
      <c r="P140" s="419">
        <v>0.37800000000000006</v>
      </c>
      <c r="Q140" s="388">
        <v>0.185</v>
      </c>
      <c r="R140" s="475">
        <v>0.19500000000000001</v>
      </c>
      <c r="S140" s="365">
        <v>0.19500000000000001</v>
      </c>
      <c r="T140" s="274">
        <v>1</v>
      </c>
      <c r="U140" s="494">
        <v>0.19500000000000001</v>
      </c>
      <c r="V140" s="225">
        <v>3.5020000000000002</v>
      </c>
      <c r="W140" s="225">
        <v>3.5898381117605771</v>
      </c>
      <c r="X140" s="368">
        <v>3.867</v>
      </c>
      <c r="Y140" s="226"/>
      <c r="Z140" s="465">
        <v>0.13</v>
      </c>
      <c r="AA140" s="481">
        <v>0.54019831538883611</v>
      </c>
      <c r="AB140" s="487">
        <v>5.1829438369635747</v>
      </c>
      <c r="AC140" s="312">
        <v>5.3129438369635746</v>
      </c>
      <c r="AD140" s="368">
        <v>5.7231421523524109</v>
      </c>
      <c r="AE140" s="418">
        <v>4.3650000000000002</v>
      </c>
      <c r="AF140" s="373">
        <v>3.7869999999999999</v>
      </c>
      <c r="AG140" s="374">
        <v>3.9870000000000001</v>
      </c>
      <c r="AH140" s="423">
        <v>-0.18</v>
      </c>
      <c r="AI140" s="467">
        <v>1.56147801052297</v>
      </c>
      <c r="AJ140" s="478">
        <v>5.7987742920630102E-2</v>
      </c>
      <c r="AK140" s="478">
        <v>5.7593012222170198E-2</v>
      </c>
      <c r="AL140" s="354">
        <v>0.62140548135593143</v>
      </c>
      <c r="AM140" s="377">
        <v>0.62339286524621018</v>
      </c>
      <c r="AN140" s="353">
        <v>0.34</v>
      </c>
      <c r="AO140" s="378">
        <v>0.12</v>
      </c>
      <c r="AP140" s="238"/>
      <c r="AQ140" s="353">
        <v>-3.6024716607651905</v>
      </c>
      <c r="AR140" s="379">
        <v>-3.1174716607651907</v>
      </c>
      <c r="AS140" s="238"/>
      <c r="AT140" s="456">
        <v>7.4999999999999997E-3</v>
      </c>
      <c r="AU140" s="238"/>
      <c r="AV140" s="353">
        <v>8.0000000000000002E-3</v>
      </c>
      <c r="AW140" s="238">
        <v>0.02</v>
      </c>
      <c r="AX140" s="238">
        <v>0.03</v>
      </c>
      <c r="AY140" s="354"/>
      <c r="AZ140" s="488">
        <v>1.25</v>
      </c>
      <c r="BA140" s="488">
        <v>1</v>
      </c>
      <c r="BB140" s="433">
        <v>-0.48499999999999999</v>
      </c>
      <c r="BC140" s="319"/>
      <c r="BD140" s="355">
        <v>4.1369999999999996</v>
      </c>
      <c r="BE140" s="238">
        <v>3.5074054222621895</v>
      </c>
      <c r="BF140" s="319"/>
      <c r="BG140" s="238">
        <v>1.1000000000000001</v>
      </c>
      <c r="BH140" s="293"/>
      <c r="BI140" s="293"/>
      <c r="BJ140" s="238"/>
      <c r="BK140" s="319"/>
      <c r="BL140" s="238"/>
      <c r="BM140" s="238"/>
      <c r="BN140" s="256"/>
      <c r="BO140" s="256"/>
      <c r="BP140" s="293"/>
      <c r="BQ140" s="238"/>
      <c r="BR140" s="293"/>
      <c r="BS140" s="238"/>
      <c r="BT140" s="238"/>
      <c r="BU140" s="238"/>
      <c r="BV140" s="238"/>
      <c r="BW140" s="238"/>
      <c r="BX140" s="238"/>
      <c r="BY140" s="238"/>
      <c r="BZ140" s="238"/>
      <c r="CA140" s="238"/>
      <c r="CB140" s="238"/>
      <c r="CC140" s="238"/>
      <c r="CD140" s="238"/>
      <c r="CE140" s="238"/>
      <c r="CF140" s="238"/>
      <c r="CG140" s="238"/>
    </row>
    <row r="141" spans="1:85">
      <c r="A141" s="356">
        <v>40210</v>
      </c>
      <c r="B141" s="461">
        <v>3.8730000000000002</v>
      </c>
      <c r="C141" s="497">
        <v>-0.48499999999999999</v>
      </c>
      <c r="D141" s="359">
        <v>-0.3971922167037043</v>
      </c>
      <c r="E141" s="359">
        <v>-0.12</v>
      </c>
      <c r="F141" s="469">
        <v>0.17499999999999999</v>
      </c>
      <c r="G141" s="470">
        <v>0.34</v>
      </c>
      <c r="H141" s="470">
        <v>0.29499999999999998</v>
      </c>
      <c r="I141" s="471">
        <v>0.39500000000000002</v>
      </c>
      <c r="J141" s="470">
        <v>0.13</v>
      </c>
      <c r="K141" s="470">
        <v>0.16</v>
      </c>
      <c r="L141" s="470">
        <v>1.6</v>
      </c>
      <c r="M141" s="469">
        <v>-0.2</v>
      </c>
      <c r="N141" s="470">
        <v>0.24</v>
      </c>
      <c r="O141" s="471">
        <v>0</v>
      </c>
      <c r="P141" s="419">
        <v>0.248</v>
      </c>
      <c r="Q141" s="388">
        <v>0.18</v>
      </c>
      <c r="R141" s="475">
        <v>0.19</v>
      </c>
      <c r="S141" s="365">
        <v>0.19</v>
      </c>
      <c r="T141" s="274">
        <v>1</v>
      </c>
      <c r="U141" s="494">
        <v>0.19</v>
      </c>
      <c r="V141" s="225">
        <v>3.3880000000000003</v>
      </c>
      <c r="W141" s="225">
        <v>3.4758077832962959</v>
      </c>
      <c r="X141" s="368">
        <v>3.7530000000000001</v>
      </c>
      <c r="Y141" s="226"/>
      <c r="Z141" s="465">
        <v>0.13</v>
      </c>
      <c r="AA141" s="481">
        <v>0.54038489777024079</v>
      </c>
      <c r="AB141" s="487">
        <v>5.0159562565632285</v>
      </c>
      <c r="AC141" s="312">
        <v>5.1459562565632284</v>
      </c>
      <c r="AD141" s="368">
        <v>5.5563411543334693</v>
      </c>
      <c r="AE141" s="418">
        <v>4.1210000000000004</v>
      </c>
      <c r="AF141" s="373">
        <v>3.673</v>
      </c>
      <c r="AG141" s="374">
        <v>3.8730000000000002</v>
      </c>
      <c r="AH141" s="423">
        <v>-0.18</v>
      </c>
      <c r="AI141" s="467">
        <v>1.56201733890926</v>
      </c>
      <c r="AJ141" s="478">
        <v>5.8101355886341001E-2</v>
      </c>
      <c r="AK141" s="478">
        <v>5.7668330431076803E-2</v>
      </c>
      <c r="AL141" s="354">
        <v>0.61782416338207691</v>
      </c>
      <c r="AM141" s="377">
        <v>0.62001416999673209</v>
      </c>
      <c r="AN141" s="353">
        <v>0.34</v>
      </c>
      <c r="AO141" s="378">
        <v>0.13300000000000001</v>
      </c>
      <c r="AP141" s="238"/>
      <c r="AQ141" s="353">
        <v>-3.488474636149689</v>
      </c>
      <c r="AR141" s="379">
        <v>-3.0034746361496891</v>
      </c>
      <c r="AS141" s="238"/>
      <c r="AT141" s="456">
        <v>7.4999999999999997E-3</v>
      </c>
      <c r="AU141" s="238"/>
      <c r="AV141" s="353">
        <v>8.0000000000000002E-3</v>
      </c>
      <c r="AW141" s="238">
        <v>0.02</v>
      </c>
      <c r="AX141" s="238">
        <v>2.5000000000000001E-2</v>
      </c>
      <c r="AY141" s="354"/>
      <c r="AZ141" s="488">
        <v>1.25</v>
      </c>
      <c r="BA141" s="488">
        <v>1</v>
      </c>
      <c r="BB141" s="433">
        <v>-0.48499999999999999</v>
      </c>
      <c r="BC141" s="319"/>
      <c r="BD141" s="355">
        <v>4.0229999999999997</v>
      </c>
      <c r="BE141" s="238">
        <v>3.3934035558951572</v>
      </c>
      <c r="BF141" s="319"/>
      <c r="BG141" s="238">
        <v>1.1000000000000001</v>
      </c>
      <c r="BH141" s="293"/>
      <c r="BI141" s="293"/>
      <c r="BJ141" s="238"/>
      <c r="BK141" s="319"/>
      <c r="BL141" s="238"/>
      <c r="BM141" s="238"/>
      <c r="BN141" s="256"/>
      <c r="BO141" s="256"/>
      <c r="BP141" s="293"/>
      <c r="BQ141" s="238"/>
      <c r="BR141" s="293"/>
      <c r="BS141" s="238"/>
      <c r="BT141" s="238"/>
      <c r="BU141" s="238"/>
      <c r="BV141" s="238"/>
      <c r="BW141" s="238"/>
      <c r="BX141" s="238"/>
      <c r="BY141" s="238"/>
      <c r="BZ141" s="238"/>
      <c r="CA141" s="238"/>
      <c r="CB141" s="238"/>
      <c r="CC141" s="238"/>
      <c r="CD141" s="238"/>
      <c r="CE141" s="238"/>
      <c r="CF141" s="238"/>
      <c r="CG141" s="238"/>
    </row>
    <row r="142" spans="1:85">
      <c r="A142" s="356">
        <v>40238</v>
      </c>
      <c r="B142" s="461">
        <v>3.7410000000000001</v>
      </c>
      <c r="C142" s="497">
        <v>-0.48499999999999999</v>
      </c>
      <c r="D142" s="359">
        <v>-0.39722007539779591</v>
      </c>
      <c r="E142" s="359">
        <v>-0.12</v>
      </c>
      <c r="F142" s="469">
        <v>0.17499999999999999</v>
      </c>
      <c r="G142" s="470">
        <v>0.34</v>
      </c>
      <c r="H142" s="470">
        <v>0.29499999999999998</v>
      </c>
      <c r="I142" s="471">
        <v>0.39500000000000002</v>
      </c>
      <c r="J142" s="470">
        <v>0.13</v>
      </c>
      <c r="K142" s="470">
        <v>0.16</v>
      </c>
      <c r="L142" s="470">
        <v>0.72</v>
      </c>
      <c r="M142" s="469">
        <v>-0.2</v>
      </c>
      <c r="N142" s="470">
        <v>0.24</v>
      </c>
      <c r="O142" s="471">
        <v>0</v>
      </c>
      <c r="P142" s="419">
        <v>6.8000000000000005E-2</v>
      </c>
      <c r="Q142" s="388">
        <v>0.17749999999999999</v>
      </c>
      <c r="R142" s="475">
        <v>0.1875</v>
      </c>
      <c r="S142" s="365">
        <v>0.1875</v>
      </c>
      <c r="T142" s="274">
        <v>0.75</v>
      </c>
      <c r="U142" s="494">
        <v>0.1875</v>
      </c>
      <c r="V142" s="225">
        <v>3.2560000000000002</v>
      </c>
      <c r="W142" s="225">
        <v>3.3437799246022042</v>
      </c>
      <c r="X142" s="368">
        <v>3.621</v>
      </c>
      <c r="Y142" s="226"/>
      <c r="Z142" s="465">
        <v>0.13</v>
      </c>
      <c r="AA142" s="481">
        <v>0.54055639959855828</v>
      </c>
      <c r="AB142" s="487">
        <v>4.8220592797065969</v>
      </c>
      <c r="AC142" s="312">
        <v>4.9520592797065968</v>
      </c>
      <c r="AD142" s="368">
        <v>5.3626156793051551</v>
      </c>
      <c r="AE142" s="418">
        <v>3.8090000000000002</v>
      </c>
      <c r="AF142" s="373">
        <v>3.5409999999999999</v>
      </c>
      <c r="AG142" s="374">
        <v>3.7410000000000001</v>
      </c>
      <c r="AH142" s="423">
        <v>-0.18</v>
      </c>
      <c r="AI142" s="467">
        <v>1.5625130759859098</v>
      </c>
      <c r="AJ142" s="478">
        <v>5.8203974052608104E-2</v>
      </c>
      <c r="AK142" s="478">
        <v>5.7736359782678597E-2</v>
      </c>
      <c r="AL142" s="354">
        <v>0.61459729526956763</v>
      </c>
      <c r="AM142" s="377">
        <v>0.61697160958835573</v>
      </c>
      <c r="AN142" s="353">
        <v>0.34</v>
      </c>
      <c r="AO142" s="378">
        <v>0.12</v>
      </c>
      <c r="AP142" s="238"/>
      <c r="AQ142" s="353">
        <v>-3.3564774679971494</v>
      </c>
      <c r="AR142" s="379">
        <v>-2.8714774679971495</v>
      </c>
      <c r="AS142" s="238"/>
      <c r="AT142" s="456">
        <v>7.4999999999999997E-3</v>
      </c>
      <c r="AU142" s="238"/>
      <c r="AV142" s="353">
        <v>8.0000000000000002E-3</v>
      </c>
      <c r="AW142" s="238">
        <v>0.02</v>
      </c>
      <c r="AX142" s="238">
        <v>5.0000000000000001E-3</v>
      </c>
      <c r="AY142" s="354"/>
      <c r="AZ142" s="488">
        <v>1</v>
      </c>
      <c r="BA142" s="488">
        <v>0.75</v>
      </c>
      <c r="BB142" s="433">
        <v>-0.48499999999999999</v>
      </c>
      <c r="BC142" s="319"/>
      <c r="BD142" s="355">
        <v>3.891</v>
      </c>
      <c r="BE142" s="238">
        <v>3.2614018415139818</v>
      </c>
      <c r="BF142" s="319"/>
      <c r="BG142" s="238">
        <v>0.75</v>
      </c>
      <c r="BH142" s="293"/>
      <c r="BI142" s="293"/>
      <c r="BJ142" s="238"/>
      <c r="BK142" s="319"/>
      <c r="BL142" s="238"/>
      <c r="BM142" s="238"/>
      <c r="BN142" s="256"/>
      <c r="BO142" s="256"/>
      <c r="BP142" s="293"/>
      <c r="BQ142" s="238"/>
      <c r="BR142" s="293"/>
      <c r="BS142" s="238"/>
      <c r="BT142" s="238"/>
      <c r="BU142" s="238"/>
      <c r="BV142" s="238"/>
      <c r="BW142" s="238"/>
      <c r="BX142" s="238"/>
      <c r="BY142" s="238"/>
      <c r="BZ142" s="238"/>
      <c r="CA142" s="238"/>
      <c r="CB142" s="238"/>
      <c r="CC142" s="238"/>
      <c r="CD142" s="238"/>
      <c r="CE142" s="238"/>
      <c r="CF142" s="238"/>
      <c r="CG142" s="238"/>
    </row>
    <row r="143" spans="1:85">
      <c r="A143" s="356">
        <v>40269</v>
      </c>
      <c r="B143" s="461">
        <v>3.5430000000000001</v>
      </c>
      <c r="C143" s="498">
        <v>-0.62</v>
      </c>
      <c r="D143" s="359">
        <v>-0.53225143343986314</v>
      </c>
      <c r="E143" s="359">
        <v>-0.55250110264604846</v>
      </c>
      <c r="F143" s="469">
        <v>0.13</v>
      </c>
      <c r="G143" s="470">
        <v>0.13</v>
      </c>
      <c r="H143" s="470">
        <v>0.16500000000000001</v>
      </c>
      <c r="I143" s="471">
        <v>0.125</v>
      </c>
      <c r="J143" s="470">
        <v>4.4999999999999998E-2</v>
      </c>
      <c r="K143" s="470">
        <v>0.115</v>
      </c>
      <c r="L143" s="470">
        <v>0.4</v>
      </c>
      <c r="M143" s="469">
        <v>-0.32</v>
      </c>
      <c r="N143" s="470">
        <v>0.24</v>
      </c>
      <c r="O143" s="471">
        <v>0</v>
      </c>
      <c r="P143" s="419">
        <v>-0.25</v>
      </c>
      <c r="Q143" s="388">
        <v>0.17749999999999999</v>
      </c>
      <c r="R143" s="475">
        <v>0.185</v>
      </c>
      <c r="S143" s="365">
        <v>0.185</v>
      </c>
      <c r="T143" s="274">
        <v>0.4</v>
      </c>
      <c r="U143" s="494">
        <v>0.185</v>
      </c>
      <c r="V143" s="225">
        <v>2.923</v>
      </c>
      <c r="W143" s="225">
        <v>3.010748566560137</v>
      </c>
      <c r="X143" s="368">
        <v>2.9904988973539517</v>
      </c>
      <c r="Y143" s="226"/>
      <c r="Z143" s="465">
        <v>0.13</v>
      </c>
      <c r="AA143" s="481">
        <v>0.1</v>
      </c>
      <c r="AB143" s="487">
        <v>4.3304411102781826</v>
      </c>
      <c r="AC143" s="312">
        <v>4.4604411102781825</v>
      </c>
      <c r="AD143" s="368">
        <v>4.4304411102781822</v>
      </c>
      <c r="AE143" s="418">
        <v>3.2930000000000001</v>
      </c>
      <c r="AF143" s="373">
        <v>3.2230000000000003</v>
      </c>
      <c r="AG143" s="374">
        <v>3.5430000000000001</v>
      </c>
      <c r="AH143" s="423">
        <v>-0.255</v>
      </c>
      <c r="AI143" s="467">
        <v>1.5630714594750799</v>
      </c>
      <c r="AJ143" s="478">
        <v>5.8317587026488503E-2</v>
      </c>
      <c r="AK143" s="478">
        <v>5.7811677995176503E-2</v>
      </c>
      <c r="AL143" s="354">
        <v>0.61103348003131741</v>
      </c>
      <c r="AM143" s="377">
        <v>0.61361323059472528</v>
      </c>
      <c r="AN143" s="353">
        <v>0.13</v>
      </c>
      <c r="AO143" s="378">
        <v>0.124</v>
      </c>
      <c r="AP143" s="238"/>
      <c r="AQ143" s="353">
        <v>-3.4570293163273442</v>
      </c>
      <c r="AR143" s="379">
        <v>-2.8370293163273441</v>
      </c>
      <c r="AS143" s="238"/>
      <c r="AT143" s="456">
        <v>7.4999999999999997E-3</v>
      </c>
      <c r="AU143" s="238"/>
      <c r="AV143" s="353">
        <v>2.5000000000000001E-3</v>
      </c>
      <c r="AW143" s="238">
        <v>5.0000000000000001E-3</v>
      </c>
      <c r="AX143" s="238">
        <v>-8.5000000000000006E-2</v>
      </c>
      <c r="AY143" s="354"/>
      <c r="AZ143" s="488">
        <v>0.65</v>
      </c>
      <c r="BA143" s="488">
        <v>0.4</v>
      </c>
      <c r="BB143" s="433">
        <v>-0.62</v>
      </c>
      <c r="BC143" s="319"/>
      <c r="BD143" s="355">
        <v>3.593</v>
      </c>
      <c r="BE143" s="238">
        <v>2.924687472433849</v>
      </c>
      <c r="BF143" s="319"/>
      <c r="BG143" s="238">
        <v>0.45</v>
      </c>
      <c r="BH143" s="293"/>
      <c r="BI143" s="293"/>
      <c r="BJ143" s="238"/>
      <c r="BK143" s="319"/>
      <c r="BL143" s="238"/>
      <c r="BM143" s="238"/>
      <c r="BN143" s="256"/>
      <c r="BO143" s="256"/>
      <c r="BP143" s="293"/>
      <c r="BQ143" s="238"/>
      <c r="BR143" s="293"/>
      <c r="BS143" s="238"/>
      <c r="BT143" s="238"/>
      <c r="BU143" s="238"/>
      <c r="BV143" s="238"/>
      <c r="BW143" s="238"/>
      <c r="BX143" s="238"/>
      <c r="BY143" s="238"/>
      <c r="BZ143" s="238"/>
      <c r="CA143" s="238"/>
      <c r="CB143" s="238"/>
      <c r="CC143" s="238"/>
      <c r="CD143" s="238"/>
      <c r="CE143" s="238"/>
      <c r="CF143" s="238"/>
      <c r="CG143" s="238"/>
    </row>
    <row r="144" spans="1:85">
      <c r="A144" s="356">
        <v>40299</v>
      </c>
      <c r="B144" s="461">
        <v>3.5390000000000001</v>
      </c>
      <c r="C144" s="497">
        <v>-0.62</v>
      </c>
      <c r="D144" s="359">
        <v>-0.53228229409703864</v>
      </c>
      <c r="E144" s="359">
        <v>-0.55252484161310633</v>
      </c>
      <c r="F144" s="469">
        <v>0.13</v>
      </c>
      <c r="G144" s="470">
        <v>0.13</v>
      </c>
      <c r="H144" s="470">
        <v>0.16500000000000001</v>
      </c>
      <c r="I144" s="471">
        <v>0.125</v>
      </c>
      <c r="J144" s="470">
        <v>4.4999999999999998E-2</v>
      </c>
      <c r="K144" s="470">
        <v>0.115</v>
      </c>
      <c r="L144" s="470">
        <v>0.35</v>
      </c>
      <c r="M144" s="469">
        <v>-0.32</v>
      </c>
      <c r="N144" s="470">
        <v>0.24</v>
      </c>
      <c r="O144" s="471">
        <v>0</v>
      </c>
      <c r="P144" s="419">
        <v>-0.25</v>
      </c>
      <c r="Q144" s="388">
        <v>0.17749999999999999</v>
      </c>
      <c r="R144" s="475">
        <v>0.185</v>
      </c>
      <c r="S144" s="365">
        <v>0.185</v>
      </c>
      <c r="T144" s="274">
        <v>0.45</v>
      </c>
      <c r="U144" s="494">
        <v>0.185</v>
      </c>
      <c r="V144" s="225">
        <v>2.919</v>
      </c>
      <c r="W144" s="225">
        <v>3.0067177059029615</v>
      </c>
      <c r="X144" s="368">
        <v>2.9864751583868938</v>
      </c>
      <c r="Y144" s="226"/>
      <c r="Z144" s="465">
        <v>0.13</v>
      </c>
      <c r="AA144" s="481">
        <v>0.1</v>
      </c>
      <c r="AB144" s="487">
        <v>4.3260365292703042</v>
      </c>
      <c r="AC144" s="312">
        <v>4.4560365292703041</v>
      </c>
      <c r="AD144" s="368">
        <v>4.4260365292703039</v>
      </c>
      <c r="AE144" s="418">
        <v>3.2890000000000001</v>
      </c>
      <c r="AF144" s="373">
        <v>3.2190000000000003</v>
      </c>
      <c r="AG144" s="374">
        <v>3.5390000000000001</v>
      </c>
      <c r="AH144" s="423">
        <v>-0.255</v>
      </c>
      <c r="AI144" s="467">
        <v>1.5636213759595099</v>
      </c>
      <c r="AJ144" s="478">
        <v>5.8427535069814698E-2</v>
      </c>
      <c r="AK144" s="478">
        <v>5.7884566589712999E-2</v>
      </c>
      <c r="AL144" s="354">
        <v>0.60759349320035461</v>
      </c>
      <c r="AM144" s="377">
        <v>0.610373385070341</v>
      </c>
      <c r="AN144" s="353">
        <v>0.13</v>
      </c>
      <c r="AO144" s="378">
        <v>0.12</v>
      </c>
      <c r="AP144" s="238"/>
      <c r="AQ144" s="353">
        <v>-3.4530530453718158</v>
      </c>
      <c r="AR144" s="379">
        <v>-2.8330530453718157</v>
      </c>
      <c r="AS144" s="238"/>
      <c r="AT144" s="456">
        <v>7.4999999999999997E-3</v>
      </c>
      <c r="AU144" s="238"/>
      <c r="AV144" s="353">
        <v>2.5000000000000001E-3</v>
      </c>
      <c r="AW144" s="238">
        <v>5.0000000000000001E-3</v>
      </c>
      <c r="AX144" s="238">
        <v>-8.5000000000000006E-2</v>
      </c>
      <c r="AY144" s="354"/>
      <c r="AZ144" s="488">
        <v>0.7</v>
      </c>
      <c r="BA144" s="488">
        <v>0.45</v>
      </c>
      <c r="BB144" s="433">
        <v>-0.62</v>
      </c>
      <c r="BC144" s="319"/>
      <c r="BD144" s="355">
        <v>3.589</v>
      </c>
      <c r="BE144" s="238">
        <v>2.9206868789596725</v>
      </c>
      <c r="BF144" s="319"/>
      <c r="BG144" s="238">
        <v>0.5</v>
      </c>
      <c r="BH144" s="293"/>
      <c r="BI144" s="293"/>
      <c r="BJ144" s="238"/>
      <c r="BK144" s="319"/>
      <c r="BL144" s="238"/>
      <c r="BM144" s="238"/>
      <c r="BN144" s="256"/>
      <c r="BO144" s="256"/>
      <c r="BP144" s="293"/>
      <c r="BQ144" s="238"/>
      <c r="BR144" s="293"/>
      <c r="BS144" s="238"/>
      <c r="BT144" s="238"/>
      <c r="BU144" s="238"/>
      <c r="BV144" s="238"/>
      <c r="BW144" s="238"/>
      <c r="BX144" s="238"/>
      <c r="BY144" s="238"/>
      <c r="BZ144" s="238"/>
      <c r="CA144" s="238"/>
      <c r="CB144" s="238"/>
      <c r="CC144" s="238"/>
      <c r="CD144" s="238"/>
      <c r="CE144" s="238"/>
      <c r="CF144" s="238"/>
      <c r="CG144" s="238"/>
    </row>
    <row r="145" spans="1:85">
      <c r="A145" s="356">
        <v>40330</v>
      </c>
      <c r="B145" s="461">
        <v>3.5710000000000002</v>
      </c>
      <c r="C145" s="497">
        <v>-0.62</v>
      </c>
      <c r="D145" s="359">
        <v>-0.53231471409167108</v>
      </c>
      <c r="E145" s="359">
        <v>-0.55254978007051658</v>
      </c>
      <c r="F145" s="469">
        <v>0.13</v>
      </c>
      <c r="G145" s="470">
        <v>0.13</v>
      </c>
      <c r="H145" s="470">
        <v>0.16500000000000001</v>
      </c>
      <c r="I145" s="471">
        <v>0.125</v>
      </c>
      <c r="J145" s="470">
        <v>4.4999999999999998E-2</v>
      </c>
      <c r="K145" s="470">
        <v>0.115</v>
      </c>
      <c r="L145" s="470">
        <v>0.39</v>
      </c>
      <c r="M145" s="469">
        <v>-0.32</v>
      </c>
      <c r="N145" s="470">
        <v>0.24</v>
      </c>
      <c r="O145" s="471">
        <v>0</v>
      </c>
      <c r="P145" s="419">
        <v>-0.25</v>
      </c>
      <c r="Q145" s="388">
        <v>0.17749999999999999</v>
      </c>
      <c r="R145" s="475">
        <v>0.185</v>
      </c>
      <c r="S145" s="365">
        <v>0.185</v>
      </c>
      <c r="T145" s="274">
        <v>0.45</v>
      </c>
      <c r="U145" s="494">
        <v>0.185</v>
      </c>
      <c r="V145" s="225">
        <v>2.9510000000000001</v>
      </c>
      <c r="W145" s="225">
        <v>3.0386852859083291</v>
      </c>
      <c r="X145" s="368">
        <v>3.0184502199294836</v>
      </c>
      <c r="Y145" s="226"/>
      <c r="Z145" s="465">
        <v>0.13</v>
      </c>
      <c r="AA145" s="481">
        <v>0.1</v>
      </c>
      <c r="AB145" s="487">
        <v>4.3750783957192771</v>
      </c>
      <c r="AC145" s="312">
        <v>4.505078395719277</v>
      </c>
      <c r="AD145" s="368">
        <v>4.4750783957192768</v>
      </c>
      <c r="AE145" s="418">
        <v>3.3210000000000002</v>
      </c>
      <c r="AF145" s="373">
        <v>3.2510000000000003</v>
      </c>
      <c r="AG145" s="374">
        <v>3.5710000000000002</v>
      </c>
      <c r="AH145" s="423">
        <v>-0.255</v>
      </c>
      <c r="AI145" s="467">
        <v>1.5641994957214498</v>
      </c>
      <c r="AJ145" s="478">
        <v>5.8541148052141195E-2</v>
      </c>
      <c r="AK145" s="478">
        <v>5.7959884805923997E-2</v>
      </c>
      <c r="AL145" s="354">
        <v>0.60404807943451111</v>
      </c>
      <c r="AM145" s="377">
        <v>0.60703610744810266</v>
      </c>
      <c r="AN145" s="353">
        <v>0.13</v>
      </c>
      <c r="AO145" s="378">
        <v>0.124</v>
      </c>
      <c r="AP145" s="238"/>
      <c r="AQ145" s="353">
        <v>-3.485077973405267</v>
      </c>
      <c r="AR145" s="379">
        <v>-2.8650779734052669</v>
      </c>
      <c r="AS145" s="238"/>
      <c r="AT145" s="456">
        <v>7.4999999999999997E-3</v>
      </c>
      <c r="AU145" s="238"/>
      <c r="AV145" s="353">
        <v>2.5000000000000001E-3</v>
      </c>
      <c r="AW145" s="238">
        <v>5.0000000000000001E-3</v>
      </c>
      <c r="AX145" s="238">
        <v>-8.5000000000000006E-2</v>
      </c>
      <c r="AY145" s="354"/>
      <c r="AZ145" s="488">
        <v>0.7</v>
      </c>
      <c r="BA145" s="488">
        <v>0.45</v>
      </c>
      <c r="BB145" s="433">
        <v>-0.62</v>
      </c>
      <c r="BC145" s="319"/>
      <c r="BD145" s="355">
        <v>3.621</v>
      </c>
      <c r="BE145" s="238">
        <v>2.9526862554982372</v>
      </c>
      <c r="BF145" s="319"/>
      <c r="BG145" s="238">
        <v>0.5</v>
      </c>
      <c r="BH145" s="293"/>
      <c r="BI145" s="293"/>
      <c r="BJ145" s="238"/>
      <c r="BK145" s="319"/>
      <c r="BL145" s="238"/>
      <c r="BM145" s="238"/>
      <c r="BN145" s="256"/>
      <c r="BO145" s="256"/>
      <c r="BP145" s="293"/>
      <c r="BQ145" s="238"/>
      <c r="BR145" s="293"/>
      <c r="BS145" s="238"/>
      <c r="BT145" s="238"/>
      <c r="BU145" s="238"/>
      <c r="BV145" s="238"/>
      <c r="BW145" s="238"/>
      <c r="BX145" s="238"/>
      <c r="BY145" s="238"/>
      <c r="BZ145" s="238"/>
      <c r="CA145" s="238"/>
      <c r="CB145" s="238"/>
      <c r="CC145" s="238"/>
      <c r="CD145" s="238"/>
      <c r="CE145" s="238"/>
      <c r="CF145" s="238"/>
      <c r="CG145" s="238"/>
    </row>
    <row r="146" spans="1:85">
      <c r="A146" s="356">
        <v>40360</v>
      </c>
      <c r="B146" s="461">
        <v>3.621</v>
      </c>
      <c r="C146" s="497">
        <v>-0.62</v>
      </c>
      <c r="D146" s="359">
        <v>-0.53234660117541033</v>
      </c>
      <c r="E146" s="359">
        <v>-0.55257430859646961</v>
      </c>
      <c r="F146" s="469">
        <v>0.13</v>
      </c>
      <c r="G146" s="470">
        <v>0.13</v>
      </c>
      <c r="H146" s="470">
        <v>0.16500000000000001</v>
      </c>
      <c r="I146" s="471">
        <v>0.125</v>
      </c>
      <c r="J146" s="470">
        <v>4.4999999999999998E-2</v>
      </c>
      <c r="K146" s="470">
        <v>0.115</v>
      </c>
      <c r="L146" s="470">
        <v>0.43</v>
      </c>
      <c r="M146" s="469">
        <v>-0.32</v>
      </c>
      <c r="N146" s="470">
        <v>0.24</v>
      </c>
      <c r="O146" s="471">
        <v>0</v>
      </c>
      <c r="P146" s="419">
        <v>-0.25</v>
      </c>
      <c r="Q146" s="388">
        <v>0.17749999999999999</v>
      </c>
      <c r="R146" s="475">
        <v>0.185</v>
      </c>
      <c r="S146" s="365">
        <v>0.185</v>
      </c>
      <c r="T146" s="274">
        <v>0.5</v>
      </c>
      <c r="U146" s="494">
        <v>0.185</v>
      </c>
      <c r="V146" s="225">
        <v>3.0009999999999999</v>
      </c>
      <c r="W146" s="225">
        <v>3.0886533988245897</v>
      </c>
      <c r="X146" s="368">
        <v>3.0684256914035304</v>
      </c>
      <c r="Y146" s="226"/>
      <c r="Z146" s="465">
        <v>0.13</v>
      </c>
      <c r="AA146" s="481">
        <v>0.1</v>
      </c>
      <c r="AB146" s="487">
        <v>4.4508256979369509</v>
      </c>
      <c r="AC146" s="312">
        <v>4.5808256979369508</v>
      </c>
      <c r="AD146" s="368">
        <v>4.5508256979369506</v>
      </c>
      <c r="AE146" s="418">
        <v>3.371</v>
      </c>
      <c r="AF146" s="373">
        <v>3.3010000000000002</v>
      </c>
      <c r="AG146" s="374">
        <v>3.621</v>
      </c>
      <c r="AH146" s="423">
        <v>-0.255</v>
      </c>
      <c r="AI146" s="467">
        <v>1.5647685296776299</v>
      </c>
      <c r="AJ146" s="478">
        <v>5.8651096103639902E-2</v>
      </c>
      <c r="AK146" s="478">
        <v>5.8032773404053106E-2</v>
      </c>
      <c r="AL146" s="354">
        <v>0.60062604800092367</v>
      </c>
      <c r="AM146" s="377">
        <v>0.60381672856825852</v>
      </c>
      <c r="AN146" s="353">
        <v>0.13</v>
      </c>
      <c r="AO146" s="378">
        <v>0.12</v>
      </c>
      <c r="AP146" s="238"/>
      <c r="AQ146" s="353">
        <v>-3.5351024916786082</v>
      </c>
      <c r="AR146" s="379">
        <v>-2.9151024916786081</v>
      </c>
      <c r="AS146" s="238"/>
      <c r="AT146" s="456">
        <v>7.4999999999999997E-3</v>
      </c>
      <c r="AU146" s="238"/>
      <c r="AV146" s="353">
        <v>2.5000000000000001E-3</v>
      </c>
      <c r="AW146" s="238">
        <v>5.0000000000000001E-3</v>
      </c>
      <c r="AX146" s="238">
        <v>-8.5000000000000006E-2</v>
      </c>
      <c r="AY146" s="354"/>
      <c r="AZ146" s="488">
        <v>0.75</v>
      </c>
      <c r="BA146" s="488">
        <v>0.5</v>
      </c>
      <c r="BB146" s="433">
        <v>-0.62</v>
      </c>
      <c r="BC146" s="319"/>
      <c r="BD146" s="355">
        <v>3.6709999999999998</v>
      </c>
      <c r="BE146" s="238">
        <v>3.0026856422850883</v>
      </c>
      <c r="BF146" s="319"/>
      <c r="BG146" s="238">
        <v>0.55000000000000004</v>
      </c>
      <c r="BH146" s="293"/>
      <c r="BI146" s="293"/>
      <c r="BJ146" s="238"/>
      <c r="BK146" s="319"/>
      <c r="BL146" s="238"/>
      <c r="BM146" s="238"/>
      <c r="BN146" s="256"/>
      <c r="BO146" s="256"/>
      <c r="BP146" s="293"/>
      <c r="BQ146" s="238"/>
      <c r="BR146" s="293"/>
      <c r="BS146" s="238"/>
      <c r="BT146" s="238"/>
      <c r="BU146" s="238"/>
      <c r="BV146" s="238"/>
      <c r="BW146" s="238"/>
      <c r="BX146" s="238"/>
      <c r="BY146" s="238"/>
      <c r="BZ146" s="238"/>
      <c r="CA146" s="238"/>
      <c r="CB146" s="238"/>
      <c r="CC146" s="238"/>
      <c r="CD146" s="238"/>
      <c r="CE146" s="238"/>
      <c r="CF146" s="238"/>
      <c r="CG146" s="238"/>
    </row>
    <row r="147" spans="1:85">
      <c r="A147" s="356">
        <v>40391</v>
      </c>
      <c r="B147" s="461">
        <v>3.6549999999999998</v>
      </c>
      <c r="C147" s="497">
        <v>-0.62</v>
      </c>
      <c r="D147" s="359">
        <v>-0.53238008048025787</v>
      </c>
      <c r="E147" s="359">
        <v>-0.55260006190789079</v>
      </c>
      <c r="F147" s="469">
        <v>0.13</v>
      </c>
      <c r="G147" s="470">
        <v>0.13</v>
      </c>
      <c r="H147" s="470">
        <v>0.16500000000000001</v>
      </c>
      <c r="I147" s="471">
        <v>0.125</v>
      </c>
      <c r="J147" s="470">
        <v>4.4999999999999998E-2</v>
      </c>
      <c r="K147" s="470">
        <v>0.115</v>
      </c>
      <c r="L147" s="470">
        <v>0.43</v>
      </c>
      <c r="M147" s="469">
        <v>-0.32</v>
      </c>
      <c r="N147" s="470">
        <v>0.24</v>
      </c>
      <c r="O147" s="471">
        <v>0</v>
      </c>
      <c r="P147" s="419">
        <v>-0.25</v>
      </c>
      <c r="Q147" s="388">
        <v>0.17749999999999999</v>
      </c>
      <c r="R147" s="475">
        <v>0.185</v>
      </c>
      <c r="S147" s="365">
        <v>0.185</v>
      </c>
      <c r="T147" s="274">
        <v>0.55000000000000004</v>
      </c>
      <c r="U147" s="494">
        <v>0.185</v>
      </c>
      <c r="V147" s="225">
        <v>3.0350000000000001</v>
      </c>
      <c r="W147" s="225">
        <v>3.1226199195197419</v>
      </c>
      <c r="X147" s="368">
        <v>3.102399938092109</v>
      </c>
      <c r="Y147" s="226"/>
      <c r="Z147" s="465">
        <v>0.13</v>
      </c>
      <c r="AA147" s="481">
        <v>0.1</v>
      </c>
      <c r="AB147" s="487">
        <v>4.5029714950959123</v>
      </c>
      <c r="AC147" s="312">
        <v>4.6329714950959122</v>
      </c>
      <c r="AD147" s="368">
        <v>4.602971495095912</v>
      </c>
      <c r="AE147" s="418">
        <v>3.4049999999999998</v>
      </c>
      <c r="AF147" s="373">
        <v>3.335</v>
      </c>
      <c r="AG147" s="374">
        <v>3.6549999999999998</v>
      </c>
      <c r="AH147" s="423">
        <v>-0.255</v>
      </c>
      <c r="AI147" s="467">
        <v>1.56536642297526</v>
      </c>
      <c r="AJ147" s="478">
        <v>5.8764709094411706E-2</v>
      </c>
      <c r="AK147" s="478">
        <v>5.8108091623976704E-2</v>
      </c>
      <c r="AL147" s="354">
        <v>0.59709933866302101</v>
      </c>
      <c r="AM147" s="377">
        <v>0.60050064627293664</v>
      </c>
      <c r="AN147" s="353">
        <v>0.13</v>
      </c>
      <c r="AO147" s="378">
        <v>0.12</v>
      </c>
      <c r="AP147" s="238"/>
      <c r="AQ147" s="353">
        <v>-3.5691282342254724</v>
      </c>
      <c r="AR147" s="379">
        <v>-2.9491282342254723</v>
      </c>
      <c r="AS147" s="238"/>
      <c r="AT147" s="456">
        <v>7.4999999999999997E-3</v>
      </c>
      <c r="AU147" s="238"/>
      <c r="AV147" s="353">
        <v>2.5000000000000001E-3</v>
      </c>
      <c r="AW147" s="238">
        <v>5.0000000000000001E-3</v>
      </c>
      <c r="AX147" s="238">
        <v>-8.5000000000000006E-2</v>
      </c>
      <c r="AY147" s="354"/>
      <c r="AZ147" s="488">
        <v>0.8</v>
      </c>
      <c r="BA147" s="488">
        <v>0.55000000000000004</v>
      </c>
      <c r="BB147" s="433">
        <v>-0.62</v>
      </c>
      <c r="BC147" s="319"/>
      <c r="BD147" s="355">
        <v>3.7050000000000001</v>
      </c>
      <c r="BE147" s="238">
        <v>3.0366849984523023</v>
      </c>
      <c r="BF147" s="319"/>
      <c r="BG147" s="238">
        <v>0.6</v>
      </c>
      <c r="BH147" s="293"/>
      <c r="BI147" s="293"/>
      <c r="BJ147" s="238"/>
      <c r="BK147" s="319"/>
      <c r="BL147" s="238"/>
      <c r="BM147" s="238"/>
      <c r="BN147" s="256"/>
      <c r="BO147" s="256"/>
      <c r="BP147" s="293"/>
      <c r="BQ147" s="238"/>
      <c r="BR147" s="293"/>
      <c r="BS147" s="238"/>
      <c r="BT147" s="238"/>
      <c r="BU147" s="238"/>
      <c r="BV147" s="238"/>
      <c r="BW147" s="238"/>
      <c r="BX147" s="238"/>
      <c r="BY147" s="238"/>
      <c r="BZ147" s="238"/>
      <c r="CA147" s="238"/>
      <c r="CB147" s="238"/>
      <c r="CC147" s="238"/>
      <c r="CD147" s="238"/>
      <c r="CE147" s="238"/>
      <c r="CF147" s="238"/>
      <c r="CG147" s="238"/>
    </row>
    <row r="148" spans="1:85">
      <c r="A148" s="356">
        <v>40422</v>
      </c>
      <c r="B148" s="461">
        <v>3.6680000000000001</v>
      </c>
      <c r="C148" s="497">
        <v>-0.62</v>
      </c>
      <c r="D148" s="359">
        <v>-0.53241409708655008</v>
      </c>
      <c r="E148" s="359">
        <v>-0.5526262285281156</v>
      </c>
      <c r="F148" s="469">
        <v>0.13</v>
      </c>
      <c r="G148" s="470">
        <v>0.13</v>
      </c>
      <c r="H148" s="470">
        <v>0.16500000000000001</v>
      </c>
      <c r="I148" s="471">
        <v>0.125</v>
      </c>
      <c r="J148" s="470">
        <v>4.4999999999999998E-2</v>
      </c>
      <c r="K148" s="470">
        <v>0.115</v>
      </c>
      <c r="L148" s="470">
        <v>0.38</v>
      </c>
      <c r="M148" s="469">
        <v>-0.32</v>
      </c>
      <c r="N148" s="470">
        <v>0.24</v>
      </c>
      <c r="O148" s="471">
        <v>0</v>
      </c>
      <c r="P148" s="419">
        <v>-0.25</v>
      </c>
      <c r="Q148" s="388">
        <v>0.17749999999999999</v>
      </c>
      <c r="R148" s="475">
        <v>0.185</v>
      </c>
      <c r="S148" s="365">
        <v>0.185</v>
      </c>
      <c r="T148" s="274">
        <v>0.55000000000000004</v>
      </c>
      <c r="U148" s="494">
        <v>0.185</v>
      </c>
      <c r="V148" s="225">
        <v>3.048</v>
      </c>
      <c r="W148" s="225">
        <v>3.1355859029134501</v>
      </c>
      <c r="X148" s="368">
        <v>3.1153737714718845</v>
      </c>
      <c r="Y148" s="226"/>
      <c r="Z148" s="465">
        <v>0.13</v>
      </c>
      <c r="AA148" s="481">
        <v>0.1</v>
      </c>
      <c r="AB148" s="487">
        <v>4.5240157013800744</v>
      </c>
      <c r="AC148" s="312">
        <v>4.6540157013800743</v>
      </c>
      <c r="AD148" s="368">
        <v>4.624015701380074</v>
      </c>
      <c r="AE148" s="418">
        <v>3.4180000000000001</v>
      </c>
      <c r="AF148" s="373">
        <v>3.3480000000000003</v>
      </c>
      <c r="AG148" s="374">
        <v>3.6680000000000001</v>
      </c>
      <c r="AH148" s="423">
        <v>-0.255</v>
      </c>
      <c r="AI148" s="467">
        <v>1.5659743798672099</v>
      </c>
      <c r="AJ148" s="478">
        <v>5.8878322089474598E-2</v>
      </c>
      <c r="AK148" s="478">
        <v>5.8183409845786703E-2</v>
      </c>
      <c r="AL148" s="354">
        <v>0.59358224850763863</v>
      </c>
      <c r="AM148" s="377">
        <v>0.59719537006548973</v>
      </c>
      <c r="AN148" s="353">
        <v>0.13</v>
      </c>
      <c r="AO148" s="378">
        <v>0.124</v>
      </c>
      <c r="AP148" s="238"/>
      <c r="AQ148" s="353">
        <v>-3.5821543899083825</v>
      </c>
      <c r="AR148" s="379">
        <v>-2.9621543899083824</v>
      </c>
      <c r="AS148" s="238"/>
      <c r="AT148" s="456">
        <v>7.4999999999999997E-3</v>
      </c>
      <c r="AU148" s="238"/>
      <c r="AV148" s="353">
        <v>2.5000000000000001E-3</v>
      </c>
      <c r="AW148" s="238">
        <v>5.0000000000000001E-3</v>
      </c>
      <c r="AX148" s="238">
        <v>-8.5000000000000006E-2</v>
      </c>
      <c r="AY148" s="354"/>
      <c r="AZ148" s="488">
        <v>0.8</v>
      </c>
      <c r="BA148" s="488">
        <v>0.55000000000000004</v>
      </c>
      <c r="BB148" s="433">
        <v>-0.62</v>
      </c>
      <c r="BC148" s="319"/>
      <c r="BD148" s="355">
        <v>3.718</v>
      </c>
      <c r="BE148" s="238">
        <v>3.0496843442867974</v>
      </c>
      <c r="BF148" s="319"/>
      <c r="BG148" s="238">
        <v>0.6</v>
      </c>
      <c r="BH148" s="293"/>
      <c r="BI148" s="293"/>
      <c r="BJ148" s="238"/>
      <c r="BK148" s="319"/>
      <c r="BL148" s="238"/>
      <c r="BM148" s="238"/>
      <c r="BN148" s="256"/>
      <c r="BO148" s="256"/>
      <c r="BP148" s="293"/>
      <c r="BQ148" s="238"/>
      <c r="BR148" s="293"/>
      <c r="BS148" s="238"/>
      <c r="BT148" s="238"/>
      <c r="BU148" s="238"/>
      <c r="BV148" s="238"/>
      <c r="BW148" s="238"/>
      <c r="BX148" s="238"/>
      <c r="BY148" s="238"/>
      <c r="BZ148" s="238"/>
      <c r="CA148" s="238"/>
      <c r="CB148" s="238"/>
      <c r="CC148" s="238"/>
      <c r="CD148" s="238"/>
      <c r="CE148" s="238"/>
      <c r="CF148" s="238"/>
      <c r="CG148" s="238"/>
    </row>
    <row r="149" spans="1:85">
      <c r="A149" s="356">
        <v>40452</v>
      </c>
      <c r="B149" s="461">
        <v>3.68</v>
      </c>
      <c r="C149" s="497">
        <v>-0.62</v>
      </c>
      <c r="D149" s="359">
        <v>-0.53244752729548228</v>
      </c>
      <c r="E149" s="359">
        <v>-0.55265194407344831</v>
      </c>
      <c r="F149" s="469">
        <v>0.13</v>
      </c>
      <c r="G149" s="470">
        <v>0.13</v>
      </c>
      <c r="H149" s="470">
        <v>0.16500000000000001</v>
      </c>
      <c r="I149" s="471">
        <v>0.125</v>
      </c>
      <c r="J149" s="470">
        <v>4.4999999999999998E-2</v>
      </c>
      <c r="K149" s="470">
        <v>0.115</v>
      </c>
      <c r="L149" s="470">
        <v>0.42</v>
      </c>
      <c r="M149" s="469">
        <v>-0.32</v>
      </c>
      <c r="N149" s="470">
        <v>0.24</v>
      </c>
      <c r="O149" s="471">
        <v>0</v>
      </c>
      <c r="P149" s="419">
        <v>-0.25</v>
      </c>
      <c r="Q149" s="388">
        <v>0.17749999999999999</v>
      </c>
      <c r="R149" s="475">
        <v>0.185</v>
      </c>
      <c r="S149" s="365">
        <v>0.185</v>
      </c>
      <c r="T149" s="274">
        <v>0.6</v>
      </c>
      <c r="U149" s="494">
        <v>0.185</v>
      </c>
      <c r="V149" s="225">
        <v>3.06</v>
      </c>
      <c r="W149" s="225">
        <v>3.1475524727045179</v>
      </c>
      <c r="X149" s="368">
        <v>3.1273480559265519</v>
      </c>
      <c r="Y149" s="226"/>
      <c r="Z149" s="465">
        <v>0.13</v>
      </c>
      <c r="AA149" s="481">
        <v>0.1</v>
      </c>
      <c r="AB149" s="487">
        <v>4.5435609950450884</v>
      </c>
      <c r="AC149" s="312">
        <v>4.6735609950450883</v>
      </c>
      <c r="AD149" s="368">
        <v>4.643560995045088</v>
      </c>
      <c r="AE149" s="418">
        <v>3.43</v>
      </c>
      <c r="AF149" s="373">
        <v>3.36</v>
      </c>
      <c r="AG149" s="374">
        <v>3.68</v>
      </c>
      <c r="AH149" s="423">
        <v>-0.255</v>
      </c>
      <c r="AI149" s="467">
        <v>1.5665723167281997</v>
      </c>
      <c r="AJ149" s="478">
        <v>5.8988270153298702E-2</v>
      </c>
      <c r="AK149" s="478">
        <v>5.82562984493342E-2</v>
      </c>
      <c r="AL149" s="354">
        <v>0.59018784251737144</v>
      </c>
      <c r="AM149" s="377">
        <v>0.59400702586396292</v>
      </c>
      <c r="AN149" s="353">
        <v>0.13</v>
      </c>
      <c r="AO149" s="378">
        <v>0.12</v>
      </c>
      <c r="AP149" s="238"/>
      <c r="AQ149" s="353">
        <v>-3.5911800947049435</v>
      </c>
      <c r="AR149" s="379">
        <v>-2.9711800947049434</v>
      </c>
      <c r="AS149" s="238"/>
      <c r="AT149" s="456">
        <v>7.4999999999999997E-3</v>
      </c>
      <c r="AU149" s="238"/>
      <c r="AV149" s="353">
        <v>2.5000000000000001E-3</v>
      </c>
      <c r="AW149" s="238">
        <v>5.0000000000000001E-3</v>
      </c>
      <c r="AX149" s="238">
        <v>-8.5000000000000006E-2</v>
      </c>
      <c r="AY149" s="354"/>
      <c r="AZ149" s="488">
        <v>0.85</v>
      </c>
      <c r="BA149" s="488">
        <v>0.6</v>
      </c>
      <c r="BB149" s="433">
        <v>-0.62</v>
      </c>
      <c r="BC149" s="319"/>
      <c r="BD149" s="355">
        <v>3.73</v>
      </c>
      <c r="BE149" s="238">
        <v>3.0616837013981639</v>
      </c>
      <c r="BF149" s="319"/>
      <c r="BG149" s="238">
        <v>0.65</v>
      </c>
      <c r="BH149" s="293"/>
      <c r="BI149" s="293"/>
      <c r="BJ149" s="238"/>
      <c r="BK149" s="319"/>
      <c r="BL149" s="238"/>
      <c r="BM149" s="238"/>
      <c r="BN149" s="256"/>
      <c r="BO149" s="256"/>
      <c r="BP149" s="293"/>
      <c r="BQ149" s="238"/>
      <c r="BR149" s="293"/>
      <c r="BS149" s="238"/>
      <c r="BT149" s="238"/>
      <c r="BU149" s="238"/>
      <c r="BV149" s="238"/>
      <c r="BW149" s="238"/>
      <c r="BX149" s="238"/>
      <c r="BY149" s="238"/>
      <c r="BZ149" s="238"/>
      <c r="CA149" s="238"/>
      <c r="CB149" s="238"/>
      <c r="CC149" s="238"/>
      <c r="CD149" s="238"/>
      <c r="CE149" s="238"/>
      <c r="CF149" s="238"/>
      <c r="CG149" s="238"/>
    </row>
    <row r="150" spans="1:85">
      <c r="A150" s="460">
        <v>40483</v>
      </c>
      <c r="B150" s="461">
        <v>3.8250000000000002</v>
      </c>
      <c r="C150" s="498">
        <v>-0.59</v>
      </c>
      <c r="D150" s="359">
        <v>-0.50248259908590098</v>
      </c>
      <c r="E150" s="359">
        <v>-0.12</v>
      </c>
      <c r="F150" s="469">
        <v>0.17499999999999999</v>
      </c>
      <c r="G150" s="470">
        <v>0.33500000000000002</v>
      </c>
      <c r="H150" s="470">
        <v>0.29499999999999998</v>
      </c>
      <c r="I150" s="471">
        <v>0.39500000000000002</v>
      </c>
      <c r="J150" s="470">
        <v>0.13</v>
      </c>
      <c r="K150" s="470">
        <v>0.16</v>
      </c>
      <c r="L150" s="470">
        <v>0.73</v>
      </c>
      <c r="M150" s="469">
        <v>-0.2</v>
      </c>
      <c r="N150" s="470">
        <v>0.35</v>
      </c>
      <c r="O150" s="471">
        <v>0</v>
      </c>
      <c r="P150" s="419">
        <v>0.248</v>
      </c>
      <c r="Q150" s="388">
        <v>0.17749999999999999</v>
      </c>
      <c r="R150" s="475">
        <v>0.185</v>
      </c>
      <c r="S150" s="365">
        <v>0.185</v>
      </c>
      <c r="T150" s="274">
        <v>0.8</v>
      </c>
      <c r="U150" s="494">
        <v>0.185</v>
      </c>
      <c r="V150" s="225">
        <v>3.2349999999999999</v>
      </c>
      <c r="W150" s="225">
        <v>3.3225174009140992</v>
      </c>
      <c r="X150" s="368">
        <v>3.7050000000000001</v>
      </c>
      <c r="Y150" s="226"/>
      <c r="Z150" s="465">
        <v>0.13</v>
      </c>
      <c r="AA150" s="481">
        <v>0.69814687549932319</v>
      </c>
      <c r="AB150" s="487">
        <v>4.8053300898729994</v>
      </c>
      <c r="AC150" s="312">
        <v>4.9353300898729993</v>
      </c>
      <c r="AD150" s="368">
        <v>5.5034769653723226</v>
      </c>
      <c r="AE150" s="418">
        <v>4.0730000000000004</v>
      </c>
      <c r="AF150" s="373">
        <v>3.625</v>
      </c>
      <c r="AG150" s="374">
        <v>3.8250000000000002</v>
      </c>
      <c r="AH150" s="423">
        <v>-0.18</v>
      </c>
      <c r="AI150" s="467">
        <v>1.56720010612088</v>
      </c>
      <c r="AJ150" s="478">
        <v>5.9101883156805105E-2</v>
      </c>
      <c r="AK150" s="478">
        <v>5.8331616674856E-2</v>
      </c>
      <c r="AL150" s="354">
        <v>0.58668989925648118</v>
      </c>
      <c r="AM150" s="377">
        <v>0.59072307894301701</v>
      </c>
      <c r="AN150" s="353">
        <v>0.33500000000000002</v>
      </c>
      <c r="AO150" s="378">
        <v>0.124</v>
      </c>
      <c r="AP150" s="238"/>
      <c r="AQ150" s="353">
        <v>-3.3322227463536418</v>
      </c>
      <c r="AR150" s="379">
        <v>-2.7422227463536419</v>
      </c>
      <c r="AS150" s="238"/>
      <c r="AT150" s="456">
        <v>7.4999999999999997E-3</v>
      </c>
      <c r="AU150" s="238"/>
      <c r="AV150" s="353">
        <v>8.0000000000000002E-3</v>
      </c>
      <c r="AW150" s="238">
        <v>0.02</v>
      </c>
      <c r="AX150" s="238">
        <v>5.0000000000000001E-3</v>
      </c>
      <c r="AY150" s="354"/>
      <c r="AZ150" s="488">
        <v>1.05</v>
      </c>
      <c r="BA150" s="488"/>
      <c r="BB150" s="433">
        <v>-0.59</v>
      </c>
      <c r="BC150" s="319"/>
      <c r="BD150" s="355">
        <v>3.9750000000000001</v>
      </c>
      <c r="BE150" s="238">
        <v>3.2403856862100988</v>
      </c>
      <c r="BF150" s="319"/>
      <c r="BG150" s="238">
        <v>0.8</v>
      </c>
      <c r="BH150" s="293"/>
      <c r="BI150" s="293"/>
      <c r="BJ150" s="238"/>
      <c r="BK150" s="319"/>
      <c r="BL150" s="238"/>
      <c r="BM150" s="238"/>
      <c r="BN150" s="256"/>
      <c r="BO150" s="256"/>
      <c r="BP150" s="293"/>
      <c r="BQ150" s="238"/>
      <c r="BR150" s="293"/>
      <c r="BS150" s="238"/>
      <c r="BT150" s="238"/>
      <c r="BU150" s="238"/>
      <c r="BV150" s="238"/>
      <c r="BW150" s="238"/>
      <c r="BX150" s="238"/>
      <c r="BY150" s="238"/>
      <c r="BZ150" s="238"/>
      <c r="CA150" s="238"/>
      <c r="CB150" s="238"/>
      <c r="CC150" s="238"/>
      <c r="CD150" s="238"/>
      <c r="CE150" s="238"/>
      <c r="CF150" s="238"/>
      <c r="CG150" s="238"/>
    </row>
    <row r="151" spans="1:85">
      <c r="A151" s="356">
        <v>40513</v>
      </c>
      <c r="B151" s="461">
        <v>3.976</v>
      </c>
      <c r="C151" s="497">
        <v>-0.59</v>
      </c>
      <c r="D151" s="359">
        <v>-0.50251704908102957</v>
      </c>
      <c r="E151" s="359">
        <v>-0.12</v>
      </c>
      <c r="F151" s="469">
        <v>0.17499999999999999</v>
      </c>
      <c r="G151" s="470">
        <v>0.33500000000000002</v>
      </c>
      <c r="H151" s="470">
        <v>0.29499999999999998</v>
      </c>
      <c r="I151" s="471">
        <v>0.39500000000000002</v>
      </c>
      <c r="J151" s="470">
        <v>0.13</v>
      </c>
      <c r="K151" s="470">
        <v>0.16</v>
      </c>
      <c r="L151" s="470">
        <v>0.98</v>
      </c>
      <c r="M151" s="469">
        <v>-0.2</v>
      </c>
      <c r="N151" s="470">
        <v>0.35</v>
      </c>
      <c r="O151" s="471">
        <v>0</v>
      </c>
      <c r="P151" s="419">
        <v>0.308</v>
      </c>
      <c r="Q151" s="388">
        <v>0.17749999999999999</v>
      </c>
      <c r="R151" s="475">
        <v>0.185</v>
      </c>
      <c r="S151" s="365">
        <v>0.185</v>
      </c>
      <c r="T151" s="274">
        <v>1</v>
      </c>
      <c r="U151" s="494">
        <v>0.185</v>
      </c>
      <c r="V151" s="225">
        <v>3.3860000000000001</v>
      </c>
      <c r="W151" s="225">
        <v>3.4734829509189704</v>
      </c>
      <c r="X151" s="368">
        <v>3.8559999999999999</v>
      </c>
      <c r="Y151" s="226"/>
      <c r="Z151" s="465">
        <v>0.13</v>
      </c>
      <c r="AA151" s="481">
        <v>0.69842179942687466</v>
      </c>
      <c r="AB151" s="487">
        <v>5.0316089635306396</v>
      </c>
      <c r="AC151" s="312">
        <v>5.1616089635306395</v>
      </c>
      <c r="AD151" s="368">
        <v>5.7300307629575142</v>
      </c>
      <c r="AE151" s="418">
        <v>4.2839999999999998</v>
      </c>
      <c r="AF151" s="373">
        <v>3.7759999999999998</v>
      </c>
      <c r="AG151" s="374">
        <v>3.976</v>
      </c>
      <c r="AH151" s="423">
        <v>-0.18</v>
      </c>
      <c r="AI151" s="467">
        <v>1.56781725535345</v>
      </c>
      <c r="AJ151" s="478">
        <v>5.9211831228800402E-2</v>
      </c>
      <c r="AK151" s="478">
        <v>5.8404505281996096E-2</v>
      </c>
      <c r="AL151" s="354">
        <v>0.58331416076996467</v>
      </c>
      <c r="AM151" s="377">
        <v>0.58755541699143377</v>
      </c>
      <c r="AN151" s="353">
        <v>0.33500000000000002</v>
      </c>
      <c r="AO151" s="378">
        <v>0.12</v>
      </c>
      <c r="AP151" s="238"/>
      <c r="AQ151" s="353">
        <v>-3.4872285023489047</v>
      </c>
      <c r="AR151" s="379">
        <v>-2.8972285023489048</v>
      </c>
      <c r="AS151" s="238"/>
      <c r="AT151" s="456">
        <v>7.4999999999999997E-3</v>
      </c>
      <c r="AU151" s="238"/>
      <c r="AV151" s="353">
        <v>8.0000000000000002E-3</v>
      </c>
      <c r="AW151" s="238">
        <v>0.02</v>
      </c>
      <c r="AX151" s="238">
        <v>0.01</v>
      </c>
      <c r="AY151" s="354"/>
      <c r="AZ151" s="488">
        <v>1.25</v>
      </c>
      <c r="BA151" s="488"/>
      <c r="BB151" s="433">
        <v>-0.59</v>
      </c>
      <c r="BC151" s="319"/>
      <c r="BD151" s="355">
        <v>4.1259999999999994</v>
      </c>
      <c r="BE151" s="238">
        <v>3.3913835662103984</v>
      </c>
      <c r="BF151" s="319"/>
      <c r="BG151" s="238">
        <v>1.1000000000000001</v>
      </c>
      <c r="BH151" s="293"/>
      <c r="BI151" s="293"/>
      <c r="BJ151" s="238"/>
      <c r="BK151" s="319"/>
      <c r="BL151" s="238"/>
      <c r="BM151" s="238"/>
      <c r="BN151" s="256"/>
      <c r="BO151" s="256"/>
      <c r="BP151" s="293"/>
      <c r="BQ151" s="238"/>
      <c r="BR151" s="293"/>
      <c r="BS151" s="238"/>
      <c r="BT151" s="238"/>
      <c r="BU151" s="238"/>
      <c r="BV151" s="238"/>
      <c r="BW151" s="238"/>
      <c r="BX151" s="238"/>
      <c r="BY151" s="238"/>
      <c r="BZ151" s="238"/>
      <c r="CA151" s="238"/>
      <c r="CB151" s="238"/>
      <c r="CC151" s="238"/>
      <c r="CD151" s="238"/>
      <c r="CE151" s="238"/>
      <c r="CF151" s="238"/>
      <c r="CG151" s="238"/>
    </row>
    <row r="152" spans="1:85">
      <c r="A152" s="356">
        <v>40544</v>
      </c>
      <c r="B152" s="461">
        <v>4.0695000000000006</v>
      </c>
      <c r="C152" s="497">
        <v>-0.59</v>
      </c>
      <c r="D152" s="359">
        <v>-0.50255317322690685</v>
      </c>
      <c r="E152" s="359">
        <v>-0.12</v>
      </c>
      <c r="F152" s="469">
        <v>0.17499999999999999</v>
      </c>
      <c r="G152" s="470">
        <v>0.33500000000000002</v>
      </c>
      <c r="H152" s="470">
        <v>0.29499999999999998</v>
      </c>
      <c r="I152" s="471">
        <v>0.39500000000000002</v>
      </c>
      <c r="J152" s="470">
        <v>0.13</v>
      </c>
      <c r="K152" s="470">
        <v>0.16</v>
      </c>
      <c r="L152" s="470">
        <v>1.6</v>
      </c>
      <c r="M152" s="469">
        <v>-0.2</v>
      </c>
      <c r="N152" s="470">
        <v>0.35</v>
      </c>
      <c r="O152" s="471">
        <v>0</v>
      </c>
      <c r="P152" s="419">
        <v>0.37800000000000006</v>
      </c>
      <c r="Q152" s="388">
        <v>0.17749999999999999</v>
      </c>
      <c r="R152" s="475">
        <v>0.185</v>
      </c>
      <c r="S152" s="365">
        <v>0.185</v>
      </c>
      <c r="T152" s="274">
        <v>1</v>
      </c>
      <c r="U152" s="494">
        <v>0.185</v>
      </c>
      <c r="V152" s="225">
        <v>3.4795000000000007</v>
      </c>
      <c r="W152" s="225">
        <v>3.5669468267730937</v>
      </c>
      <c r="X152" s="368">
        <v>3.9495000000000009</v>
      </c>
      <c r="Y152" s="226"/>
      <c r="Z152" s="465">
        <v>0.13</v>
      </c>
      <c r="AA152" s="481">
        <v>0.69871031636793912</v>
      </c>
      <c r="AB152" s="487">
        <v>5.1726862676643508</v>
      </c>
      <c r="AC152" s="312">
        <v>5.3026862676643507</v>
      </c>
      <c r="AD152" s="368">
        <v>5.8713965840322899</v>
      </c>
      <c r="AE152" s="418">
        <v>4.4474999999999998</v>
      </c>
      <c r="AF152" s="373">
        <v>3.8695000000000004</v>
      </c>
      <c r="AG152" s="374">
        <v>4.0695000000000006</v>
      </c>
      <c r="AH152" s="423">
        <v>-0.18</v>
      </c>
      <c r="AI152" s="467">
        <v>1.5684649181827499</v>
      </c>
      <c r="AJ152" s="478">
        <v>5.9325444240749398E-2</v>
      </c>
      <c r="AK152" s="478">
        <v>5.8479823511229996E-2</v>
      </c>
      <c r="AL152" s="354">
        <v>0.57983564820469169</v>
      </c>
      <c r="AM152" s="377">
        <v>0.58429288308436611</v>
      </c>
      <c r="AN152" s="353">
        <v>0.33500000000000002</v>
      </c>
      <c r="AO152" s="378">
        <v>0.12</v>
      </c>
      <c r="AP152" s="238"/>
      <c r="AQ152" s="353">
        <v>-3.5772346627300049</v>
      </c>
      <c r="AR152" s="379">
        <v>-2.987234662730005</v>
      </c>
      <c r="AS152" s="238"/>
      <c r="AT152" s="456">
        <v>7.4999999999999997E-3</v>
      </c>
      <c r="AU152" s="238"/>
      <c r="AV152" s="353">
        <v>8.0000000000000002E-3</v>
      </c>
      <c r="AW152" s="238">
        <v>0.02</v>
      </c>
      <c r="AX152" s="238">
        <v>0.03</v>
      </c>
      <c r="AY152" s="354"/>
      <c r="AZ152" s="488">
        <v>1.25</v>
      </c>
      <c r="BA152" s="488"/>
      <c r="BB152" s="433">
        <v>-0.59</v>
      </c>
      <c r="BC152" s="319"/>
      <c r="BD152" s="355">
        <v>4.2195</v>
      </c>
      <c r="BE152" s="238">
        <v>3.484881343186037</v>
      </c>
      <c r="BF152" s="319"/>
      <c r="BG152" s="238">
        <v>1.1000000000000001</v>
      </c>
      <c r="BH152" s="293"/>
      <c r="BI152" s="293"/>
      <c r="BJ152" s="238"/>
      <c r="BK152" s="319"/>
      <c r="BL152" s="238"/>
      <c r="BM152" s="238"/>
      <c r="BN152" s="256"/>
      <c r="BO152" s="256"/>
      <c r="BP152" s="293"/>
      <c r="BQ152" s="238"/>
      <c r="BR152" s="293"/>
      <c r="BS152" s="238"/>
      <c r="BT152" s="238"/>
      <c r="BU152" s="238"/>
      <c r="BV152" s="238"/>
      <c r="BW152" s="238"/>
      <c r="BX152" s="238"/>
      <c r="BY152" s="238"/>
      <c r="BZ152" s="238"/>
      <c r="CA152" s="238"/>
      <c r="CB152" s="238"/>
      <c r="CC152" s="238"/>
      <c r="CD152" s="238"/>
      <c r="CE152" s="238"/>
      <c r="CF152" s="238"/>
      <c r="CG152" s="238"/>
    </row>
    <row r="153" spans="1:85">
      <c r="A153" s="356">
        <v>40575</v>
      </c>
      <c r="B153" s="461">
        <v>3.9555000000000002</v>
      </c>
      <c r="C153" s="497">
        <v>-0.59</v>
      </c>
      <c r="D153" s="359">
        <v>-0.50258983106874044</v>
      </c>
      <c r="E153" s="359">
        <v>-0.12</v>
      </c>
      <c r="F153" s="469">
        <v>0.17499999999999999</v>
      </c>
      <c r="G153" s="470">
        <v>0.33500000000000002</v>
      </c>
      <c r="H153" s="470">
        <v>0.29499999999999998</v>
      </c>
      <c r="I153" s="471">
        <v>0.39500000000000002</v>
      </c>
      <c r="J153" s="470">
        <v>0.13</v>
      </c>
      <c r="K153" s="470">
        <v>0.16</v>
      </c>
      <c r="L153" s="470">
        <v>1.6</v>
      </c>
      <c r="M153" s="469">
        <v>-0.2</v>
      </c>
      <c r="N153" s="470">
        <v>0.35</v>
      </c>
      <c r="O153" s="471">
        <v>0</v>
      </c>
      <c r="P153" s="419">
        <v>0.248</v>
      </c>
      <c r="Q153" s="388">
        <v>0.17749999999999999</v>
      </c>
      <c r="R153" s="475">
        <v>0.185</v>
      </c>
      <c r="S153" s="365">
        <v>0.185</v>
      </c>
      <c r="T153" s="274">
        <v>1</v>
      </c>
      <c r="U153" s="494">
        <v>0.185</v>
      </c>
      <c r="V153" s="225">
        <v>3.3655000000000004</v>
      </c>
      <c r="W153" s="225">
        <v>3.4529101689312598</v>
      </c>
      <c r="X153" s="368">
        <v>3.8355000000000006</v>
      </c>
      <c r="Y153" s="226"/>
      <c r="Z153" s="465">
        <v>0.13</v>
      </c>
      <c r="AA153" s="481">
        <v>0.69900333962344607</v>
      </c>
      <c r="AB153" s="487">
        <v>5.0053100840483085</v>
      </c>
      <c r="AC153" s="312">
        <v>5.1353100840483084</v>
      </c>
      <c r="AD153" s="368">
        <v>5.7043134236717545</v>
      </c>
      <c r="AE153" s="418">
        <v>4.2035</v>
      </c>
      <c r="AF153" s="373">
        <v>3.7555000000000001</v>
      </c>
      <c r="AG153" s="374">
        <v>3.9555000000000002</v>
      </c>
      <c r="AH153" s="423">
        <v>-0.18</v>
      </c>
      <c r="AI153" s="467">
        <v>1.5691226967867098</v>
      </c>
      <c r="AJ153" s="478">
        <v>5.9439057256989197E-2</v>
      </c>
      <c r="AK153" s="478">
        <v>5.8555141742350401E-2</v>
      </c>
      <c r="AL153" s="354">
        <v>0.57636711657319106</v>
      </c>
      <c r="AM153" s="377">
        <v>0.58104126199582684</v>
      </c>
      <c r="AN153" s="353">
        <v>0.33500000000000002</v>
      </c>
      <c r="AO153" s="378">
        <v>0.13300000000000001</v>
      </c>
      <c r="AP153" s="238"/>
      <c r="AQ153" s="353">
        <v>-3.463241039079429</v>
      </c>
      <c r="AR153" s="379">
        <v>-2.8732410390794292</v>
      </c>
      <c r="AS153" s="238"/>
      <c r="AT153" s="456">
        <v>7.4999999999999997E-3</v>
      </c>
      <c r="AU153" s="238"/>
      <c r="AV153" s="353">
        <v>8.0000000000000002E-3</v>
      </c>
      <c r="AW153" s="238">
        <v>0.02</v>
      </c>
      <c r="AX153" s="238">
        <v>2.5000000000000001E-2</v>
      </c>
      <c r="AY153" s="354"/>
      <c r="AZ153" s="488">
        <v>1.25</v>
      </c>
      <c r="BA153" s="488"/>
      <c r="BB153" s="433">
        <v>-0.59</v>
      </c>
      <c r="BC153" s="319"/>
      <c r="BD153" s="355">
        <v>4.1055000000000001</v>
      </c>
      <c r="BE153" s="238">
        <v>3.3708790873188472</v>
      </c>
      <c r="BF153" s="319"/>
      <c r="BG153" s="238">
        <v>1.1000000000000001</v>
      </c>
      <c r="BH153" s="293"/>
      <c r="BI153" s="293"/>
      <c r="BJ153" s="238"/>
      <c r="BK153" s="319"/>
      <c r="BL153" s="238"/>
      <c r="BM153" s="238"/>
      <c r="BN153" s="256"/>
      <c r="BO153" s="256"/>
      <c r="BP153" s="293"/>
      <c r="BQ153" s="238"/>
      <c r="BR153" s="293"/>
      <c r="BS153" s="238"/>
      <c r="BT153" s="238"/>
      <c r="BU153" s="238"/>
      <c r="BV153" s="238"/>
      <c r="BW153" s="238"/>
      <c r="BX153" s="238"/>
      <c r="BY153" s="238"/>
      <c r="BZ153" s="238"/>
      <c r="CA153" s="238"/>
      <c r="CB153" s="238"/>
      <c r="CC153" s="238"/>
      <c r="CD153" s="238"/>
      <c r="CE153" s="238"/>
      <c r="CF153" s="238"/>
      <c r="CG153" s="238"/>
    </row>
    <row r="154" spans="1:85">
      <c r="A154" s="356">
        <v>40603</v>
      </c>
      <c r="B154" s="461">
        <v>3.8235000000000001</v>
      </c>
      <c r="C154" s="497">
        <v>-0.59</v>
      </c>
      <c r="D154" s="359">
        <v>-0.50262339946925128</v>
      </c>
      <c r="E154" s="359">
        <v>-0.12</v>
      </c>
      <c r="F154" s="469">
        <v>0.17499999999999999</v>
      </c>
      <c r="G154" s="470">
        <v>0.33500000000000002</v>
      </c>
      <c r="H154" s="470">
        <v>0.29499999999999998</v>
      </c>
      <c r="I154" s="471">
        <v>0.39500000000000002</v>
      </c>
      <c r="J154" s="470">
        <v>0.13</v>
      </c>
      <c r="K154" s="470">
        <v>0.16</v>
      </c>
      <c r="L154" s="470">
        <v>0.72</v>
      </c>
      <c r="M154" s="469">
        <v>-0.2</v>
      </c>
      <c r="N154" s="470">
        <v>0.35</v>
      </c>
      <c r="O154" s="471">
        <v>0</v>
      </c>
      <c r="P154" s="419">
        <v>6.8000000000000005E-2</v>
      </c>
      <c r="Q154" s="388">
        <v>0.17249999999999999</v>
      </c>
      <c r="R154" s="475">
        <v>0.18</v>
      </c>
      <c r="S154" s="365">
        <v>0.18</v>
      </c>
      <c r="T154" s="274">
        <v>0.75</v>
      </c>
      <c r="U154" s="494">
        <v>0.18</v>
      </c>
      <c r="V154" s="225">
        <v>3.2335000000000003</v>
      </c>
      <c r="W154" s="225">
        <v>3.3208766005307488</v>
      </c>
      <c r="X154" s="368">
        <v>3.7035</v>
      </c>
      <c r="Y154" s="226"/>
      <c r="Z154" s="465">
        <v>0.13</v>
      </c>
      <c r="AA154" s="481">
        <v>0.69927188319140665</v>
      </c>
      <c r="AB154" s="487">
        <v>4.8108417751051364</v>
      </c>
      <c r="AC154" s="312">
        <v>4.9408417751051363</v>
      </c>
      <c r="AD154" s="368">
        <v>5.5101136582965431</v>
      </c>
      <c r="AE154" s="418">
        <v>3.8915000000000002</v>
      </c>
      <c r="AF154" s="373">
        <v>3.6234999999999999</v>
      </c>
      <c r="AG154" s="374">
        <v>3.8235000000000001</v>
      </c>
      <c r="AH154" s="423">
        <v>-0.18</v>
      </c>
      <c r="AI154" s="467">
        <v>1.56972552338807</v>
      </c>
      <c r="AJ154" s="478">
        <v>5.9541675468892698E-2</v>
      </c>
      <c r="AK154" s="478">
        <v>5.8623171114015701E-2</v>
      </c>
      <c r="AL154" s="354">
        <v>0.57324288663615997</v>
      </c>
      <c r="AM154" s="377">
        <v>0.57811371041017423</v>
      </c>
      <c r="AN154" s="353">
        <v>0.33500000000000002</v>
      </c>
      <c r="AO154" s="378">
        <v>0.12</v>
      </c>
      <c r="AP154" s="238"/>
      <c r="AQ154" s="353">
        <v>-3.3312469839625476</v>
      </c>
      <c r="AR154" s="379">
        <v>-2.7412469839625477</v>
      </c>
      <c r="AS154" s="238"/>
      <c r="AT154" s="456">
        <v>7.4999999999999997E-3</v>
      </c>
      <c r="AU154" s="238"/>
      <c r="AV154" s="353">
        <v>8.0000000000000002E-3</v>
      </c>
      <c r="AW154" s="238">
        <v>0.02</v>
      </c>
      <c r="AX154" s="238">
        <v>5.0000000000000001E-3</v>
      </c>
      <c r="AY154" s="354"/>
      <c r="AZ154" s="488">
        <v>1</v>
      </c>
      <c r="BA154" s="488"/>
      <c r="BB154" s="433">
        <v>-0.59</v>
      </c>
      <c r="BC154" s="319"/>
      <c r="BD154" s="355">
        <v>3.9735</v>
      </c>
      <c r="BE154" s="238">
        <v>3.2388770215711231</v>
      </c>
      <c r="BF154" s="319"/>
      <c r="BG154" s="238">
        <v>0.75</v>
      </c>
      <c r="BH154" s="293"/>
      <c r="BI154" s="293"/>
      <c r="BJ154" s="238"/>
      <c r="BK154" s="319"/>
      <c r="BL154" s="238"/>
      <c r="BM154" s="238"/>
      <c r="BN154" s="256"/>
      <c r="BO154" s="256"/>
      <c r="BP154" s="293"/>
      <c r="BQ154" s="238"/>
      <c r="BR154" s="293"/>
      <c r="BS154" s="238"/>
      <c r="BT154" s="238"/>
      <c r="BU154" s="238"/>
      <c r="BV154" s="238"/>
      <c r="BW154" s="238"/>
      <c r="BX154" s="238"/>
      <c r="BY154" s="238"/>
      <c r="BZ154" s="238"/>
      <c r="CA154" s="238"/>
      <c r="CB154" s="238"/>
      <c r="CC154" s="238"/>
      <c r="CD154" s="238"/>
      <c r="CE154" s="238"/>
      <c r="CF154" s="238"/>
      <c r="CG154" s="238"/>
    </row>
    <row r="155" spans="1:85">
      <c r="A155" s="356">
        <v>40634</v>
      </c>
      <c r="B155" s="461">
        <v>3.6255000000000002</v>
      </c>
      <c r="C155" s="498">
        <v>-0.59</v>
      </c>
      <c r="D155" s="359">
        <v>-0.50266107094955537</v>
      </c>
      <c r="E155" s="359">
        <v>-0.52281620842273524</v>
      </c>
      <c r="F155" s="469">
        <v>0.13</v>
      </c>
      <c r="G155" s="470">
        <v>0.13</v>
      </c>
      <c r="H155" s="470">
        <v>0.16500000000000001</v>
      </c>
      <c r="I155" s="471">
        <v>0.125</v>
      </c>
      <c r="J155" s="470">
        <v>4.4999999999999998E-2</v>
      </c>
      <c r="K155" s="470">
        <v>0.115</v>
      </c>
      <c r="L155" s="470">
        <v>0.4</v>
      </c>
      <c r="M155" s="469">
        <v>-0.32</v>
      </c>
      <c r="N155" s="470">
        <v>0.43</v>
      </c>
      <c r="O155" s="471">
        <v>0</v>
      </c>
      <c r="P155" s="419">
        <v>-0.25</v>
      </c>
      <c r="Q155" s="388">
        <v>0.17249999999999999</v>
      </c>
      <c r="R155" s="475">
        <v>0.18</v>
      </c>
      <c r="S155" s="365">
        <v>0.18</v>
      </c>
      <c r="T155" s="274">
        <v>0.4</v>
      </c>
      <c r="U155" s="494">
        <v>0.18</v>
      </c>
      <c r="V155" s="225">
        <v>3.0355000000000003</v>
      </c>
      <c r="W155" s="225">
        <v>3.1228389290504448</v>
      </c>
      <c r="X155" s="368">
        <v>3.1026837915772649</v>
      </c>
      <c r="Y155" s="226"/>
      <c r="Z155" s="465">
        <v>0.13</v>
      </c>
      <c r="AA155" s="481">
        <v>0.1</v>
      </c>
      <c r="AB155" s="487">
        <v>4.5182028711628019</v>
      </c>
      <c r="AC155" s="312">
        <v>4.6482028711628018</v>
      </c>
      <c r="AD155" s="368">
        <v>4.6182028711628016</v>
      </c>
      <c r="AE155" s="418">
        <v>3.3755000000000002</v>
      </c>
      <c r="AF155" s="373">
        <v>3.3055000000000003</v>
      </c>
      <c r="AG155" s="374">
        <v>3.6255000000000002</v>
      </c>
      <c r="AH155" s="423">
        <v>-0.255</v>
      </c>
      <c r="AI155" s="467">
        <v>1.5704025855501698</v>
      </c>
      <c r="AJ155" s="478">
        <v>5.9655288493297001E-2</v>
      </c>
      <c r="AK155" s="478">
        <v>5.8698489348725708E-2</v>
      </c>
      <c r="AL155" s="354">
        <v>0.56979354443965413</v>
      </c>
      <c r="AM155" s="377">
        <v>0.57488291385661738</v>
      </c>
      <c r="AN155" s="353">
        <v>0.13</v>
      </c>
      <c r="AO155" s="378">
        <v>0.124</v>
      </c>
      <c r="AP155" s="238"/>
      <c r="AQ155" s="353">
        <v>-3.537344290393821</v>
      </c>
      <c r="AR155" s="379">
        <v>-2.9473442903938212</v>
      </c>
      <c r="AS155" s="238"/>
      <c r="AT155" s="456">
        <v>7.4999999999999997E-3</v>
      </c>
      <c r="AU155" s="238"/>
      <c r="AV155" s="353">
        <v>2.5000000000000001E-3</v>
      </c>
      <c r="AW155" s="238">
        <v>5.0000000000000001E-3</v>
      </c>
      <c r="AX155" s="238">
        <v>-8.5000000000000006E-2</v>
      </c>
      <c r="AY155" s="354"/>
      <c r="AZ155" s="488">
        <v>0.65</v>
      </c>
      <c r="BA155" s="488"/>
      <c r="BB155" s="433">
        <v>-0.59</v>
      </c>
      <c r="BC155" s="319"/>
      <c r="BD155" s="355">
        <v>3.6755</v>
      </c>
      <c r="BE155" s="238">
        <v>3.037179594789432</v>
      </c>
      <c r="BF155" s="319"/>
      <c r="BG155" s="238">
        <v>0.45</v>
      </c>
      <c r="BH155" s="293"/>
      <c r="BI155" s="293"/>
      <c r="BJ155" s="238"/>
      <c r="BK155" s="319"/>
      <c r="BL155" s="238"/>
      <c r="BM155" s="238"/>
      <c r="BN155" s="256"/>
      <c r="BO155" s="256"/>
      <c r="BP155" s="293"/>
      <c r="BQ155" s="238"/>
      <c r="BR155" s="293"/>
      <c r="BS155" s="238"/>
      <c r="BT155" s="238"/>
      <c r="BU155" s="238"/>
      <c r="BV155" s="238"/>
      <c r="BW155" s="238"/>
      <c r="BX155" s="238"/>
      <c r="BY155" s="238"/>
      <c r="BZ155" s="238"/>
      <c r="CA155" s="238"/>
      <c r="CB155" s="238"/>
      <c r="CC155" s="238"/>
      <c r="CD155" s="238"/>
      <c r="CE155" s="238"/>
      <c r="CF155" s="238"/>
      <c r="CG155" s="238"/>
    </row>
    <row r="156" spans="1:85">
      <c r="A156" s="356">
        <v>40664</v>
      </c>
      <c r="B156" s="461">
        <v>3.6215000000000002</v>
      </c>
      <c r="C156" s="497">
        <v>-0.59</v>
      </c>
      <c r="D156" s="359">
        <v>-0.50269803325464757</v>
      </c>
      <c r="E156" s="359">
        <v>-0.52284464096511396</v>
      </c>
      <c r="F156" s="469">
        <v>0.13</v>
      </c>
      <c r="G156" s="470">
        <v>0.13</v>
      </c>
      <c r="H156" s="470">
        <v>0.16500000000000001</v>
      </c>
      <c r="I156" s="471">
        <v>0.125</v>
      </c>
      <c r="J156" s="470">
        <v>4.4999999999999998E-2</v>
      </c>
      <c r="K156" s="470">
        <v>0.115</v>
      </c>
      <c r="L156" s="470">
        <v>0.35</v>
      </c>
      <c r="M156" s="469">
        <v>-0.32</v>
      </c>
      <c r="N156" s="470">
        <v>0.43</v>
      </c>
      <c r="O156" s="471">
        <v>0</v>
      </c>
      <c r="P156" s="419">
        <v>-0.1</v>
      </c>
      <c r="Q156" s="388">
        <v>0.17249999999999999</v>
      </c>
      <c r="R156" s="475">
        <v>0.18</v>
      </c>
      <c r="S156" s="365">
        <v>0.18</v>
      </c>
      <c r="T156" s="274">
        <v>0.45</v>
      </c>
      <c r="U156" s="494">
        <v>0.18</v>
      </c>
      <c r="V156" s="225">
        <v>3.0315000000000003</v>
      </c>
      <c r="W156" s="225">
        <v>3.1188019667453526</v>
      </c>
      <c r="X156" s="368">
        <v>3.0986553590348862</v>
      </c>
      <c r="Y156" s="226"/>
      <c r="Z156" s="465">
        <v>0.13</v>
      </c>
      <c r="AA156" s="481">
        <v>0.1</v>
      </c>
      <c r="AB156" s="487">
        <v>4.5141594707656383</v>
      </c>
      <c r="AC156" s="312">
        <v>4.6441594707656382</v>
      </c>
      <c r="AD156" s="368">
        <v>4.6141594707656379</v>
      </c>
      <c r="AE156" s="418">
        <v>3.5215000000000001</v>
      </c>
      <c r="AF156" s="373">
        <v>3.3015000000000003</v>
      </c>
      <c r="AG156" s="374">
        <v>3.6215000000000002</v>
      </c>
      <c r="AH156" s="423">
        <v>-0.255</v>
      </c>
      <c r="AI156" s="467">
        <v>1.5710674697635201</v>
      </c>
      <c r="AJ156" s="478">
        <v>5.9765236585514803E-2</v>
      </c>
      <c r="AK156" s="478">
        <v>5.8771377964756503E-2</v>
      </c>
      <c r="AL156" s="354">
        <v>0.56646516560638216</v>
      </c>
      <c r="AM156" s="377">
        <v>0.57176678087914812</v>
      </c>
      <c r="AN156" s="353">
        <v>0.13</v>
      </c>
      <c r="AO156" s="378">
        <v>0.12</v>
      </c>
      <c r="AP156" s="238"/>
      <c r="AQ156" s="353">
        <v>-3.5333727110517579</v>
      </c>
      <c r="AR156" s="379">
        <v>-2.943372711051758</v>
      </c>
      <c r="AS156" s="238"/>
      <c r="AT156" s="456">
        <v>7.4999999999999997E-3</v>
      </c>
      <c r="AU156" s="238"/>
      <c r="AV156" s="353">
        <v>2.5000000000000001E-3</v>
      </c>
      <c r="AW156" s="238">
        <v>5.0000000000000001E-3</v>
      </c>
      <c r="AX156" s="238">
        <v>-8.5000000000000006E-2</v>
      </c>
      <c r="AY156" s="354"/>
      <c r="AZ156" s="488">
        <v>0.7</v>
      </c>
      <c r="BA156" s="488"/>
      <c r="BB156" s="433">
        <v>-0.59</v>
      </c>
      <c r="BC156" s="319"/>
      <c r="BD156" s="355">
        <v>3.6715</v>
      </c>
      <c r="BE156" s="238">
        <v>3.0331788839758724</v>
      </c>
      <c r="BF156" s="319"/>
      <c r="BG156" s="238">
        <v>0.5</v>
      </c>
      <c r="BH156" s="293"/>
      <c r="BI156" s="293"/>
      <c r="BJ156" s="238"/>
      <c r="BK156" s="319"/>
      <c r="BL156" s="238"/>
      <c r="BM156" s="238"/>
      <c r="BN156" s="256"/>
      <c r="BO156" s="256"/>
      <c r="BP156" s="293"/>
      <c r="BQ156" s="238"/>
      <c r="BR156" s="293"/>
      <c r="BS156" s="238"/>
      <c r="BT156" s="238"/>
      <c r="BU156" s="238"/>
      <c r="BV156" s="238"/>
      <c r="BW156" s="238"/>
      <c r="BX156" s="238"/>
      <c r="BY156" s="238"/>
      <c r="BZ156" s="238"/>
      <c r="CA156" s="238"/>
      <c r="CB156" s="238"/>
      <c r="CC156" s="238"/>
      <c r="CD156" s="238"/>
      <c r="CE156" s="238"/>
      <c r="CF156" s="238"/>
      <c r="CG156" s="238"/>
    </row>
    <row r="157" spans="1:85">
      <c r="A157" s="356">
        <v>40695</v>
      </c>
      <c r="B157" s="461">
        <v>3.6535000000000002</v>
      </c>
      <c r="C157" s="497">
        <v>-0.59</v>
      </c>
      <c r="D157" s="359">
        <v>-0.50273674977237315</v>
      </c>
      <c r="E157" s="359">
        <v>-0.52287442290182584</v>
      </c>
      <c r="F157" s="469">
        <v>0.13</v>
      </c>
      <c r="G157" s="470">
        <v>0.13</v>
      </c>
      <c r="H157" s="470">
        <v>0.16500000000000001</v>
      </c>
      <c r="I157" s="471">
        <v>0.125</v>
      </c>
      <c r="J157" s="470">
        <v>4.4999999999999998E-2</v>
      </c>
      <c r="K157" s="470">
        <v>0.115</v>
      </c>
      <c r="L157" s="470">
        <v>0.39</v>
      </c>
      <c r="M157" s="469">
        <v>-0.32</v>
      </c>
      <c r="N157" s="470">
        <v>0.43</v>
      </c>
      <c r="O157" s="471">
        <v>0</v>
      </c>
      <c r="P157" s="419">
        <v>-0.1</v>
      </c>
      <c r="Q157" s="388">
        <v>0.17249999999999999</v>
      </c>
      <c r="R157" s="475">
        <v>0.18</v>
      </c>
      <c r="S157" s="365">
        <v>0.18</v>
      </c>
      <c r="T157" s="274">
        <v>0.45</v>
      </c>
      <c r="U157" s="494">
        <v>0.18</v>
      </c>
      <c r="V157" s="225">
        <v>3.0635000000000003</v>
      </c>
      <c r="W157" s="225">
        <v>3.150763250227627</v>
      </c>
      <c r="X157" s="368">
        <v>3.1306255770981744</v>
      </c>
      <c r="Y157" s="226"/>
      <c r="Z157" s="465">
        <v>0.13</v>
      </c>
      <c r="AA157" s="481">
        <v>0.1</v>
      </c>
      <c r="AB157" s="487">
        <v>4.5638341336261226</v>
      </c>
      <c r="AC157" s="312">
        <v>4.6938341336261225</v>
      </c>
      <c r="AD157" s="368">
        <v>4.6638341336261222</v>
      </c>
      <c r="AE157" s="418">
        <v>3.5535000000000001</v>
      </c>
      <c r="AF157" s="373">
        <v>3.3335000000000004</v>
      </c>
      <c r="AG157" s="374">
        <v>3.6535000000000002</v>
      </c>
      <c r="AH157" s="423">
        <v>-0.255</v>
      </c>
      <c r="AI157" s="467">
        <v>1.57176451303641</v>
      </c>
      <c r="AJ157" s="478">
        <v>5.9878849618359105E-2</v>
      </c>
      <c r="AK157" s="478">
        <v>5.88466962031782E-2</v>
      </c>
      <c r="AL157" s="354">
        <v>0.56303592385856727</v>
      </c>
      <c r="AM157" s="377">
        <v>0.56855758733412531</v>
      </c>
      <c r="AN157" s="353">
        <v>0.13</v>
      </c>
      <c r="AO157" s="378">
        <v>0.124</v>
      </c>
      <c r="AP157" s="238"/>
      <c r="AQ157" s="353">
        <v>-3.5654024805399986</v>
      </c>
      <c r="AR157" s="379">
        <v>-2.9754024805399988</v>
      </c>
      <c r="AS157" s="238"/>
      <c r="AT157" s="456">
        <v>7.4999999999999997E-3</v>
      </c>
      <c r="AU157" s="238"/>
      <c r="AV157" s="353">
        <v>2.5000000000000001E-3</v>
      </c>
      <c r="AW157" s="238">
        <v>5.0000000000000001E-3</v>
      </c>
      <c r="AX157" s="238">
        <v>-8.5000000000000006E-2</v>
      </c>
      <c r="AY157" s="354"/>
      <c r="AZ157" s="488">
        <v>0.7</v>
      </c>
      <c r="BA157" s="488"/>
      <c r="BB157" s="433">
        <v>-0.59</v>
      </c>
      <c r="BC157" s="319"/>
      <c r="BD157" s="355">
        <v>3.7035</v>
      </c>
      <c r="BE157" s="238">
        <v>3.0651781394274549</v>
      </c>
      <c r="BF157" s="319"/>
      <c r="BG157" s="238">
        <v>0.5</v>
      </c>
      <c r="BH157" s="293"/>
      <c r="BI157" s="293"/>
      <c r="BJ157" s="238"/>
      <c r="BK157" s="319"/>
      <c r="BL157" s="238"/>
      <c r="BM157" s="238"/>
      <c r="BN157" s="256"/>
      <c r="BO157" s="256"/>
      <c r="BP157" s="293"/>
      <c r="BQ157" s="238"/>
      <c r="BR157" s="293"/>
      <c r="BS157" s="238"/>
      <c r="BT157" s="238"/>
      <c r="BU157" s="238"/>
      <c r="BV157" s="238"/>
      <c r="BW157" s="238"/>
      <c r="BX157" s="238"/>
      <c r="BY157" s="238"/>
      <c r="BZ157" s="238"/>
      <c r="CA157" s="238"/>
      <c r="CB157" s="238"/>
      <c r="CC157" s="238"/>
      <c r="CD157" s="238"/>
      <c r="CE157" s="238"/>
      <c r="CF157" s="238"/>
      <c r="CG157" s="238"/>
    </row>
    <row r="158" spans="1:85">
      <c r="A158" s="356">
        <v>40725</v>
      </c>
      <c r="B158" s="461">
        <v>3.7035</v>
      </c>
      <c r="C158" s="497">
        <v>-0.59</v>
      </c>
      <c r="D158" s="359">
        <v>-0.50277472192108696</v>
      </c>
      <c r="E158" s="359">
        <v>-0.52290363224699021</v>
      </c>
      <c r="F158" s="469">
        <v>0.13</v>
      </c>
      <c r="G158" s="470">
        <v>0.13</v>
      </c>
      <c r="H158" s="470">
        <v>0.16500000000000001</v>
      </c>
      <c r="I158" s="471">
        <v>0.125</v>
      </c>
      <c r="J158" s="470">
        <v>4.4999999999999998E-2</v>
      </c>
      <c r="K158" s="470">
        <v>0.115</v>
      </c>
      <c r="L158" s="470">
        <v>0.43</v>
      </c>
      <c r="M158" s="469">
        <v>-0.32</v>
      </c>
      <c r="N158" s="470">
        <v>0.43</v>
      </c>
      <c r="O158" s="471">
        <v>0</v>
      </c>
      <c r="P158" s="419">
        <v>-0.1</v>
      </c>
      <c r="Q158" s="388">
        <v>0.17249999999999999</v>
      </c>
      <c r="R158" s="475">
        <v>0.18</v>
      </c>
      <c r="S158" s="365">
        <v>0.18</v>
      </c>
      <c r="T158" s="274">
        <v>0.5</v>
      </c>
      <c r="U158" s="494">
        <v>0.18</v>
      </c>
      <c r="V158" s="225">
        <v>3.1135000000000002</v>
      </c>
      <c r="W158" s="225">
        <v>3.200725278078913</v>
      </c>
      <c r="X158" s="368">
        <v>3.1805963677530098</v>
      </c>
      <c r="Y158" s="226"/>
      <c r="Z158" s="465">
        <v>0.13</v>
      </c>
      <c r="AA158" s="481">
        <v>0.1</v>
      </c>
      <c r="AB158" s="487">
        <v>4.6403406089896908</v>
      </c>
      <c r="AC158" s="312">
        <v>4.7703406089896907</v>
      </c>
      <c r="AD158" s="368">
        <v>4.7403406089896905</v>
      </c>
      <c r="AE158" s="418">
        <v>3.6034999999999999</v>
      </c>
      <c r="AF158" s="373">
        <v>3.3835000000000002</v>
      </c>
      <c r="AG158" s="374">
        <v>3.7035</v>
      </c>
      <c r="AH158" s="423">
        <v>-0.255</v>
      </c>
      <c r="AI158" s="467">
        <v>1.5724487559204199</v>
      </c>
      <c r="AJ158" s="478">
        <v>5.9988797718744498E-2</v>
      </c>
      <c r="AK158" s="478">
        <v>5.8919584822800797E-2</v>
      </c>
      <c r="AL158" s="354">
        <v>0.55972712252280576</v>
      </c>
      <c r="AM158" s="377">
        <v>0.56546239477410831</v>
      </c>
      <c r="AN158" s="353">
        <v>0.13</v>
      </c>
      <c r="AO158" s="378">
        <v>0.12</v>
      </c>
      <c r="AP158" s="238"/>
      <c r="AQ158" s="353">
        <v>-3.6154316776760278</v>
      </c>
      <c r="AR158" s="379">
        <v>-3.0254316776760279</v>
      </c>
      <c r="AS158" s="238"/>
      <c r="AT158" s="456">
        <v>7.4999999999999997E-3</v>
      </c>
      <c r="AU158" s="238"/>
      <c r="AV158" s="353">
        <v>2.5000000000000001E-3</v>
      </c>
      <c r="AW158" s="238">
        <v>5.0000000000000001E-3</v>
      </c>
      <c r="AX158" s="238">
        <v>-8.5000000000000006E-2</v>
      </c>
      <c r="AY158" s="354"/>
      <c r="AZ158" s="488">
        <v>0.75</v>
      </c>
      <c r="BA158" s="488"/>
      <c r="BB158" s="433">
        <v>-0.59</v>
      </c>
      <c r="BC158" s="319"/>
      <c r="BD158" s="355">
        <v>3.7534999999999998</v>
      </c>
      <c r="BE158" s="238">
        <v>3.1151774091938256</v>
      </c>
      <c r="BF158" s="319"/>
      <c r="BG158" s="238">
        <v>0.55000000000000004</v>
      </c>
      <c r="BH158" s="293"/>
      <c r="BI158" s="293"/>
      <c r="BJ158" s="238"/>
      <c r="BK158" s="319"/>
      <c r="BL158" s="238"/>
      <c r="BM158" s="238"/>
      <c r="BN158" s="256"/>
      <c r="BO158" s="256"/>
      <c r="BP158" s="293"/>
      <c r="BQ158" s="238"/>
      <c r="BR158" s="293"/>
      <c r="BS158" s="238"/>
      <c r="BT158" s="238"/>
      <c r="BU158" s="238"/>
      <c r="BV158" s="238"/>
      <c r="BW158" s="238"/>
      <c r="BX158" s="238"/>
      <c r="BY158" s="238"/>
      <c r="BZ158" s="238"/>
      <c r="CA158" s="238"/>
      <c r="CB158" s="238"/>
      <c r="CC158" s="238"/>
      <c r="CD158" s="238"/>
      <c r="CE158" s="238"/>
      <c r="CF158" s="238"/>
      <c r="CG158" s="238"/>
    </row>
    <row r="159" spans="1:85">
      <c r="A159" s="356">
        <v>40756</v>
      </c>
      <c r="B159" s="461">
        <v>3.7374999999999998</v>
      </c>
      <c r="C159" s="497">
        <v>-0.59</v>
      </c>
      <c r="D159" s="359">
        <v>-0.50281448039332455</v>
      </c>
      <c r="E159" s="359">
        <v>-0.52293421568717324</v>
      </c>
      <c r="F159" s="469">
        <v>0.13</v>
      </c>
      <c r="G159" s="470">
        <v>0.13</v>
      </c>
      <c r="H159" s="470">
        <v>0.16500000000000001</v>
      </c>
      <c r="I159" s="471">
        <v>0.125</v>
      </c>
      <c r="J159" s="470">
        <v>4.4999999999999998E-2</v>
      </c>
      <c r="K159" s="470">
        <v>0.115</v>
      </c>
      <c r="L159" s="470">
        <v>0.43</v>
      </c>
      <c r="M159" s="469">
        <v>-0.32</v>
      </c>
      <c r="N159" s="470">
        <v>0.43</v>
      </c>
      <c r="O159" s="471">
        <v>0</v>
      </c>
      <c r="P159" s="419">
        <v>-0.1</v>
      </c>
      <c r="Q159" s="388">
        <v>0.17249999999999999</v>
      </c>
      <c r="R159" s="475">
        <v>0.18</v>
      </c>
      <c r="S159" s="365">
        <v>0.18</v>
      </c>
      <c r="T159" s="274">
        <v>0.55000000000000004</v>
      </c>
      <c r="U159" s="494">
        <v>0.18</v>
      </c>
      <c r="V159" s="225">
        <v>3.1475</v>
      </c>
      <c r="W159" s="225">
        <v>3.2346855196066753</v>
      </c>
      <c r="X159" s="368">
        <v>3.2145657843128266</v>
      </c>
      <c r="Y159" s="226"/>
      <c r="Z159" s="465">
        <v>0.13</v>
      </c>
      <c r="AA159" s="481">
        <v>0.1</v>
      </c>
      <c r="AB159" s="487">
        <v>4.6931531961492521</v>
      </c>
      <c r="AC159" s="312">
        <v>4.823153196149252</v>
      </c>
      <c r="AD159" s="368">
        <v>4.7931531961492517</v>
      </c>
      <c r="AE159" s="418">
        <v>3.6375000000000002</v>
      </c>
      <c r="AF159" s="373">
        <v>3.4175</v>
      </c>
      <c r="AG159" s="374">
        <v>3.7374999999999998</v>
      </c>
      <c r="AH159" s="423">
        <v>-0.255</v>
      </c>
      <c r="AI159" s="467">
        <v>1.5731658263753598</v>
      </c>
      <c r="AJ159" s="478">
        <v>6.0102410760028799E-2</v>
      </c>
      <c r="AK159" s="478">
        <v>5.8994903064932804E-2</v>
      </c>
      <c r="AL159" s="354">
        <v>0.55631823858166229</v>
      </c>
      <c r="AM159" s="377">
        <v>0.56227487409316323</v>
      </c>
      <c r="AN159" s="353">
        <v>0.13</v>
      </c>
      <c r="AO159" s="378">
        <v>0.12</v>
      </c>
      <c r="AP159" s="238"/>
      <c r="AQ159" s="353">
        <v>-3.6494622483327221</v>
      </c>
      <c r="AR159" s="379">
        <v>-3.0594622483327223</v>
      </c>
      <c r="AS159" s="238"/>
      <c r="AT159" s="456">
        <v>7.4999999999999997E-3</v>
      </c>
      <c r="AU159" s="238"/>
      <c r="AV159" s="353">
        <v>2.5000000000000001E-3</v>
      </c>
      <c r="AW159" s="238">
        <v>5.0000000000000001E-3</v>
      </c>
      <c r="AX159" s="238">
        <v>-8.5000000000000006E-2</v>
      </c>
      <c r="AY159" s="354"/>
      <c r="AZ159" s="488">
        <v>0.8</v>
      </c>
      <c r="BA159" s="488"/>
      <c r="BB159" s="433">
        <v>-0.59</v>
      </c>
      <c r="BC159" s="319"/>
      <c r="BD159" s="355">
        <v>3.7875000000000001</v>
      </c>
      <c r="BE159" s="238">
        <v>3.1491766446078207</v>
      </c>
      <c r="BF159" s="319"/>
      <c r="BG159" s="238">
        <v>0.6</v>
      </c>
      <c r="BH159" s="293"/>
      <c r="BI159" s="293"/>
      <c r="BJ159" s="238"/>
      <c r="BK159" s="319"/>
      <c r="BL159" s="238"/>
      <c r="BM159" s="238"/>
      <c r="BN159" s="256"/>
      <c r="BO159" s="256"/>
      <c r="BP159" s="293"/>
      <c r="BQ159" s="238"/>
      <c r="BR159" s="293"/>
      <c r="BS159" s="238"/>
      <c r="BT159" s="238"/>
      <c r="BU159" s="238"/>
      <c r="BV159" s="238"/>
      <c r="BW159" s="238"/>
      <c r="BX159" s="238"/>
      <c r="BY159" s="238"/>
      <c r="BZ159" s="238"/>
      <c r="CA159" s="238"/>
      <c r="CB159" s="238"/>
      <c r="CC159" s="238"/>
      <c r="CD159" s="238"/>
      <c r="CE159" s="238"/>
      <c r="CF159" s="238"/>
      <c r="CG159" s="238"/>
    </row>
    <row r="160" spans="1:85">
      <c r="A160" s="356">
        <v>40787</v>
      </c>
      <c r="B160" s="461">
        <v>3.7505000000000002</v>
      </c>
      <c r="C160" s="497">
        <v>-0.59</v>
      </c>
      <c r="D160" s="359">
        <v>-0.50285476717879574</v>
      </c>
      <c r="E160" s="359">
        <v>-0.52296520552215053</v>
      </c>
      <c r="F160" s="469">
        <v>0.13</v>
      </c>
      <c r="G160" s="470">
        <v>0.13</v>
      </c>
      <c r="H160" s="470">
        <v>0.16500000000000001</v>
      </c>
      <c r="I160" s="471">
        <v>0.125</v>
      </c>
      <c r="J160" s="470">
        <v>4.4999999999999998E-2</v>
      </c>
      <c r="K160" s="470">
        <v>0.115</v>
      </c>
      <c r="L160" s="470">
        <v>0.38</v>
      </c>
      <c r="M160" s="469">
        <v>-0.32</v>
      </c>
      <c r="N160" s="470">
        <v>0.43</v>
      </c>
      <c r="O160" s="471">
        <v>0</v>
      </c>
      <c r="P160" s="419">
        <v>-0.1</v>
      </c>
      <c r="Q160" s="388">
        <v>0.17249999999999999</v>
      </c>
      <c r="R160" s="475">
        <v>0.18</v>
      </c>
      <c r="S160" s="365">
        <v>0.18</v>
      </c>
      <c r="T160" s="274">
        <v>0.55000000000000004</v>
      </c>
      <c r="U160" s="494">
        <v>0.18</v>
      </c>
      <c r="V160" s="225">
        <v>3.1605000000000003</v>
      </c>
      <c r="W160" s="225">
        <v>3.2476452328212044</v>
      </c>
      <c r="X160" s="368">
        <v>3.2275347944778496</v>
      </c>
      <c r="Y160" s="226"/>
      <c r="Z160" s="465">
        <v>0.13</v>
      </c>
      <c r="AA160" s="481">
        <v>0.1</v>
      </c>
      <c r="AB160" s="487">
        <v>4.7147157302680176</v>
      </c>
      <c r="AC160" s="312">
        <v>4.8447157302680175</v>
      </c>
      <c r="AD160" s="368">
        <v>4.8147157302680172</v>
      </c>
      <c r="AE160" s="418">
        <v>3.6505000000000001</v>
      </c>
      <c r="AF160" s="373">
        <v>3.4305000000000003</v>
      </c>
      <c r="AG160" s="374">
        <v>3.7505000000000002</v>
      </c>
      <c r="AH160" s="423">
        <v>-0.255</v>
      </c>
      <c r="AI160" s="467">
        <v>1.5738930927111701</v>
      </c>
      <c r="AJ160" s="478">
        <v>6.0216023805602002E-2</v>
      </c>
      <c r="AK160" s="478">
        <v>5.9070221308950899E-2</v>
      </c>
      <c r="AL160" s="354">
        <v>0.55291979661102197</v>
      </c>
      <c r="AM160" s="377">
        <v>0.55909839300311848</v>
      </c>
      <c r="AN160" s="353">
        <v>0.13</v>
      </c>
      <c r="AO160" s="378">
        <v>0.124</v>
      </c>
      <c r="AP160" s="238"/>
      <c r="AQ160" s="353">
        <v>-3.6624932252143423</v>
      </c>
      <c r="AR160" s="379">
        <v>-3.0724932252143424</v>
      </c>
      <c r="AS160" s="238"/>
      <c r="AT160" s="456">
        <v>7.4999999999999997E-3</v>
      </c>
      <c r="AU160" s="238"/>
      <c r="AV160" s="353">
        <v>2.5000000000000001E-3</v>
      </c>
      <c r="AW160" s="238">
        <v>5.0000000000000001E-3</v>
      </c>
      <c r="AX160" s="238">
        <v>-8.5000000000000006E-2</v>
      </c>
      <c r="AY160" s="354"/>
      <c r="AZ160" s="488">
        <v>0.8</v>
      </c>
      <c r="BA160" s="488"/>
      <c r="BB160" s="433">
        <v>-0.59</v>
      </c>
      <c r="BC160" s="319"/>
      <c r="BD160" s="355">
        <v>3.8005</v>
      </c>
      <c r="BE160" s="238">
        <v>3.1621758698619464</v>
      </c>
      <c r="BF160" s="319"/>
      <c r="BG160" s="238">
        <v>0.6</v>
      </c>
      <c r="BH160" s="293"/>
      <c r="BI160" s="293"/>
      <c r="BJ160" s="238"/>
      <c r="BK160" s="319"/>
      <c r="BL160" s="238"/>
      <c r="BM160" s="238"/>
      <c r="BN160" s="256"/>
      <c r="BO160" s="256"/>
      <c r="BP160" s="293"/>
      <c r="BQ160" s="238"/>
      <c r="BR160" s="293"/>
      <c r="BS160" s="238"/>
      <c r="BT160" s="238"/>
      <c r="BU160" s="238"/>
      <c r="BV160" s="238"/>
      <c r="BW160" s="238"/>
      <c r="BX160" s="238"/>
      <c r="BY160" s="238"/>
      <c r="BZ160" s="238"/>
      <c r="CA160" s="238"/>
      <c r="CB160" s="238"/>
      <c r="CC160" s="238"/>
      <c r="CD160" s="238"/>
      <c r="CE160" s="238"/>
      <c r="CF160" s="238"/>
      <c r="CG160" s="238"/>
    </row>
    <row r="161" spans="1:85">
      <c r="A161" s="356">
        <v>40817</v>
      </c>
      <c r="B161" s="461">
        <v>3.7625000000000002</v>
      </c>
      <c r="C161" s="497">
        <v>-0.59</v>
      </c>
      <c r="D161" s="359">
        <v>-0.50287135326701415</v>
      </c>
      <c r="E161" s="359">
        <v>-0.52297796405154973</v>
      </c>
      <c r="F161" s="469">
        <v>0.13</v>
      </c>
      <c r="G161" s="470">
        <v>0.13</v>
      </c>
      <c r="H161" s="470">
        <v>0.16500000000000001</v>
      </c>
      <c r="I161" s="471">
        <v>0.125</v>
      </c>
      <c r="J161" s="470">
        <v>4.4999999999999998E-2</v>
      </c>
      <c r="K161" s="470">
        <v>0.115</v>
      </c>
      <c r="L161" s="470">
        <v>0.42</v>
      </c>
      <c r="M161" s="469">
        <v>-0.32</v>
      </c>
      <c r="N161" s="470">
        <v>0.43</v>
      </c>
      <c r="O161" s="471">
        <v>0</v>
      </c>
      <c r="P161" s="419">
        <v>-0.1</v>
      </c>
      <c r="Q161" s="388">
        <v>0.17249999999999999</v>
      </c>
      <c r="R161" s="475">
        <v>0.18</v>
      </c>
      <c r="S161" s="365">
        <v>0.18</v>
      </c>
      <c r="T161" s="274">
        <v>0.6</v>
      </c>
      <c r="U161" s="494">
        <v>0.18</v>
      </c>
      <c r="V161" s="225">
        <v>3.1724999999999999</v>
      </c>
      <c r="W161" s="225">
        <v>3.259628646732986</v>
      </c>
      <c r="X161" s="368">
        <v>3.2395220359484505</v>
      </c>
      <c r="Y161" s="226"/>
      <c r="Z161" s="465">
        <v>0.13</v>
      </c>
      <c r="AA161" s="481">
        <v>0.1</v>
      </c>
      <c r="AB161" s="487">
        <v>4.7335177976987941</v>
      </c>
      <c r="AC161" s="312">
        <v>4.863517797698794</v>
      </c>
      <c r="AD161" s="368">
        <v>4.8335177976987937</v>
      </c>
      <c r="AE161" s="418">
        <v>3.6625000000000001</v>
      </c>
      <c r="AF161" s="373">
        <v>3.4424999999999999</v>
      </c>
      <c r="AG161" s="374">
        <v>3.7625000000000002</v>
      </c>
      <c r="AH161" s="423">
        <v>-0.255</v>
      </c>
      <c r="AI161" s="467">
        <v>1.5741927040406301</v>
      </c>
      <c r="AJ161" s="478">
        <v>6.0271139180592598E-2</v>
      </c>
      <c r="AK161" s="478">
        <v>5.9115188217760704E-2</v>
      </c>
      <c r="AL161" s="354">
        <v>0.54993566792806625</v>
      </c>
      <c r="AM161" s="377">
        <v>0.55618677555032203</v>
      </c>
      <c r="AN161" s="353">
        <v>0.13</v>
      </c>
      <c r="AO161" s="378">
        <v>0.12</v>
      </c>
      <c r="AP161" s="238"/>
      <c r="AQ161" s="353">
        <v>-3.6715059784108375</v>
      </c>
      <c r="AR161" s="379">
        <v>-3.0815059784108376</v>
      </c>
      <c r="AS161" s="238"/>
      <c r="AT161" s="456">
        <v>7.4999999999999997E-3</v>
      </c>
      <c r="AU161" s="238"/>
      <c r="AV161" s="353">
        <v>2.5000000000000001E-3</v>
      </c>
      <c r="AW161" s="238">
        <v>5.0000000000000001E-3</v>
      </c>
      <c r="AX161" s="238">
        <v>-8.5000000000000006E-2</v>
      </c>
      <c r="AY161" s="354"/>
      <c r="AZ161" s="488">
        <v>0.85</v>
      </c>
      <c r="BA161" s="488"/>
      <c r="BB161" s="433">
        <v>-0.59</v>
      </c>
      <c r="BC161" s="319"/>
      <c r="BD161" s="355">
        <v>3.8125</v>
      </c>
      <c r="BE161" s="238">
        <v>3.1741755508987115</v>
      </c>
      <c r="BF161" s="319"/>
      <c r="BG161" s="238">
        <v>0.65</v>
      </c>
      <c r="BH161" s="293"/>
      <c r="BI161" s="293"/>
      <c r="BJ161" s="238"/>
      <c r="BK161" s="319"/>
      <c r="BL161" s="238"/>
      <c r="BM161" s="238"/>
      <c r="BN161" s="256"/>
      <c r="BO161" s="256"/>
      <c r="BP161" s="293"/>
      <c r="BQ161" s="238"/>
      <c r="BR161" s="293"/>
      <c r="BS161" s="238"/>
      <c r="BT161" s="238"/>
      <c r="BU161" s="238"/>
      <c r="BV161" s="238"/>
      <c r="BW161" s="238"/>
      <c r="BX161" s="238"/>
      <c r="BY161" s="238"/>
      <c r="BZ161" s="238"/>
      <c r="CA161" s="238"/>
      <c r="CB161" s="238"/>
      <c r="CC161" s="238"/>
      <c r="CD161" s="238"/>
      <c r="CE161" s="238"/>
      <c r="CF161" s="238"/>
      <c r="CG161" s="238"/>
    </row>
    <row r="162" spans="1:85">
      <c r="A162" s="460">
        <v>40848</v>
      </c>
      <c r="B162" s="461">
        <v>3.9075000000000002</v>
      </c>
      <c r="C162" s="498">
        <v>-0.55500000000000005</v>
      </c>
      <c r="D162" s="359">
        <v>-0.46788510269974148</v>
      </c>
      <c r="E162" s="359">
        <v>-0.11999999999999922</v>
      </c>
      <c r="F162" s="469">
        <v>0.17499999999999999</v>
      </c>
      <c r="G162" s="470">
        <v>0.33</v>
      </c>
      <c r="H162" s="470">
        <v>0.29499999999999998</v>
      </c>
      <c r="I162" s="471">
        <v>0.39500000000000002</v>
      </c>
      <c r="J162" s="470">
        <v>0.13</v>
      </c>
      <c r="K162" s="470">
        <v>0.16</v>
      </c>
      <c r="L162" s="470">
        <v>0.73</v>
      </c>
      <c r="M162" s="469">
        <v>-0.2</v>
      </c>
      <c r="N162" s="470">
        <v>0.35</v>
      </c>
      <c r="O162" s="471">
        <v>0</v>
      </c>
      <c r="P162" s="419">
        <v>0.248</v>
      </c>
      <c r="Q162" s="388">
        <v>0.17249999999999999</v>
      </c>
      <c r="R162" s="475">
        <v>0.18</v>
      </c>
      <c r="S162" s="365">
        <v>0.18</v>
      </c>
      <c r="T162" s="274">
        <v>0.8</v>
      </c>
      <c r="U162" s="494">
        <v>0.18</v>
      </c>
      <c r="V162" s="225">
        <v>3.3525</v>
      </c>
      <c r="W162" s="225">
        <v>3.4396148973002587</v>
      </c>
      <c r="X162" s="368">
        <v>3.7875000000000001</v>
      </c>
      <c r="Y162" s="226"/>
      <c r="Z162" s="465">
        <v>0.13</v>
      </c>
      <c r="AA162" s="481">
        <v>0.64914270408985875</v>
      </c>
      <c r="AB162" s="487">
        <v>5.0028756677270092</v>
      </c>
      <c r="AC162" s="312">
        <v>5.1328756677270091</v>
      </c>
      <c r="AD162" s="368">
        <v>5.6520183718168679</v>
      </c>
      <c r="AE162" s="418">
        <v>4.1555</v>
      </c>
      <c r="AF162" s="373">
        <v>3.7075</v>
      </c>
      <c r="AG162" s="374">
        <v>3.9075000000000002</v>
      </c>
      <c r="AH162" s="423">
        <v>-0.18</v>
      </c>
      <c r="AI162" s="467">
        <v>1.57444116047409</v>
      </c>
      <c r="AJ162" s="478">
        <v>6.0316759636593401E-2</v>
      </c>
      <c r="AK162" s="478">
        <v>5.9154440914141605E-2</v>
      </c>
      <c r="AL162" s="354">
        <v>0.5469250365563505</v>
      </c>
      <c r="AM162" s="377">
        <v>0.55322922534411756</v>
      </c>
      <c r="AN162" s="353">
        <v>0.33</v>
      </c>
      <c r="AO162" s="378">
        <v>0.124</v>
      </c>
      <c r="AP162" s="238"/>
      <c r="AQ162" s="353">
        <v>-3.4473870563574867</v>
      </c>
      <c r="AR162" s="379">
        <v>-2.8923870563574865</v>
      </c>
      <c r="AS162" s="238"/>
      <c r="AT162" s="456">
        <v>7.4999999999999997E-3</v>
      </c>
      <c r="AU162" s="238"/>
      <c r="AV162" s="353">
        <v>8.0000000000000002E-3</v>
      </c>
      <c r="AW162" s="238">
        <v>0.02</v>
      </c>
      <c r="AX162" s="238">
        <v>5.0000000000000001E-3</v>
      </c>
      <c r="AY162" s="354"/>
      <c r="AZ162" s="488">
        <v>1.05</v>
      </c>
      <c r="BA162" s="488"/>
      <c r="BB162" s="433">
        <v>-0.55500000000000005</v>
      </c>
      <c r="BC162" s="319"/>
      <c r="BD162" s="355">
        <v>4.0575000000000001</v>
      </c>
      <c r="BE162" s="238">
        <v>3.3578609167569389</v>
      </c>
      <c r="BF162" s="319"/>
      <c r="BG162" s="238">
        <v>0.8</v>
      </c>
      <c r="BH162" s="293"/>
      <c r="BI162" s="293"/>
      <c r="BJ162" s="238"/>
      <c r="BK162" s="319"/>
      <c r="BL162" s="238"/>
      <c r="BM162" s="238"/>
      <c r="BN162" s="256"/>
      <c r="BO162" s="256"/>
      <c r="BP162" s="293"/>
      <c r="BQ162" s="238"/>
      <c r="BR162" s="293"/>
      <c r="BS162" s="238"/>
      <c r="BT162" s="238"/>
      <c r="BU162" s="238"/>
      <c r="BV162" s="238"/>
      <c r="BW162" s="238"/>
      <c r="BX162" s="238"/>
      <c r="BY162" s="238"/>
      <c r="BZ162" s="238"/>
      <c r="CA162" s="238"/>
      <c r="CB162" s="238"/>
      <c r="CC162" s="238"/>
      <c r="CD162" s="238"/>
      <c r="CE162" s="238"/>
      <c r="CF162" s="238"/>
      <c r="CG162" s="238"/>
    </row>
    <row r="163" spans="1:85">
      <c r="A163" s="356">
        <v>40878</v>
      </c>
      <c r="B163" s="461">
        <v>4.0585000000000004</v>
      </c>
      <c r="C163" s="497">
        <v>-0.55500000000000005</v>
      </c>
      <c r="D163" s="359">
        <v>-0.46789849303788955</v>
      </c>
      <c r="E163" s="359">
        <v>-0.12</v>
      </c>
      <c r="F163" s="469">
        <v>0.17499999999999999</v>
      </c>
      <c r="G163" s="470">
        <v>0.33</v>
      </c>
      <c r="H163" s="470">
        <v>0.29499999999999998</v>
      </c>
      <c r="I163" s="471">
        <v>0.39500000000000002</v>
      </c>
      <c r="J163" s="470">
        <v>0.13</v>
      </c>
      <c r="K163" s="470">
        <v>0.16</v>
      </c>
      <c r="L163" s="470">
        <v>0.98</v>
      </c>
      <c r="M163" s="469">
        <v>-0.2</v>
      </c>
      <c r="N163" s="470">
        <v>0.35</v>
      </c>
      <c r="O163" s="471">
        <v>0</v>
      </c>
      <c r="P163" s="419">
        <v>0.308</v>
      </c>
      <c r="Q163" s="388">
        <v>0.17249999999999999</v>
      </c>
      <c r="R163" s="475">
        <v>0.18</v>
      </c>
      <c r="S163" s="365">
        <v>0.18</v>
      </c>
      <c r="T163" s="274">
        <v>1</v>
      </c>
      <c r="U163" s="494">
        <v>0.18</v>
      </c>
      <c r="V163" s="225">
        <v>3.5035000000000003</v>
      </c>
      <c r="W163" s="225">
        <v>3.5906015069621109</v>
      </c>
      <c r="X163" s="368">
        <v>3.9385000000000003</v>
      </c>
      <c r="Y163" s="226"/>
      <c r="Z163" s="465">
        <v>0.13</v>
      </c>
      <c r="AA163" s="481">
        <v>0.64924249846330717</v>
      </c>
      <c r="AB163" s="487">
        <v>5.2290140077383818</v>
      </c>
      <c r="AC163" s="312">
        <v>5.3590140077383817</v>
      </c>
      <c r="AD163" s="368">
        <v>5.8782565062016889</v>
      </c>
      <c r="AE163" s="418">
        <v>4.3665000000000003</v>
      </c>
      <c r="AF163" s="373">
        <v>3.8585000000000003</v>
      </c>
      <c r="AG163" s="374">
        <v>4.0585000000000004</v>
      </c>
      <c r="AH163" s="423">
        <v>-0.18</v>
      </c>
      <c r="AI163" s="467">
        <v>1.5746832033533398</v>
      </c>
      <c r="AJ163" s="478">
        <v>6.03609084656389E-2</v>
      </c>
      <c r="AK163" s="478">
        <v>5.9192427394998005E-2</v>
      </c>
      <c r="AL163" s="354">
        <v>0.54402332742121029</v>
      </c>
      <c r="AM163" s="377">
        <v>0.55037866747354447</v>
      </c>
      <c r="AN163" s="353">
        <v>0.33</v>
      </c>
      <c r="AO163" s="378">
        <v>0.12</v>
      </c>
      <c r="AP163" s="238"/>
      <c r="AQ163" s="353">
        <v>-3.602392794976081</v>
      </c>
      <c r="AR163" s="379">
        <v>-3.0473927949760808</v>
      </c>
      <c r="AS163" s="238"/>
      <c r="AT163" s="456">
        <v>7.4999999999999997E-3</v>
      </c>
      <c r="AU163" s="238"/>
      <c r="AV163" s="353">
        <v>8.0000000000000002E-3</v>
      </c>
      <c r="AW163" s="238">
        <v>0.02</v>
      </c>
      <c r="AX163" s="238">
        <v>0.01</v>
      </c>
      <c r="AY163" s="354"/>
      <c r="AZ163" s="488">
        <v>1.25</v>
      </c>
      <c r="BA163" s="488"/>
      <c r="BB163" s="433">
        <v>-0.55500000000000005</v>
      </c>
      <c r="BC163" s="319"/>
      <c r="BD163" s="355">
        <v>4.2084999999999999</v>
      </c>
      <c r="BE163" s="238">
        <v>3.5088600927361302</v>
      </c>
      <c r="BF163" s="319"/>
      <c r="BG163" s="238">
        <v>1.1000000000000001</v>
      </c>
      <c r="BH163" s="293"/>
      <c r="BI163" s="293"/>
      <c r="BJ163" s="238"/>
      <c r="BK163" s="319"/>
      <c r="BL163" s="238"/>
      <c r="BM163" s="238"/>
      <c r="BN163" s="256"/>
      <c r="BO163" s="256"/>
      <c r="BP163" s="293"/>
      <c r="BQ163" s="238"/>
      <c r="BR163" s="293"/>
      <c r="BS163" s="238"/>
      <c r="BT163" s="238"/>
      <c r="BU163" s="238"/>
      <c r="BV163" s="238"/>
      <c r="BW163" s="238"/>
      <c r="BX163" s="238"/>
      <c r="BY163" s="238"/>
      <c r="BZ163" s="238"/>
      <c r="CA163" s="238"/>
      <c r="CB163" s="238"/>
      <c r="CC163" s="238"/>
      <c r="CD163" s="238"/>
      <c r="CE163" s="238"/>
      <c r="CF163" s="238"/>
      <c r="CG163" s="238"/>
    </row>
    <row r="164" spans="1:85">
      <c r="A164" s="356">
        <v>40909</v>
      </c>
      <c r="B164" s="461">
        <v>4.1545000000000005</v>
      </c>
      <c r="C164" s="497">
        <v>-0.55500000000000005</v>
      </c>
      <c r="D164" s="359">
        <v>-0.46791241692340479</v>
      </c>
      <c r="E164" s="359">
        <v>-0.12</v>
      </c>
      <c r="F164" s="469">
        <v>0.17499999999999999</v>
      </c>
      <c r="G164" s="470">
        <v>0.33</v>
      </c>
      <c r="H164" s="470">
        <v>0.29499999999999998</v>
      </c>
      <c r="I164" s="471">
        <v>0.39500000000000002</v>
      </c>
      <c r="J164" s="470">
        <v>0.13</v>
      </c>
      <c r="K164" s="470">
        <v>0.16</v>
      </c>
      <c r="L164" s="470">
        <v>1.6</v>
      </c>
      <c r="M164" s="469">
        <v>-0.2</v>
      </c>
      <c r="N164" s="470">
        <v>0.35</v>
      </c>
      <c r="O164" s="471">
        <v>0</v>
      </c>
      <c r="P164" s="419">
        <v>0.37800000000000006</v>
      </c>
      <c r="Q164" s="388">
        <v>0.17249999999999999</v>
      </c>
      <c r="R164" s="475">
        <v>0.18</v>
      </c>
      <c r="S164" s="365">
        <v>0.18</v>
      </c>
      <c r="T164" s="274">
        <v>1</v>
      </c>
      <c r="U164" s="494">
        <v>0.18</v>
      </c>
      <c r="V164" s="225">
        <v>3.5995000000000004</v>
      </c>
      <c r="W164" s="225">
        <v>3.6865875830765957</v>
      </c>
      <c r="X164" s="368">
        <v>4.0345000000000004</v>
      </c>
      <c r="Y164" s="226"/>
      <c r="Z164" s="465">
        <v>0.13</v>
      </c>
      <c r="AA164" s="481">
        <v>0.64934630175995522</v>
      </c>
      <c r="AB164" s="487">
        <v>5.3731540532987623</v>
      </c>
      <c r="AC164" s="312">
        <v>5.5031540532987622</v>
      </c>
      <c r="AD164" s="368">
        <v>6.0225003550587175</v>
      </c>
      <c r="AE164" s="418">
        <v>4.5324999999999998</v>
      </c>
      <c r="AF164" s="373">
        <v>3.9545000000000003</v>
      </c>
      <c r="AG164" s="374">
        <v>4.1545000000000005</v>
      </c>
      <c r="AH164" s="423">
        <v>-0.18</v>
      </c>
      <c r="AI164" s="467">
        <v>1.5749349695394299</v>
      </c>
      <c r="AJ164" s="478">
        <v>6.0406528923000004E-2</v>
      </c>
      <c r="AK164" s="478">
        <v>5.9231680092387301E-2</v>
      </c>
      <c r="AL164" s="354">
        <v>0.54103707092287645</v>
      </c>
      <c r="AM164" s="377">
        <v>0.54744503874951744</v>
      </c>
      <c r="AN164" s="353">
        <v>0.33</v>
      </c>
      <c r="AO164" s="378">
        <v>0.12</v>
      </c>
      <c r="AP164" s="238"/>
      <c r="AQ164" s="353">
        <v>-3.6923988909036369</v>
      </c>
      <c r="AR164" s="379">
        <v>-3.1373988909036368</v>
      </c>
      <c r="AS164" s="238"/>
      <c r="AT164" s="456">
        <v>7.4999999999999997E-3</v>
      </c>
      <c r="AU164" s="238"/>
      <c r="AV164" s="353">
        <v>8.0000000000000002E-3</v>
      </c>
      <c r="AW164" s="238">
        <v>0.02</v>
      </c>
      <c r="AX164" s="238">
        <v>0.03</v>
      </c>
      <c r="AY164" s="354"/>
      <c r="AZ164" s="488">
        <v>1.25</v>
      </c>
      <c r="BA164" s="488"/>
      <c r="BB164" s="433">
        <v>-0.55500000000000005</v>
      </c>
      <c r="BC164" s="319"/>
      <c r="BD164" s="355">
        <v>4.3045</v>
      </c>
      <c r="BE164" s="238">
        <v>3.6048592358816371</v>
      </c>
      <c r="BF164" s="319"/>
      <c r="BG164" s="238">
        <v>1.1000000000000001</v>
      </c>
      <c r="BH164" s="293"/>
      <c r="BI164" s="293"/>
      <c r="BJ164" s="238"/>
      <c r="BK164" s="319"/>
      <c r="BL164" s="238"/>
      <c r="BM164" s="238"/>
      <c r="BN164" s="256"/>
      <c r="BO164" s="256"/>
      <c r="BP164" s="293"/>
      <c r="BQ164" s="238"/>
      <c r="BR164" s="293"/>
      <c r="BS164" s="238"/>
      <c r="BT164" s="238"/>
      <c r="BU164" s="238"/>
      <c r="BV164" s="238"/>
      <c r="BW164" s="238"/>
      <c r="BX164" s="238"/>
      <c r="BY164" s="238"/>
      <c r="BZ164" s="238"/>
      <c r="CA164" s="238"/>
      <c r="CB164" s="238"/>
      <c r="CC164" s="238"/>
      <c r="CD164" s="238"/>
      <c r="CE164" s="238"/>
      <c r="CF164" s="238"/>
      <c r="CG164" s="238"/>
    </row>
    <row r="165" spans="1:85">
      <c r="A165" s="356">
        <v>40940</v>
      </c>
      <c r="B165" s="461">
        <v>4.0404999999999998</v>
      </c>
      <c r="C165" s="497">
        <v>-0.55500000000000005</v>
      </c>
      <c r="D165" s="359">
        <v>-0.46792642939294327</v>
      </c>
      <c r="E165" s="359">
        <v>-0.12</v>
      </c>
      <c r="F165" s="469">
        <v>0.17499999999999999</v>
      </c>
      <c r="G165" s="470">
        <v>0.33</v>
      </c>
      <c r="H165" s="470">
        <v>0.29499999999999998</v>
      </c>
      <c r="I165" s="471">
        <v>0.39500000000000002</v>
      </c>
      <c r="J165" s="470">
        <v>0.13</v>
      </c>
      <c r="K165" s="470">
        <v>0.16</v>
      </c>
      <c r="L165" s="470">
        <v>1.6</v>
      </c>
      <c r="M165" s="469">
        <v>-0.2</v>
      </c>
      <c r="N165" s="470">
        <v>0.35</v>
      </c>
      <c r="O165" s="471">
        <v>0</v>
      </c>
      <c r="P165" s="419">
        <v>0.248</v>
      </c>
      <c r="Q165" s="388">
        <v>0.16750000000000001</v>
      </c>
      <c r="R165" s="475">
        <v>0.17499999999999999</v>
      </c>
      <c r="S165" s="365">
        <v>0.17499999999999999</v>
      </c>
      <c r="T165" s="274">
        <v>1</v>
      </c>
      <c r="U165" s="494">
        <v>0.17499999999999999</v>
      </c>
      <c r="V165" s="225">
        <v>3.4854999999999996</v>
      </c>
      <c r="W165" s="225">
        <v>3.5725735706070565</v>
      </c>
      <c r="X165" s="368">
        <v>3.9204999999999997</v>
      </c>
      <c r="Y165" s="226"/>
      <c r="Z165" s="465">
        <v>0.13</v>
      </c>
      <c r="AA165" s="481">
        <v>0.64945079897087243</v>
      </c>
      <c r="AB165" s="487">
        <v>5.2038178386505143</v>
      </c>
      <c r="AC165" s="312">
        <v>5.3338178386505142</v>
      </c>
      <c r="AD165" s="368">
        <v>5.8532686376213867</v>
      </c>
      <c r="AE165" s="418">
        <v>4.2885</v>
      </c>
      <c r="AF165" s="373">
        <v>3.8404999999999996</v>
      </c>
      <c r="AG165" s="374">
        <v>4.0404999999999998</v>
      </c>
      <c r="AH165" s="423">
        <v>-0.18</v>
      </c>
      <c r="AI165" s="467">
        <v>1.5751884187563501</v>
      </c>
      <c r="AJ165" s="478">
        <v>6.0452149381052603E-2</v>
      </c>
      <c r="AK165" s="478">
        <v>5.9270932790287799E-2</v>
      </c>
      <c r="AL165" s="354">
        <v>0.53806316746871619</v>
      </c>
      <c r="AM165" s="377">
        <v>0.54452352711601781</v>
      </c>
      <c r="AN165" s="353">
        <v>0.33</v>
      </c>
      <c r="AO165" s="378">
        <v>0.13300000000000001</v>
      </c>
      <c r="AP165" s="238"/>
      <c r="AQ165" s="353">
        <v>-3.578405155556514</v>
      </c>
      <c r="AR165" s="379">
        <v>-3.0234051555565138</v>
      </c>
      <c r="AS165" s="238"/>
      <c r="AT165" s="456">
        <v>7.4999999999999997E-3</v>
      </c>
      <c r="AU165" s="238"/>
      <c r="AV165" s="353">
        <v>8.0000000000000002E-3</v>
      </c>
      <c r="AW165" s="238">
        <v>0.02</v>
      </c>
      <c r="AX165" s="238">
        <v>2.5000000000000001E-2</v>
      </c>
      <c r="AY165" s="354"/>
      <c r="AZ165" s="488">
        <v>1.25</v>
      </c>
      <c r="BA165" s="488"/>
      <c r="BB165" s="433">
        <v>-0.55500000000000005</v>
      </c>
      <c r="BC165" s="319"/>
      <c r="BD165" s="355">
        <v>4.1904999999999992</v>
      </c>
      <c r="BE165" s="238">
        <v>3.4908583735758185</v>
      </c>
      <c r="BF165" s="319"/>
      <c r="BG165" s="238">
        <v>1.1000000000000001</v>
      </c>
      <c r="BH165" s="293"/>
      <c r="BI165" s="293"/>
      <c r="BJ165" s="238"/>
      <c r="BK165" s="319"/>
      <c r="BL165" s="238"/>
      <c r="BM165" s="238"/>
      <c r="BN165" s="256"/>
      <c r="BO165" s="256"/>
      <c r="BP165" s="293"/>
      <c r="BQ165" s="238"/>
      <c r="BR165" s="293"/>
      <c r="BS165" s="238"/>
      <c r="BT165" s="238"/>
      <c r="BU165" s="238"/>
      <c r="BV165" s="238"/>
      <c r="BW165" s="238"/>
      <c r="BX165" s="238"/>
      <c r="BY165" s="238"/>
      <c r="BZ165" s="238"/>
      <c r="CA165" s="238"/>
      <c r="CB165" s="238"/>
      <c r="CC165" s="238"/>
      <c r="CD165" s="238"/>
      <c r="CE165" s="238"/>
      <c r="CF165" s="238"/>
      <c r="CG165" s="238"/>
    </row>
    <row r="166" spans="1:85">
      <c r="A166" s="356">
        <v>40969</v>
      </c>
      <c r="B166" s="461">
        <v>3.9085000000000001</v>
      </c>
      <c r="C166" s="497">
        <v>-0.55500000000000005</v>
      </c>
      <c r="D166" s="359">
        <v>-0.46793961798444084</v>
      </c>
      <c r="E166" s="359">
        <v>-0.12</v>
      </c>
      <c r="F166" s="469">
        <v>0.17499999999999999</v>
      </c>
      <c r="G166" s="470">
        <v>0.33</v>
      </c>
      <c r="H166" s="470">
        <v>0.29499999999999998</v>
      </c>
      <c r="I166" s="471">
        <v>0.39500000000000002</v>
      </c>
      <c r="J166" s="470">
        <v>0.13</v>
      </c>
      <c r="K166" s="470">
        <v>0.16</v>
      </c>
      <c r="L166" s="470">
        <v>0.72</v>
      </c>
      <c r="M166" s="469">
        <v>-0.2</v>
      </c>
      <c r="N166" s="470">
        <v>0.35</v>
      </c>
      <c r="O166" s="471">
        <v>0</v>
      </c>
      <c r="P166" s="419">
        <v>6.8000000000000005E-2</v>
      </c>
      <c r="Q166" s="388">
        <v>0.16250000000000001</v>
      </c>
      <c r="R166" s="475">
        <v>0.17</v>
      </c>
      <c r="S166" s="365">
        <v>0.17</v>
      </c>
      <c r="T166" s="274">
        <v>0.75</v>
      </c>
      <c r="U166" s="494">
        <v>0.17</v>
      </c>
      <c r="V166" s="225">
        <v>3.3534999999999999</v>
      </c>
      <c r="W166" s="225">
        <v>3.4405603820155592</v>
      </c>
      <c r="X166" s="368">
        <v>3.7885000000000004</v>
      </c>
      <c r="Y166" s="226"/>
      <c r="Z166" s="465">
        <v>0.13</v>
      </c>
      <c r="AA166" s="481">
        <v>0.64954918288658092</v>
      </c>
      <c r="AB166" s="487">
        <v>5.0075015742762048</v>
      </c>
      <c r="AC166" s="312">
        <v>5.1375015742762047</v>
      </c>
      <c r="AD166" s="368">
        <v>5.6570507571627857</v>
      </c>
      <c r="AE166" s="418">
        <v>3.9765000000000001</v>
      </c>
      <c r="AF166" s="373">
        <v>3.7084999999999999</v>
      </c>
      <c r="AG166" s="374">
        <v>3.9085000000000001</v>
      </c>
      <c r="AH166" s="423">
        <v>-0.18</v>
      </c>
      <c r="AI166" s="467">
        <v>1.5754270406886999</v>
      </c>
      <c r="AJ166" s="478">
        <v>6.0494826584372802E-2</v>
      </c>
      <c r="AK166" s="478">
        <v>5.9307653056529706E-2</v>
      </c>
      <c r="AL166" s="354">
        <v>0.53529229146459867</v>
      </c>
      <c r="AM166" s="377">
        <v>0.5418014459656586</v>
      </c>
      <c r="AN166" s="353">
        <v>0.33</v>
      </c>
      <c r="AO166" s="378">
        <v>0.12</v>
      </c>
      <c r="AP166" s="238"/>
      <c r="AQ166" s="353">
        <v>-3.4464111687701284</v>
      </c>
      <c r="AR166" s="379">
        <v>-2.8914111687701283</v>
      </c>
      <c r="AS166" s="238"/>
      <c r="AT166" s="456">
        <v>7.4999999999999997E-3</v>
      </c>
      <c r="AU166" s="238"/>
      <c r="AV166" s="353">
        <v>8.0000000000000002E-3</v>
      </c>
      <c r="AW166" s="238">
        <v>0.02</v>
      </c>
      <c r="AX166" s="238">
        <v>5.0000000000000001E-3</v>
      </c>
      <c r="AY166" s="354"/>
      <c r="AZ166" s="488">
        <v>1</v>
      </c>
      <c r="BA166" s="488"/>
      <c r="BB166" s="433">
        <v>-0.55500000000000005</v>
      </c>
      <c r="BC166" s="319"/>
      <c r="BD166" s="355">
        <v>4.0584999999999996</v>
      </c>
      <c r="BE166" s="238">
        <v>3.3588575619701881</v>
      </c>
      <c r="BF166" s="319"/>
      <c r="BG166" s="238">
        <v>0.75</v>
      </c>
      <c r="BH166" s="293"/>
      <c r="BI166" s="293"/>
      <c r="BJ166" s="238"/>
      <c r="BK166" s="319"/>
      <c r="BL166" s="238"/>
      <c r="BM166" s="238"/>
      <c r="BN166" s="256"/>
      <c r="BO166" s="256"/>
      <c r="BP166" s="293"/>
      <c r="BQ166" s="238"/>
      <c r="BR166" s="293"/>
      <c r="BS166" s="238"/>
      <c r="BT166" s="238"/>
      <c r="BU166" s="238"/>
      <c r="BV166" s="238"/>
      <c r="BW166" s="238"/>
      <c r="BX166" s="238"/>
      <c r="BY166" s="238"/>
      <c r="BZ166" s="238"/>
      <c r="CA166" s="238"/>
      <c r="CB166" s="238"/>
      <c r="CC166" s="238"/>
      <c r="CD166" s="238"/>
      <c r="CE166" s="238"/>
      <c r="CF166" s="238"/>
      <c r="CG166" s="238"/>
    </row>
    <row r="167" spans="1:85">
      <c r="A167" s="356">
        <v>41000</v>
      </c>
      <c r="B167" s="461">
        <v>3.7105000000000001</v>
      </c>
      <c r="C167" s="498">
        <v>-0.66800000000000004</v>
      </c>
      <c r="D167" s="359">
        <v>-0.5809538017672442</v>
      </c>
      <c r="E167" s="359">
        <v>-0.60104138597480317</v>
      </c>
      <c r="F167" s="469">
        <v>0.13</v>
      </c>
      <c r="G167" s="470">
        <v>0.13</v>
      </c>
      <c r="H167" s="470">
        <v>0.16500000000000001</v>
      </c>
      <c r="I167" s="471">
        <v>0.125</v>
      </c>
      <c r="J167" s="470">
        <v>4.4999999999999998E-2</v>
      </c>
      <c r="K167" s="470">
        <v>0.115</v>
      </c>
      <c r="L167" s="470">
        <v>0.4</v>
      </c>
      <c r="M167" s="469">
        <v>-0.32</v>
      </c>
      <c r="N167" s="470">
        <v>0.43</v>
      </c>
      <c r="O167" s="471">
        <v>0</v>
      </c>
      <c r="P167" s="419">
        <v>-0.25</v>
      </c>
      <c r="Q167" s="388">
        <v>0.16250000000000001</v>
      </c>
      <c r="R167" s="475">
        <v>0.17</v>
      </c>
      <c r="S167" s="365">
        <v>0.17</v>
      </c>
      <c r="T167" s="274">
        <v>0.4</v>
      </c>
      <c r="U167" s="494">
        <v>0.17</v>
      </c>
      <c r="V167" s="225">
        <v>3.0425</v>
      </c>
      <c r="W167" s="225">
        <v>3.1295461982327559</v>
      </c>
      <c r="X167" s="368">
        <v>3.109458614025197</v>
      </c>
      <c r="Y167" s="226"/>
      <c r="Z167" s="465">
        <v>0.13</v>
      </c>
      <c r="AA167" s="481">
        <v>0.1</v>
      </c>
      <c r="AB167" s="487">
        <v>4.5438515182752717</v>
      </c>
      <c r="AC167" s="312">
        <v>4.6738515182752716</v>
      </c>
      <c r="AD167" s="368">
        <v>4.6438515182752713</v>
      </c>
      <c r="AE167" s="418">
        <v>3.4605000000000001</v>
      </c>
      <c r="AF167" s="373">
        <v>3.3905000000000003</v>
      </c>
      <c r="AG167" s="374">
        <v>3.7105000000000001</v>
      </c>
      <c r="AH167" s="423">
        <v>-0.255</v>
      </c>
      <c r="AI167" s="467">
        <v>1.5756837493723699</v>
      </c>
      <c r="AJ167" s="478">
        <v>6.05404470437629E-2</v>
      </c>
      <c r="AK167" s="478">
        <v>5.93469057554223E-2</v>
      </c>
      <c r="AL167" s="354">
        <v>0.53234223097020683</v>
      </c>
      <c r="AM167" s="377">
        <v>0.53890331027586558</v>
      </c>
      <c r="AN167" s="353">
        <v>0.13</v>
      </c>
      <c r="AO167" s="378">
        <v>0.124</v>
      </c>
      <c r="AP167" s="238"/>
      <c r="AQ167" s="353">
        <v>-3.6175693738245336</v>
      </c>
      <c r="AR167" s="379">
        <v>-2.9495693738245334</v>
      </c>
      <c r="AS167" s="238"/>
      <c r="AT167" s="456">
        <v>7.4999999999999997E-3</v>
      </c>
      <c r="AU167" s="238"/>
      <c r="AV167" s="353">
        <v>2.5000000000000001E-3</v>
      </c>
      <c r="AW167" s="238">
        <v>5.0000000000000001E-3</v>
      </c>
      <c r="AX167" s="238">
        <v>-8.5000000000000006E-2</v>
      </c>
      <c r="AY167" s="354"/>
      <c r="AZ167" s="488">
        <v>0.65</v>
      </c>
      <c r="BA167" s="488"/>
      <c r="BB167" s="433">
        <v>-0.66800000000000004</v>
      </c>
      <c r="BC167" s="319"/>
      <c r="BD167" s="355">
        <v>3.7605</v>
      </c>
      <c r="BE167" s="238">
        <v>3.0441739653506299</v>
      </c>
      <c r="BF167" s="319"/>
      <c r="BG167" s="238">
        <v>0.45</v>
      </c>
      <c r="BH167" s="293"/>
      <c r="BI167" s="293"/>
      <c r="BJ167" s="238"/>
      <c r="BK167" s="319"/>
      <c r="BL167" s="238"/>
      <c r="BM167" s="238"/>
      <c r="BN167" s="256"/>
      <c r="BO167" s="256"/>
      <c r="BP167" s="293"/>
      <c r="BQ167" s="238"/>
      <c r="BR167" s="293"/>
      <c r="BS167" s="238"/>
      <c r="BT167" s="238"/>
      <c r="BU167" s="238"/>
      <c r="BV167" s="238"/>
      <c r="BW167" s="238"/>
      <c r="BX167" s="238"/>
      <c r="BY167" s="238"/>
      <c r="BZ167" s="238"/>
      <c r="CA167" s="238"/>
      <c r="CB167" s="238"/>
      <c r="CC167" s="238"/>
      <c r="CD167" s="238"/>
      <c r="CE167" s="238"/>
      <c r="CF167" s="238"/>
      <c r="CG167" s="238"/>
    </row>
    <row r="168" spans="1:85">
      <c r="A168" s="356">
        <v>41030</v>
      </c>
      <c r="B168" s="461">
        <v>3.7065000000000001</v>
      </c>
      <c r="C168" s="497">
        <v>-0.66800000000000004</v>
      </c>
      <c r="D168" s="359">
        <v>-0.58096761221505044</v>
      </c>
      <c r="E168" s="359">
        <v>-0.60105200939619285</v>
      </c>
      <c r="F168" s="469">
        <v>0.13</v>
      </c>
      <c r="G168" s="470">
        <v>0.13</v>
      </c>
      <c r="H168" s="470">
        <v>0.16500000000000001</v>
      </c>
      <c r="I168" s="471">
        <v>0.125</v>
      </c>
      <c r="J168" s="470">
        <v>4.4999999999999998E-2</v>
      </c>
      <c r="K168" s="470">
        <v>0.115</v>
      </c>
      <c r="L168" s="470">
        <v>0.35</v>
      </c>
      <c r="M168" s="469">
        <v>-0.32</v>
      </c>
      <c r="N168" s="470">
        <v>0.43</v>
      </c>
      <c r="O168" s="471">
        <v>0</v>
      </c>
      <c r="P168" s="419">
        <v>-0.1</v>
      </c>
      <c r="Q168" s="388">
        <v>0.16250000000000001</v>
      </c>
      <c r="R168" s="475">
        <v>0.17</v>
      </c>
      <c r="S168" s="365">
        <v>0.17</v>
      </c>
      <c r="T168" s="274">
        <v>0.45</v>
      </c>
      <c r="U168" s="494">
        <v>0.17</v>
      </c>
      <c r="V168" s="225">
        <v>3.0385</v>
      </c>
      <c r="W168" s="225">
        <v>3.1255323877849497</v>
      </c>
      <c r="X168" s="368">
        <v>3.1054479906038073</v>
      </c>
      <c r="Y168" s="226"/>
      <c r="Z168" s="465">
        <v>0.13</v>
      </c>
      <c r="AA168" s="481">
        <v>0.1</v>
      </c>
      <c r="AB168" s="487">
        <v>4.5385977571479357</v>
      </c>
      <c r="AC168" s="312">
        <v>4.6685977571479356</v>
      </c>
      <c r="AD168" s="368">
        <v>4.6385977571479353</v>
      </c>
      <c r="AE168" s="418">
        <v>3.6065</v>
      </c>
      <c r="AF168" s="373">
        <v>3.3865000000000003</v>
      </c>
      <c r="AG168" s="374">
        <v>3.7065000000000001</v>
      </c>
      <c r="AH168" s="423">
        <v>-0.255</v>
      </c>
      <c r="AI168" s="467">
        <v>1.57593378155849</v>
      </c>
      <c r="AJ168" s="478">
        <v>6.0584595876089303E-2</v>
      </c>
      <c r="AK168" s="478">
        <v>5.9384892238708402E-2</v>
      </c>
      <c r="AL168" s="354">
        <v>0.52949903033610923</v>
      </c>
      <c r="AM168" s="377">
        <v>0.53611012477297404</v>
      </c>
      <c r="AN168" s="353">
        <v>0.13</v>
      </c>
      <c r="AO168" s="378">
        <v>0.12</v>
      </c>
      <c r="AP168" s="238"/>
      <c r="AQ168" s="353">
        <v>-3.6135799928054686</v>
      </c>
      <c r="AR168" s="379">
        <v>-2.9455799928054685</v>
      </c>
      <c r="AS168" s="238"/>
      <c r="AT168" s="456">
        <v>7.4999999999999997E-3</v>
      </c>
      <c r="AU168" s="238"/>
      <c r="AV168" s="353">
        <v>2.5000000000000001E-3</v>
      </c>
      <c r="AW168" s="238">
        <v>5.0000000000000001E-3</v>
      </c>
      <c r="AX168" s="238">
        <v>-8.5000000000000006E-2</v>
      </c>
      <c r="AY168" s="354"/>
      <c r="AZ168" s="488">
        <v>0.7</v>
      </c>
      <c r="BA168" s="488"/>
      <c r="BB168" s="433">
        <v>-0.66800000000000004</v>
      </c>
      <c r="BC168" s="319"/>
      <c r="BD168" s="355">
        <v>3.7565</v>
      </c>
      <c r="BE168" s="238">
        <v>3.040173699765095</v>
      </c>
      <c r="BF168" s="319"/>
      <c r="BG168" s="238">
        <v>0.5</v>
      </c>
      <c r="BH168" s="293"/>
      <c r="BI168" s="293"/>
      <c r="BJ168" s="238"/>
      <c r="BK168" s="319"/>
      <c r="BL168" s="238"/>
      <c r="BM168" s="238"/>
      <c r="BN168" s="256"/>
      <c r="BO168" s="256"/>
      <c r="BP168" s="293"/>
      <c r="BQ168" s="238"/>
      <c r="BR168" s="293"/>
      <c r="BS168" s="238"/>
      <c r="BT168" s="238"/>
      <c r="BU168" s="238"/>
      <c r="BV168" s="238"/>
      <c r="BW168" s="238"/>
      <c r="BX168" s="238"/>
      <c r="BY168" s="238"/>
      <c r="BZ168" s="238"/>
      <c r="CA168" s="238"/>
      <c r="CB168" s="238"/>
      <c r="CC168" s="238"/>
      <c r="CD168" s="238"/>
      <c r="CE168" s="238"/>
      <c r="CF168" s="238"/>
      <c r="CG168" s="238"/>
    </row>
    <row r="169" spans="1:85">
      <c r="A169" s="356">
        <v>41061</v>
      </c>
      <c r="B169" s="461">
        <v>3.7385000000000002</v>
      </c>
      <c r="C169" s="497">
        <v>-0.66800000000000004</v>
      </c>
      <c r="D169" s="359">
        <v>-0.58098196997585205</v>
      </c>
      <c r="E169" s="359">
        <v>-0.6010630538275783</v>
      </c>
      <c r="F169" s="469">
        <v>0.13</v>
      </c>
      <c r="G169" s="470">
        <v>0.13</v>
      </c>
      <c r="H169" s="470">
        <v>0.16500000000000001</v>
      </c>
      <c r="I169" s="471">
        <v>0.125</v>
      </c>
      <c r="J169" s="470">
        <v>4.4999999999999998E-2</v>
      </c>
      <c r="K169" s="470">
        <v>0.115</v>
      </c>
      <c r="L169" s="470">
        <v>0.39</v>
      </c>
      <c r="M169" s="469">
        <v>-0.32</v>
      </c>
      <c r="N169" s="470">
        <v>0.43</v>
      </c>
      <c r="O169" s="471">
        <v>0</v>
      </c>
      <c r="P169" s="419">
        <v>-0.1</v>
      </c>
      <c r="Q169" s="388">
        <v>0.16250000000000001</v>
      </c>
      <c r="R169" s="475">
        <v>0.17</v>
      </c>
      <c r="S169" s="365">
        <v>0.17</v>
      </c>
      <c r="T169" s="274">
        <v>0.45</v>
      </c>
      <c r="U169" s="494">
        <v>0.17</v>
      </c>
      <c r="V169" s="225">
        <v>3.0705</v>
      </c>
      <c r="W169" s="225">
        <v>3.1575180300241481</v>
      </c>
      <c r="X169" s="368">
        <v>3.1374369461724219</v>
      </c>
      <c r="Y169" s="226"/>
      <c r="Z169" s="465">
        <v>0.13</v>
      </c>
      <c r="AA169" s="481">
        <v>0.1</v>
      </c>
      <c r="AB169" s="487">
        <v>4.5871527991294405</v>
      </c>
      <c r="AC169" s="312">
        <v>4.7171527991294404</v>
      </c>
      <c r="AD169" s="368">
        <v>4.6871527991294402</v>
      </c>
      <c r="AE169" s="418">
        <v>3.6385000000000001</v>
      </c>
      <c r="AF169" s="373">
        <v>3.4185000000000003</v>
      </c>
      <c r="AG169" s="374">
        <v>3.7385000000000002</v>
      </c>
      <c r="AH169" s="423">
        <v>-0.255</v>
      </c>
      <c r="AI169" s="467">
        <v>1.57619380675405</v>
      </c>
      <c r="AJ169" s="478">
        <v>6.0630216336840605E-2</v>
      </c>
      <c r="AK169" s="478">
        <v>5.9424144938608203E-2</v>
      </c>
      <c r="AL169" s="354">
        <v>0.52657311980708521</v>
      </c>
      <c r="AM169" s="377">
        <v>0.53323565065408574</v>
      </c>
      <c r="AN169" s="353">
        <v>0.13</v>
      </c>
      <c r="AO169" s="378">
        <v>0.124</v>
      </c>
      <c r="AP169" s="238"/>
      <c r="AQ169" s="353">
        <v>-3.6455910326204215</v>
      </c>
      <c r="AR169" s="379">
        <v>-2.9775910326204214</v>
      </c>
      <c r="AS169" s="238"/>
      <c r="AT169" s="456">
        <v>7.4999999999999997E-3</v>
      </c>
      <c r="AU169" s="238"/>
      <c r="AV169" s="353">
        <v>2.5000000000000001E-3</v>
      </c>
      <c r="AW169" s="238">
        <v>5.0000000000000001E-3</v>
      </c>
      <c r="AX169" s="238">
        <v>-8.5000000000000006E-2</v>
      </c>
      <c r="AY169" s="354"/>
      <c r="AZ169" s="488">
        <v>0.7</v>
      </c>
      <c r="BA169" s="488"/>
      <c r="BB169" s="433">
        <v>-0.66800000000000004</v>
      </c>
      <c r="BC169" s="319"/>
      <c r="BD169" s="355">
        <v>3.7885</v>
      </c>
      <c r="BE169" s="238">
        <v>3.0721734236543106</v>
      </c>
      <c r="BF169" s="319"/>
      <c r="BG169" s="238">
        <v>0.5</v>
      </c>
      <c r="BH169" s="293"/>
      <c r="BI169" s="293"/>
      <c r="BJ169" s="238"/>
      <c r="BK169" s="319"/>
      <c r="BL169" s="238"/>
      <c r="BM169" s="238"/>
      <c r="BN169" s="256"/>
      <c r="BO169" s="256"/>
      <c r="BP169" s="293"/>
      <c r="BQ169" s="238"/>
      <c r="BR169" s="293"/>
      <c r="BS169" s="238"/>
      <c r="BT169" s="238"/>
      <c r="BU169" s="238"/>
      <c r="BV169" s="238"/>
      <c r="BW169" s="238"/>
      <c r="BX169" s="238"/>
      <c r="BY169" s="238"/>
      <c r="BZ169" s="238"/>
      <c r="CA169" s="238"/>
      <c r="CB169" s="238"/>
      <c r="CC169" s="238"/>
      <c r="CD169" s="238"/>
      <c r="CE169" s="238"/>
      <c r="CF169" s="238"/>
      <c r="CG169" s="238"/>
    </row>
    <row r="170" spans="1:85">
      <c r="A170" s="356">
        <v>41091</v>
      </c>
      <c r="B170" s="461">
        <v>3.7885</v>
      </c>
      <c r="C170" s="497">
        <v>-0.66800000000000004</v>
      </c>
      <c r="D170" s="359">
        <v>-0.58099594869580296</v>
      </c>
      <c r="E170" s="359">
        <v>-0.6010738066890795</v>
      </c>
      <c r="F170" s="469">
        <v>0.13</v>
      </c>
      <c r="G170" s="470">
        <v>0.13</v>
      </c>
      <c r="H170" s="470">
        <v>0.16500000000000001</v>
      </c>
      <c r="I170" s="471">
        <v>0.125</v>
      </c>
      <c r="J170" s="470">
        <v>4.4999999999999998E-2</v>
      </c>
      <c r="K170" s="470">
        <v>0.115</v>
      </c>
      <c r="L170" s="470">
        <v>0.43</v>
      </c>
      <c r="M170" s="469">
        <v>-0.32</v>
      </c>
      <c r="N170" s="470">
        <v>0.43</v>
      </c>
      <c r="O170" s="471">
        <v>0</v>
      </c>
      <c r="P170" s="419">
        <v>-0.1</v>
      </c>
      <c r="Q170" s="388">
        <v>0.16250000000000001</v>
      </c>
      <c r="R170" s="475">
        <v>0.17</v>
      </c>
      <c r="S170" s="365">
        <v>0.17</v>
      </c>
      <c r="T170" s="274">
        <v>0.5</v>
      </c>
      <c r="U170" s="494">
        <v>0.17</v>
      </c>
      <c r="V170" s="225">
        <v>3.1204999999999998</v>
      </c>
      <c r="W170" s="225">
        <v>3.207504051304197</v>
      </c>
      <c r="X170" s="368">
        <v>3.1874261933109205</v>
      </c>
      <c r="Y170" s="226"/>
      <c r="Z170" s="465">
        <v>0.13</v>
      </c>
      <c r="AA170" s="481">
        <v>0.1</v>
      </c>
      <c r="AB170" s="487">
        <v>4.6625989700370285</v>
      </c>
      <c r="AC170" s="312">
        <v>4.7925989700370284</v>
      </c>
      <c r="AD170" s="368">
        <v>4.7625989700370281</v>
      </c>
      <c r="AE170" s="418">
        <v>3.6884999999999999</v>
      </c>
      <c r="AF170" s="373">
        <v>3.4685000000000001</v>
      </c>
      <c r="AG170" s="374">
        <v>3.7885</v>
      </c>
      <c r="AH170" s="423">
        <v>-0.255</v>
      </c>
      <c r="AI170" s="467">
        <v>1.57644704980977</v>
      </c>
      <c r="AJ170" s="478">
        <v>6.0674365170483704E-2</v>
      </c>
      <c r="AK170" s="478">
        <v>5.9462131422869803E-2</v>
      </c>
      <c r="AL170" s="354">
        <v>0.52375324560940151</v>
      </c>
      <c r="AM170" s="377">
        <v>0.53046531247621842</v>
      </c>
      <c r="AN170" s="353">
        <v>0.13</v>
      </c>
      <c r="AO170" s="378">
        <v>0.12</v>
      </c>
      <c r="AP170" s="238"/>
      <c r="AQ170" s="353">
        <v>-3.6956017809873627</v>
      </c>
      <c r="AR170" s="379">
        <v>-3.0276017809873625</v>
      </c>
      <c r="AS170" s="238"/>
      <c r="AT170" s="456">
        <v>7.4999999999999997E-3</v>
      </c>
      <c r="AU170" s="238"/>
      <c r="AV170" s="353">
        <v>2.5000000000000001E-3</v>
      </c>
      <c r="AW170" s="238">
        <v>5.0000000000000001E-3</v>
      </c>
      <c r="AX170" s="238">
        <v>-8.5000000000000006E-2</v>
      </c>
      <c r="AY170" s="354"/>
      <c r="AZ170" s="488">
        <v>0.75</v>
      </c>
      <c r="BA170" s="488"/>
      <c r="BB170" s="433">
        <v>-0.66800000000000004</v>
      </c>
      <c r="BC170" s="319"/>
      <c r="BD170" s="355">
        <v>3.8384999999999998</v>
      </c>
      <c r="BE170" s="238">
        <v>3.1221731548327729</v>
      </c>
      <c r="BF170" s="319"/>
      <c r="BG170" s="238">
        <v>0.55000000000000004</v>
      </c>
      <c r="BH170" s="293"/>
      <c r="BI170" s="293"/>
      <c r="BJ170" s="238"/>
      <c r="BK170" s="319"/>
      <c r="BL170" s="238"/>
      <c r="BM170" s="238"/>
      <c r="BN170" s="256"/>
      <c r="BO170" s="256"/>
      <c r="BP170" s="293"/>
      <c r="BQ170" s="238"/>
      <c r="BR170" s="293"/>
      <c r="BS170" s="238"/>
      <c r="BT170" s="238"/>
      <c r="BU170" s="238"/>
      <c r="BV170" s="238"/>
      <c r="BW170" s="238"/>
      <c r="BX170" s="238"/>
      <c r="BY170" s="238"/>
      <c r="BZ170" s="238"/>
      <c r="CA170" s="238"/>
      <c r="CB170" s="238"/>
      <c r="CC170" s="238"/>
      <c r="CD170" s="238"/>
      <c r="CE170" s="238"/>
      <c r="CF170" s="238"/>
      <c r="CG170" s="238"/>
    </row>
    <row r="171" spans="1:85">
      <c r="A171" s="356">
        <v>41122</v>
      </c>
      <c r="B171" s="461">
        <v>3.8224999999999998</v>
      </c>
      <c r="C171" s="497">
        <v>-0.66800000000000004</v>
      </c>
      <c r="D171" s="359">
        <v>-0.58101048024052959</v>
      </c>
      <c r="E171" s="359">
        <v>-0.60108498480040762</v>
      </c>
      <c r="F171" s="469">
        <v>0.13</v>
      </c>
      <c r="G171" s="470">
        <v>0.13</v>
      </c>
      <c r="H171" s="470">
        <v>0.16500000000000001</v>
      </c>
      <c r="I171" s="471">
        <v>0.125</v>
      </c>
      <c r="J171" s="470">
        <v>4.4999999999999998E-2</v>
      </c>
      <c r="K171" s="470">
        <v>0.115</v>
      </c>
      <c r="L171" s="470">
        <v>0.43</v>
      </c>
      <c r="M171" s="469">
        <v>-0.32</v>
      </c>
      <c r="N171" s="470">
        <v>0.43</v>
      </c>
      <c r="O171" s="471">
        <v>0</v>
      </c>
      <c r="P171" s="419">
        <v>-0.1</v>
      </c>
      <c r="Q171" s="388">
        <v>0.16250000000000001</v>
      </c>
      <c r="R171" s="475">
        <v>0.17</v>
      </c>
      <c r="S171" s="365">
        <v>0.17</v>
      </c>
      <c r="T171" s="274">
        <v>0.55000000000000004</v>
      </c>
      <c r="U171" s="494">
        <v>0.17</v>
      </c>
      <c r="V171" s="225">
        <v>3.1544999999999996</v>
      </c>
      <c r="W171" s="225">
        <v>3.2414895197594702</v>
      </c>
      <c r="X171" s="368">
        <v>3.2214150151995922</v>
      </c>
      <c r="Y171" s="226"/>
      <c r="Z171" s="465">
        <v>0.13</v>
      </c>
      <c r="AA171" s="481">
        <v>0.1</v>
      </c>
      <c r="AB171" s="487">
        <v>4.7141885727602668</v>
      </c>
      <c r="AC171" s="312">
        <v>4.8441885727602667</v>
      </c>
      <c r="AD171" s="368">
        <v>4.8141885727602665</v>
      </c>
      <c r="AE171" s="418">
        <v>3.7225000000000001</v>
      </c>
      <c r="AF171" s="373">
        <v>3.5024999999999999</v>
      </c>
      <c r="AG171" s="374">
        <v>3.8224999999999998</v>
      </c>
      <c r="AH171" s="423">
        <v>-0.255</v>
      </c>
      <c r="AI171" s="467">
        <v>1.5767103943008898</v>
      </c>
      <c r="AJ171" s="478">
        <v>6.0719985632594398E-2</v>
      </c>
      <c r="AK171" s="478">
        <v>5.9501384123777298E-2</v>
      </c>
      <c r="AL171" s="354">
        <v>0.52085139280396409</v>
      </c>
      <c r="AM171" s="377">
        <v>0.52761439442345215</v>
      </c>
      <c r="AN171" s="353">
        <v>0.13</v>
      </c>
      <c r="AO171" s="378">
        <v>0.12</v>
      </c>
      <c r="AP171" s="238"/>
      <c r="AQ171" s="353">
        <v>-3.7296129544263823</v>
      </c>
      <c r="AR171" s="379">
        <v>-3.0616129544263821</v>
      </c>
      <c r="AS171" s="238"/>
      <c r="AT171" s="456">
        <v>7.4999999999999997E-3</v>
      </c>
      <c r="AU171" s="238"/>
      <c r="AV171" s="353">
        <v>2.5000000000000001E-3</v>
      </c>
      <c r="AW171" s="238">
        <v>5.0000000000000001E-3</v>
      </c>
      <c r="AX171" s="238">
        <v>-8.5000000000000006E-2</v>
      </c>
      <c r="AY171" s="354"/>
      <c r="AZ171" s="488">
        <v>0.8</v>
      </c>
      <c r="BA171" s="488"/>
      <c r="BB171" s="433">
        <v>-0.66800000000000004</v>
      </c>
      <c r="BC171" s="319"/>
      <c r="BD171" s="355">
        <v>3.8725000000000001</v>
      </c>
      <c r="BE171" s="238">
        <v>3.1561728753799896</v>
      </c>
      <c r="BF171" s="319"/>
      <c r="BG171" s="238">
        <v>0.6</v>
      </c>
      <c r="BH171" s="293"/>
      <c r="BI171" s="293"/>
      <c r="BJ171" s="238"/>
      <c r="BK171" s="319"/>
      <c r="BL171" s="238"/>
      <c r="BM171" s="238"/>
      <c r="BN171" s="256"/>
      <c r="BO171" s="256"/>
      <c r="BP171" s="293"/>
      <c r="BQ171" s="238"/>
      <c r="BR171" s="293"/>
      <c r="BS171" s="238"/>
      <c r="BT171" s="238"/>
      <c r="BU171" s="238"/>
      <c r="BV171" s="238"/>
      <c r="BW171" s="238"/>
      <c r="BX171" s="238"/>
      <c r="BY171" s="238"/>
      <c r="BZ171" s="238"/>
      <c r="CA171" s="238"/>
      <c r="CB171" s="238"/>
      <c r="CC171" s="238"/>
      <c r="CD171" s="238"/>
      <c r="CE171" s="238"/>
      <c r="CF171" s="238"/>
      <c r="CG171" s="238"/>
    </row>
    <row r="172" spans="1:85">
      <c r="A172" s="356">
        <v>41153</v>
      </c>
      <c r="B172" s="461">
        <v>3.8355000000000001</v>
      </c>
      <c r="C172" s="497">
        <v>-0.66800000000000004</v>
      </c>
      <c r="D172" s="359">
        <v>-0.58102510002665753</v>
      </c>
      <c r="E172" s="359">
        <v>-0.60109623078973629</v>
      </c>
      <c r="F172" s="469">
        <v>0.13</v>
      </c>
      <c r="G172" s="470">
        <v>0.13</v>
      </c>
      <c r="H172" s="470">
        <v>0.16500000000000001</v>
      </c>
      <c r="I172" s="471">
        <v>0.125</v>
      </c>
      <c r="J172" s="470">
        <v>4.4999999999999998E-2</v>
      </c>
      <c r="K172" s="470">
        <v>0.115</v>
      </c>
      <c r="L172" s="470">
        <v>0.38</v>
      </c>
      <c r="M172" s="469">
        <v>-0.32</v>
      </c>
      <c r="N172" s="470">
        <v>0.43</v>
      </c>
      <c r="O172" s="471">
        <v>0</v>
      </c>
      <c r="P172" s="419">
        <v>-0.1</v>
      </c>
      <c r="Q172" s="388">
        <v>0.16250000000000001</v>
      </c>
      <c r="R172" s="475">
        <v>0.17</v>
      </c>
      <c r="S172" s="365">
        <v>0.17</v>
      </c>
      <c r="T172" s="274">
        <v>0.55000000000000004</v>
      </c>
      <c r="U172" s="494">
        <v>0.17</v>
      </c>
      <c r="V172" s="225">
        <v>3.1675</v>
      </c>
      <c r="W172" s="225">
        <v>3.2544748999733426</v>
      </c>
      <c r="X172" s="368">
        <v>3.2344037692102638</v>
      </c>
      <c r="Y172" s="226"/>
      <c r="Z172" s="465">
        <v>0.13</v>
      </c>
      <c r="AA172" s="481">
        <v>0.1</v>
      </c>
      <c r="AB172" s="487">
        <v>4.734411883499777</v>
      </c>
      <c r="AC172" s="312">
        <v>4.8644118834997769</v>
      </c>
      <c r="AD172" s="368">
        <v>4.8344118834997767</v>
      </c>
      <c r="AE172" s="418">
        <v>3.7355</v>
      </c>
      <c r="AF172" s="373">
        <v>3.5155000000000003</v>
      </c>
      <c r="AG172" s="374">
        <v>3.8355000000000001</v>
      </c>
      <c r="AH172" s="423">
        <v>-0.255</v>
      </c>
      <c r="AI172" s="467">
        <v>1.57697542672699</v>
      </c>
      <c r="AJ172" s="478">
        <v>6.0765606095397405E-2</v>
      </c>
      <c r="AK172" s="478">
        <v>5.9540636825196704E-2</v>
      </c>
      <c r="AL172" s="354">
        <v>0.51796173035126569</v>
      </c>
      <c r="AM172" s="377">
        <v>0.52477540684159396</v>
      </c>
      <c r="AN172" s="353">
        <v>0.13</v>
      </c>
      <c r="AO172" s="378">
        <v>0.124</v>
      </c>
      <c r="AP172" s="238"/>
      <c r="AQ172" s="353">
        <v>-3.742624195715031</v>
      </c>
      <c r="AR172" s="379">
        <v>-3.0746241957150309</v>
      </c>
      <c r="AS172" s="238"/>
      <c r="AT172" s="456">
        <v>7.4999999999999997E-3</v>
      </c>
      <c r="AU172" s="238"/>
      <c r="AV172" s="353">
        <v>2.5000000000000001E-3</v>
      </c>
      <c r="AW172" s="238">
        <v>5.0000000000000001E-3</v>
      </c>
      <c r="AX172" s="238">
        <v>-8.5000000000000006E-2</v>
      </c>
      <c r="AY172" s="354"/>
      <c r="AZ172" s="488">
        <v>0.8</v>
      </c>
      <c r="BA172" s="488"/>
      <c r="BB172" s="433">
        <v>-0.66800000000000004</v>
      </c>
      <c r="BC172" s="319"/>
      <c r="BD172" s="355">
        <v>3.8855</v>
      </c>
      <c r="BE172" s="238">
        <v>3.1691725942302567</v>
      </c>
      <c r="BF172" s="319"/>
      <c r="BG172" s="238">
        <v>0.6</v>
      </c>
      <c r="BH172" s="293"/>
      <c r="BI172" s="293"/>
      <c r="BJ172" s="238"/>
      <c r="BK172" s="319"/>
      <c r="BL172" s="238"/>
      <c r="BM172" s="238"/>
      <c r="BN172" s="256"/>
      <c r="BO172" s="256"/>
      <c r="BP172" s="293"/>
      <c r="BQ172" s="238"/>
      <c r="BR172" s="293"/>
      <c r="BS172" s="238"/>
      <c r="BT172" s="238"/>
      <c r="BU172" s="238"/>
      <c r="BV172" s="238"/>
      <c r="BW172" s="238"/>
      <c r="BX172" s="238"/>
      <c r="BY172" s="238"/>
      <c r="BZ172" s="238"/>
      <c r="CA172" s="238"/>
      <c r="CB172" s="238"/>
      <c r="CC172" s="238"/>
      <c r="CD172" s="238"/>
      <c r="CE172" s="238"/>
      <c r="CF172" s="238"/>
      <c r="CG172" s="238"/>
    </row>
    <row r="173" spans="1:85">
      <c r="A173" s="356">
        <v>41183</v>
      </c>
      <c r="B173" s="461">
        <v>3.8475000000000001</v>
      </c>
      <c r="C173" s="497">
        <v>-0.66800000000000004</v>
      </c>
      <c r="D173" s="359">
        <v>-0.58103933217640069</v>
      </c>
      <c r="E173" s="359">
        <v>-0.60110717859723151</v>
      </c>
      <c r="F173" s="469">
        <v>0.13</v>
      </c>
      <c r="G173" s="470">
        <v>0.13</v>
      </c>
      <c r="H173" s="470">
        <v>0.16500000000000001</v>
      </c>
      <c r="I173" s="471">
        <v>0.125</v>
      </c>
      <c r="J173" s="470">
        <v>4.4999999999999998E-2</v>
      </c>
      <c r="K173" s="470">
        <v>0.115</v>
      </c>
      <c r="L173" s="470">
        <v>0.42</v>
      </c>
      <c r="M173" s="469">
        <v>-0.32</v>
      </c>
      <c r="N173" s="470">
        <v>0.43</v>
      </c>
      <c r="O173" s="471">
        <v>0</v>
      </c>
      <c r="P173" s="419">
        <v>-0.1</v>
      </c>
      <c r="Q173" s="388">
        <v>0.16250000000000001</v>
      </c>
      <c r="R173" s="475">
        <v>0.17</v>
      </c>
      <c r="S173" s="365">
        <v>0.17</v>
      </c>
      <c r="T173" s="274">
        <v>0.6</v>
      </c>
      <c r="U173" s="494">
        <v>0.17</v>
      </c>
      <c r="V173" s="225">
        <v>3.1795</v>
      </c>
      <c r="W173" s="225">
        <v>3.2664606678235995</v>
      </c>
      <c r="X173" s="368">
        <v>3.2463928214027686</v>
      </c>
      <c r="Y173" s="226"/>
      <c r="Z173" s="465">
        <v>0.13</v>
      </c>
      <c r="AA173" s="481">
        <v>0.1</v>
      </c>
      <c r="AB173" s="487">
        <v>4.7531258710944293</v>
      </c>
      <c r="AC173" s="312">
        <v>4.8831258710944292</v>
      </c>
      <c r="AD173" s="368">
        <v>4.8531258710944289</v>
      </c>
      <c r="AE173" s="418">
        <v>3.7475000000000001</v>
      </c>
      <c r="AF173" s="373">
        <v>3.5274999999999999</v>
      </c>
      <c r="AG173" s="374">
        <v>3.8475000000000001</v>
      </c>
      <c r="AH173" s="423">
        <v>-0.255</v>
      </c>
      <c r="AI173" s="467">
        <v>1.5772335175509999</v>
      </c>
      <c r="AJ173" s="478">
        <v>6.0809754931025604E-2</v>
      </c>
      <c r="AK173" s="478">
        <v>5.9578623310929196E-2</v>
      </c>
      <c r="AL173" s="354">
        <v>0.5151768668163581</v>
      </c>
      <c r="AM173" s="377">
        <v>0.52203933299689531</v>
      </c>
      <c r="AN173" s="353">
        <v>0.13</v>
      </c>
      <c r="AO173" s="378">
        <v>0.12</v>
      </c>
      <c r="AP173" s="238"/>
      <c r="AQ173" s="353">
        <v>-3.7516351389464817</v>
      </c>
      <c r="AR173" s="379">
        <v>-3.0836351389464816</v>
      </c>
      <c r="AS173" s="238"/>
      <c r="AT173" s="456">
        <v>7.4999999999999997E-3</v>
      </c>
      <c r="AU173" s="238"/>
      <c r="AV173" s="353">
        <v>2.5000000000000001E-3</v>
      </c>
      <c r="AW173" s="238">
        <v>5.0000000000000001E-3</v>
      </c>
      <c r="AX173" s="238">
        <v>-8.5000000000000006E-2</v>
      </c>
      <c r="AY173" s="354"/>
      <c r="AZ173" s="488">
        <v>0.85</v>
      </c>
      <c r="BA173" s="488"/>
      <c r="BB173" s="433">
        <v>-0.66800000000000004</v>
      </c>
      <c r="BC173" s="319"/>
      <c r="BD173" s="355">
        <v>3.8975</v>
      </c>
      <c r="BE173" s="238">
        <v>3.1811723205350693</v>
      </c>
      <c r="BF173" s="319"/>
      <c r="BG173" s="238">
        <v>0.65</v>
      </c>
      <c r="BH173" s="293"/>
      <c r="BI173" s="293"/>
      <c r="BJ173" s="238"/>
      <c r="BK173" s="319"/>
      <c r="BL173" s="238"/>
      <c r="BM173" s="238"/>
      <c r="BN173" s="256"/>
      <c r="BO173" s="256"/>
      <c r="BP173" s="293"/>
      <c r="BQ173" s="238"/>
      <c r="BR173" s="293"/>
      <c r="BS173" s="238"/>
      <c r="BT173" s="238"/>
      <c r="BU173" s="238"/>
      <c r="BV173" s="238"/>
      <c r="BW173" s="238"/>
      <c r="BX173" s="238"/>
      <c r="BY173" s="238"/>
      <c r="BZ173" s="238"/>
      <c r="CA173" s="238"/>
      <c r="CB173" s="238"/>
      <c r="CC173" s="238"/>
      <c r="CD173" s="238"/>
      <c r="CE173" s="238"/>
      <c r="CF173" s="238"/>
      <c r="CG173" s="238"/>
    </row>
    <row r="174" spans="1:85">
      <c r="A174" s="460">
        <v>41214</v>
      </c>
      <c r="B174" s="461">
        <v>3.9925000000000002</v>
      </c>
      <c r="C174" s="498">
        <v>-0.60799999999999998</v>
      </c>
      <c r="D174" s="359">
        <v>-0.52105412544994323</v>
      </c>
      <c r="E174" s="359">
        <v>-0.12</v>
      </c>
      <c r="F174" s="469">
        <v>0.17499999999999999</v>
      </c>
      <c r="G174" s="470">
        <v>0.32500000000000001</v>
      </c>
      <c r="H174" s="470">
        <v>0.29499999999999998</v>
      </c>
      <c r="I174" s="471">
        <v>0.39500000000000002</v>
      </c>
      <c r="J174" s="470">
        <v>0.13</v>
      </c>
      <c r="K174" s="470">
        <v>0.16</v>
      </c>
      <c r="L174" s="470">
        <v>0.73</v>
      </c>
      <c r="M174" s="469">
        <v>-0.2</v>
      </c>
      <c r="N174" s="470">
        <v>0.35</v>
      </c>
      <c r="O174" s="471">
        <v>0</v>
      </c>
      <c r="P174" s="419">
        <v>0.248</v>
      </c>
      <c r="Q174" s="388">
        <v>0.16250000000000001</v>
      </c>
      <c r="R174" s="475">
        <v>0.17</v>
      </c>
      <c r="S174" s="365">
        <v>0.17</v>
      </c>
      <c r="T174" s="274">
        <v>0.8</v>
      </c>
      <c r="U174" s="494">
        <v>0.17</v>
      </c>
      <c r="V174" s="225">
        <v>3.3845000000000001</v>
      </c>
      <c r="W174" s="225">
        <v>3.4714458745500569</v>
      </c>
      <c r="X174" s="368">
        <v>3.8725000000000001</v>
      </c>
      <c r="Y174" s="226"/>
      <c r="Z174" s="465">
        <v>0.13</v>
      </c>
      <c r="AA174" s="481">
        <v>0.72964934021655026</v>
      </c>
      <c r="AB174" s="487">
        <v>5.0604471146780972</v>
      </c>
      <c r="AC174" s="312">
        <v>5.1904471146780971</v>
      </c>
      <c r="AD174" s="368">
        <v>5.7900964548946474</v>
      </c>
      <c r="AE174" s="418">
        <v>4.2404999999999999</v>
      </c>
      <c r="AF174" s="373">
        <v>3.7925</v>
      </c>
      <c r="AG174" s="374">
        <v>3.9925000000000002</v>
      </c>
      <c r="AH174" s="423">
        <v>-0.18</v>
      </c>
      <c r="AI174" s="467">
        <v>1.5775018735481798</v>
      </c>
      <c r="AJ174" s="478">
        <v>6.08553753951879E-2</v>
      </c>
      <c r="AK174" s="478">
        <v>5.96178760133559E-2</v>
      </c>
      <c r="AL174" s="354">
        <v>0.51231112089354602</v>
      </c>
      <c r="AM174" s="377">
        <v>0.51922374111733782</v>
      </c>
      <c r="AN174" s="353">
        <v>0.32500000000000001</v>
      </c>
      <c r="AO174" s="378">
        <v>0.124</v>
      </c>
      <c r="AP174" s="238"/>
      <c r="AQ174" s="353">
        <v>-3.4743421054092436</v>
      </c>
      <c r="AR174" s="379">
        <v>-2.8663421054092435</v>
      </c>
      <c r="AS174" s="238"/>
      <c r="AT174" s="456">
        <v>7.4999999999999997E-3</v>
      </c>
      <c r="AU174" s="238"/>
      <c r="AV174" s="353">
        <v>8.0000000000000002E-3</v>
      </c>
      <c r="AW174" s="238">
        <v>0.02</v>
      </c>
      <c r="AX174" s="238">
        <v>5.0000000000000001E-3</v>
      </c>
      <c r="AY174" s="354"/>
      <c r="AZ174" s="488">
        <v>1.05</v>
      </c>
      <c r="BA174" s="488"/>
      <c r="BB174" s="433">
        <v>-0.60799999999999998</v>
      </c>
      <c r="BC174" s="319"/>
      <c r="BD174" s="355">
        <v>4.1425000000000001</v>
      </c>
      <c r="BE174" s="238">
        <v>3.3898505153569265</v>
      </c>
      <c r="BF174" s="319"/>
      <c r="BG174" s="238">
        <v>0.8</v>
      </c>
      <c r="BH174" s="293"/>
      <c r="BI174" s="293"/>
      <c r="BJ174" s="238"/>
      <c r="BK174" s="319"/>
      <c r="BL174" s="238"/>
      <c r="BM174" s="238"/>
      <c r="BN174" s="256"/>
      <c r="BO174" s="256"/>
      <c r="BP174" s="293"/>
      <c r="BQ174" s="238"/>
      <c r="BR174" s="293"/>
      <c r="BS174" s="238"/>
      <c r="BT174" s="238"/>
      <c r="BU174" s="238"/>
      <c r="BV174" s="238"/>
      <c r="BW174" s="238"/>
      <c r="BX174" s="238"/>
      <c r="BY174" s="238"/>
      <c r="BZ174" s="238"/>
      <c r="CA174" s="238"/>
      <c r="CB174" s="238"/>
      <c r="CC174" s="238"/>
      <c r="CD174" s="238"/>
      <c r="CE174" s="238"/>
      <c r="CF174" s="238"/>
      <c r="CG174" s="238"/>
    </row>
    <row r="175" spans="1:85">
      <c r="A175" s="356">
        <v>41244</v>
      </c>
      <c r="B175" s="461">
        <v>4.1435000000000004</v>
      </c>
      <c r="C175" s="497">
        <v>-0.60799999999999998</v>
      </c>
      <c r="D175" s="359">
        <v>-0.52106852539462833</v>
      </c>
      <c r="E175" s="359">
        <v>-0.12</v>
      </c>
      <c r="F175" s="469">
        <v>0.17499999999999999</v>
      </c>
      <c r="G175" s="470">
        <v>0.32500000000000001</v>
      </c>
      <c r="H175" s="470">
        <v>0.29499999999999998</v>
      </c>
      <c r="I175" s="471">
        <v>0.39500000000000002</v>
      </c>
      <c r="J175" s="470">
        <v>0.13</v>
      </c>
      <c r="K175" s="470">
        <v>0.16</v>
      </c>
      <c r="L175" s="470">
        <v>0.98</v>
      </c>
      <c r="M175" s="469">
        <v>-0.2</v>
      </c>
      <c r="N175" s="470">
        <v>0.35</v>
      </c>
      <c r="O175" s="471">
        <v>0</v>
      </c>
      <c r="P175" s="419">
        <v>0.308</v>
      </c>
      <c r="Q175" s="388">
        <v>0.16250000000000001</v>
      </c>
      <c r="R175" s="475">
        <v>0.17</v>
      </c>
      <c r="S175" s="365">
        <v>0.17</v>
      </c>
      <c r="T175" s="274">
        <v>1</v>
      </c>
      <c r="U175" s="494">
        <v>0.17</v>
      </c>
      <c r="V175" s="225">
        <v>3.5355000000000003</v>
      </c>
      <c r="W175" s="225">
        <v>3.6224314746053721</v>
      </c>
      <c r="X175" s="368">
        <v>4.0235000000000003</v>
      </c>
      <c r="Y175" s="226"/>
      <c r="Z175" s="465">
        <v>0.13</v>
      </c>
      <c r="AA175" s="481">
        <v>0.7297702044971377</v>
      </c>
      <c r="AB175" s="487">
        <v>5.2870954057369417</v>
      </c>
      <c r="AC175" s="312">
        <v>5.4170954057369416</v>
      </c>
      <c r="AD175" s="368">
        <v>6.0168656102340794</v>
      </c>
      <c r="AE175" s="418">
        <v>4.4515000000000002</v>
      </c>
      <c r="AF175" s="373">
        <v>3.9435000000000002</v>
      </c>
      <c r="AG175" s="374">
        <v>4.1435000000000004</v>
      </c>
      <c r="AH175" s="423">
        <v>-0.18</v>
      </c>
      <c r="AI175" s="467">
        <v>1.57776318212281</v>
      </c>
      <c r="AJ175" s="478">
        <v>6.0899524232132796E-2</v>
      </c>
      <c r="AK175" s="478">
        <v>5.9655862500063599E-2</v>
      </c>
      <c r="AL175" s="354">
        <v>0.50954935656765554</v>
      </c>
      <c r="AM175" s="377">
        <v>0.51651025651578242</v>
      </c>
      <c r="AN175" s="353">
        <v>0.32500000000000001</v>
      </c>
      <c r="AO175" s="378">
        <v>0.12</v>
      </c>
      <c r="AP175" s="238"/>
      <c r="AQ175" s="353">
        <v>-3.6293507048069644</v>
      </c>
      <c r="AR175" s="379">
        <v>-3.0213507048069643</v>
      </c>
      <c r="AS175" s="238"/>
      <c r="AT175" s="456">
        <v>7.4999999999999997E-3</v>
      </c>
      <c r="AU175" s="238"/>
      <c r="AV175" s="353">
        <v>8.0000000000000002E-3</v>
      </c>
      <c r="AW175" s="238">
        <v>0.02</v>
      </c>
      <c r="AX175" s="238">
        <v>0.01</v>
      </c>
      <c r="AY175" s="354"/>
      <c r="AZ175" s="488">
        <v>1.25</v>
      </c>
      <c r="BA175" s="488"/>
      <c r="BB175" s="433">
        <v>-0.60799999999999998</v>
      </c>
      <c r="BC175" s="319"/>
      <c r="BD175" s="355">
        <v>4.2934999999999999</v>
      </c>
      <c r="BE175" s="238">
        <v>3.5408496292064848</v>
      </c>
      <c r="BF175" s="319"/>
      <c r="BG175" s="238">
        <v>1.1000000000000001</v>
      </c>
      <c r="BH175" s="293"/>
      <c r="BI175" s="293"/>
      <c r="BJ175" s="238"/>
      <c r="BK175" s="319"/>
      <c r="BL175" s="238"/>
      <c r="BM175" s="238"/>
      <c r="BN175" s="256"/>
      <c r="BO175" s="256"/>
      <c r="BP175" s="293"/>
      <c r="BQ175" s="238"/>
      <c r="BR175" s="293"/>
      <c r="BS175" s="238"/>
      <c r="BT175" s="238"/>
      <c r="BU175" s="238"/>
      <c r="BV175" s="238"/>
      <c r="BW175" s="238"/>
      <c r="BX175" s="238"/>
      <c r="BY175" s="238"/>
      <c r="BZ175" s="238"/>
      <c r="CA175" s="238"/>
      <c r="CB175" s="238"/>
      <c r="CC175" s="238"/>
      <c r="CD175" s="238"/>
      <c r="CE175" s="238"/>
      <c r="CF175" s="238"/>
      <c r="CG175" s="238"/>
    </row>
    <row r="176" spans="1:85">
      <c r="A176" s="356">
        <v>41275</v>
      </c>
      <c r="B176" s="461">
        <v>4.242</v>
      </c>
      <c r="C176" s="497">
        <v>-0.60799999999999998</v>
      </c>
      <c r="D176" s="359">
        <v>-0.52108349195646353</v>
      </c>
      <c r="E176" s="359">
        <v>-0.12</v>
      </c>
      <c r="F176" s="469">
        <v>0.17499999999999999</v>
      </c>
      <c r="G176" s="470">
        <v>0.32500000000000001</v>
      </c>
      <c r="H176" s="470">
        <v>0.29499999999999998</v>
      </c>
      <c r="I176" s="471">
        <v>0.39500000000000002</v>
      </c>
      <c r="J176" s="470">
        <v>0.13</v>
      </c>
      <c r="K176" s="470">
        <v>0.16</v>
      </c>
      <c r="L176" s="470">
        <v>1.6</v>
      </c>
      <c r="M176" s="469">
        <v>-0.2</v>
      </c>
      <c r="N176" s="470">
        <v>0.35</v>
      </c>
      <c r="O176" s="471">
        <v>0</v>
      </c>
      <c r="P176" s="419">
        <v>0.37800000000000006</v>
      </c>
      <c r="Q176" s="388">
        <v>0.16250000000000001</v>
      </c>
      <c r="R176" s="475">
        <v>0.17</v>
      </c>
      <c r="S176" s="365">
        <v>0.17</v>
      </c>
      <c r="T176" s="274">
        <v>1</v>
      </c>
      <c r="U176" s="494">
        <v>0.17</v>
      </c>
      <c r="V176" s="225">
        <v>3.6339999999999999</v>
      </c>
      <c r="W176" s="225">
        <v>3.7209165080435365</v>
      </c>
      <c r="X176" s="368">
        <v>4.1219999999999999</v>
      </c>
      <c r="Y176" s="226"/>
      <c r="Z176" s="465">
        <v>0.13</v>
      </c>
      <c r="AA176" s="481">
        <v>0.72989586705696041</v>
      </c>
      <c r="AB176" s="487">
        <v>5.4353311083708959</v>
      </c>
      <c r="AC176" s="312">
        <v>5.5653311083708958</v>
      </c>
      <c r="AD176" s="368">
        <v>6.1652269754278564</v>
      </c>
      <c r="AE176" s="418">
        <v>4.62</v>
      </c>
      <c r="AF176" s="373">
        <v>4.0419999999999998</v>
      </c>
      <c r="AG176" s="374">
        <v>4.242</v>
      </c>
      <c r="AH176" s="423">
        <v>-0.18</v>
      </c>
      <c r="AI176" s="467">
        <v>1.57803486457715</v>
      </c>
      <c r="AJ176" s="478">
        <v>6.0945144697655398E-2</v>
      </c>
      <c r="AK176" s="478">
        <v>5.9695115203498406E-2</v>
      </c>
      <c r="AL176" s="354">
        <v>0.50670743221513814</v>
      </c>
      <c r="AM176" s="377">
        <v>0.51371795321288127</v>
      </c>
      <c r="AN176" s="353">
        <v>0.32500000000000001</v>
      </c>
      <c r="AO176" s="378">
        <v>0.12</v>
      </c>
      <c r="AP176" s="238"/>
      <c r="AQ176" s="353">
        <v>-3.7193597768497142</v>
      </c>
      <c r="AR176" s="379">
        <v>-3.1113597768497141</v>
      </c>
      <c r="AS176" s="238"/>
      <c r="AT176" s="456">
        <v>7.4999999999999997E-3</v>
      </c>
      <c r="AU176" s="238"/>
      <c r="AV176" s="353">
        <v>8.0000000000000002E-3</v>
      </c>
      <c r="AW176" s="238">
        <v>0.02</v>
      </c>
      <c r="AX176" s="238">
        <v>0.03</v>
      </c>
      <c r="AY176" s="354"/>
      <c r="AZ176" s="488">
        <v>1.25</v>
      </c>
      <c r="BA176" s="488"/>
      <c r="BB176" s="433">
        <v>-0.60799999999999998</v>
      </c>
      <c r="BC176" s="319"/>
      <c r="BD176" s="355">
        <v>4.3919999999999995</v>
      </c>
      <c r="BE176" s="238">
        <v>3.6393487081872946</v>
      </c>
      <c r="BF176" s="319"/>
      <c r="BG176" s="238">
        <v>1.1000000000000001</v>
      </c>
      <c r="BH176" s="293"/>
      <c r="BI176" s="293"/>
      <c r="BJ176" s="238"/>
      <c r="BK176" s="319"/>
      <c r="BL176" s="238"/>
      <c r="BM176" s="238"/>
      <c r="BN176" s="256"/>
      <c r="BO176" s="256"/>
      <c r="BP176" s="293"/>
      <c r="BQ176" s="238"/>
      <c r="BR176" s="293"/>
      <c r="BS176" s="238"/>
      <c r="BT176" s="238"/>
      <c r="BU176" s="238"/>
      <c r="BV176" s="238"/>
      <c r="BW176" s="238"/>
      <c r="BX176" s="238"/>
      <c r="BY176" s="238"/>
      <c r="BZ176" s="238"/>
      <c r="CA176" s="238"/>
      <c r="CB176" s="238"/>
      <c r="CC176" s="238"/>
      <c r="CD176" s="238"/>
      <c r="CE176" s="238"/>
      <c r="CF176" s="238"/>
      <c r="CG176" s="238"/>
    </row>
    <row r="177" spans="1:85">
      <c r="A177" s="356">
        <v>41306</v>
      </c>
      <c r="B177" s="461">
        <v>4.1280000000000001</v>
      </c>
      <c r="C177" s="497">
        <v>-0.60799999999999998</v>
      </c>
      <c r="D177" s="359">
        <v>-0.52109854650589105</v>
      </c>
      <c r="E177" s="359">
        <v>-0.12</v>
      </c>
      <c r="F177" s="469">
        <v>0.17499999999999999</v>
      </c>
      <c r="G177" s="470">
        <v>0.32500000000000001</v>
      </c>
      <c r="H177" s="470">
        <v>0.29499999999999998</v>
      </c>
      <c r="I177" s="471">
        <v>0.39500000000000002</v>
      </c>
      <c r="J177" s="470">
        <v>0.13</v>
      </c>
      <c r="K177" s="470">
        <v>0.16</v>
      </c>
      <c r="L177" s="470">
        <v>1.6</v>
      </c>
      <c r="M177" s="469">
        <v>-0.2</v>
      </c>
      <c r="N177" s="470">
        <v>0.35</v>
      </c>
      <c r="O177" s="471">
        <v>0</v>
      </c>
      <c r="P177" s="419">
        <v>0.248</v>
      </c>
      <c r="Q177" s="388">
        <v>0.16250000000000001</v>
      </c>
      <c r="R177" s="475">
        <v>0.17</v>
      </c>
      <c r="S177" s="365">
        <v>0.17</v>
      </c>
      <c r="T177" s="274">
        <v>1</v>
      </c>
      <c r="U177" s="494">
        <v>0.17</v>
      </c>
      <c r="V177" s="225">
        <v>3.52</v>
      </c>
      <c r="W177" s="225">
        <v>3.6069014534941091</v>
      </c>
      <c r="X177" s="368">
        <v>4.008</v>
      </c>
      <c r="Y177" s="226"/>
      <c r="Z177" s="465">
        <v>0.13</v>
      </c>
      <c r="AA177" s="481">
        <v>0.73002231204683543</v>
      </c>
      <c r="AB177" s="487">
        <v>5.2657347098460319</v>
      </c>
      <c r="AC177" s="312">
        <v>5.3957347098460318</v>
      </c>
      <c r="AD177" s="368">
        <v>5.9957570218928673</v>
      </c>
      <c r="AE177" s="418">
        <v>4.3760000000000003</v>
      </c>
      <c r="AF177" s="373">
        <v>3.9279999999999999</v>
      </c>
      <c r="AG177" s="374">
        <v>4.1280000000000001</v>
      </c>
      <c r="AH177" s="423">
        <v>-0.18</v>
      </c>
      <c r="AI177" s="467">
        <v>1.5783082386452598</v>
      </c>
      <c r="AJ177" s="478">
        <v>6.0990765163869497E-2</v>
      </c>
      <c r="AK177" s="478">
        <v>5.9734367907444699E-2</v>
      </c>
      <c r="AL177" s="354">
        <v>0.50387757717995985</v>
      </c>
      <c r="AM177" s="377">
        <v>0.51093744383665018</v>
      </c>
      <c r="AN177" s="353">
        <v>0.32500000000000001</v>
      </c>
      <c r="AO177" s="378">
        <v>0.13300000000000001</v>
      </c>
      <c r="AP177" s="238"/>
      <c r="AQ177" s="353">
        <v>-3.6053690379172827</v>
      </c>
      <c r="AR177" s="379">
        <v>-2.9973690379172826</v>
      </c>
      <c r="AS177" s="238"/>
      <c r="AT177" s="456">
        <v>7.4999999999999997E-3</v>
      </c>
      <c r="AU177" s="238"/>
      <c r="AV177" s="353">
        <v>8.0000000000000002E-3</v>
      </c>
      <c r="AW177" s="238">
        <v>0.02</v>
      </c>
      <c r="AX177" s="238">
        <v>2.5000000000000001E-2</v>
      </c>
      <c r="AY177" s="354"/>
      <c r="AZ177" s="488">
        <v>1.25</v>
      </c>
      <c r="BA177" s="488"/>
      <c r="BB177" s="433">
        <v>-0.60799999999999998</v>
      </c>
      <c r="BC177" s="319"/>
      <c r="BD177" s="355">
        <v>4.2779999999999996</v>
      </c>
      <c r="BE177" s="238">
        <v>3.5253477817534837</v>
      </c>
      <c r="BF177" s="319"/>
      <c r="BG177" s="238">
        <v>1.1000000000000001</v>
      </c>
      <c r="BH177" s="293"/>
      <c r="BI177" s="293"/>
      <c r="BJ177" s="238"/>
      <c r="BK177" s="319"/>
      <c r="BL177" s="238"/>
      <c r="BM177" s="238"/>
      <c r="BN177" s="256"/>
      <c r="BO177" s="256"/>
      <c r="BP177" s="293"/>
      <c r="BQ177" s="238"/>
      <c r="BR177" s="293"/>
      <c r="BS177" s="238"/>
      <c r="BT177" s="238"/>
      <c r="BU177" s="238"/>
      <c r="BV177" s="238"/>
      <c r="BW177" s="238"/>
      <c r="BX177" s="238"/>
      <c r="BY177" s="238"/>
      <c r="BZ177" s="238"/>
      <c r="CA177" s="238"/>
      <c r="CB177" s="238"/>
      <c r="CC177" s="238"/>
      <c r="CD177" s="238"/>
      <c r="CE177" s="238"/>
      <c r="CF177" s="238"/>
      <c r="CG177" s="238"/>
    </row>
    <row r="178" spans="1:85">
      <c r="A178" s="356">
        <v>41334</v>
      </c>
      <c r="B178" s="461">
        <v>3.996</v>
      </c>
      <c r="C178" s="497">
        <v>-0.60799999999999998</v>
      </c>
      <c r="D178" s="359">
        <v>-0.52111221974723021</v>
      </c>
      <c r="E178" s="359">
        <v>-0.11999999999999922</v>
      </c>
      <c r="F178" s="469">
        <v>0.17499999999999999</v>
      </c>
      <c r="G178" s="470">
        <v>0.32500000000000001</v>
      </c>
      <c r="H178" s="470">
        <v>0.29499999999999998</v>
      </c>
      <c r="I178" s="471">
        <v>0.39500000000000002</v>
      </c>
      <c r="J178" s="470">
        <v>0.13</v>
      </c>
      <c r="K178" s="470">
        <v>0.16</v>
      </c>
      <c r="L178" s="470">
        <v>0.72</v>
      </c>
      <c r="M178" s="469">
        <v>-0.2</v>
      </c>
      <c r="N178" s="470">
        <v>0.35</v>
      </c>
      <c r="O178" s="471">
        <v>0</v>
      </c>
      <c r="P178" s="419">
        <v>6.8000000000000005E-2</v>
      </c>
      <c r="Q178" s="388">
        <v>0.16250000000000001</v>
      </c>
      <c r="R178" s="475">
        <v>0.17</v>
      </c>
      <c r="S178" s="365">
        <v>0.17</v>
      </c>
      <c r="T178" s="274">
        <v>0.75</v>
      </c>
      <c r="U178" s="494">
        <v>0.17</v>
      </c>
      <c r="V178" s="225">
        <v>3.3879999999999999</v>
      </c>
      <c r="W178" s="225">
        <v>3.4748877802527698</v>
      </c>
      <c r="X178" s="368">
        <v>3.8760000000000008</v>
      </c>
      <c r="Y178" s="226"/>
      <c r="Z178" s="465">
        <v>0.13</v>
      </c>
      <c r="AA178" s="481">
        <v>0.73013719323296566</v>
      </c>
      <c r="AB178" s="487">
        <v>5.0690672349862389</v>
      </c>
      <c r="AC178" s="312">
        <v>5.1990672349862388</v>
      </c>
      <c r="AD178" s="368">
        <v>5.7992044282192046</v>
      </c>
      <c r="AE178" s="418">
        <v>4.0640000000000001</v>
      </c>
      <c r="AF178" s="373">
        <v>3.7959999999999998</v>
      </c>
      <c r="AG178" s="374">
        <v>3.996</v>
      </c>
      <c r="AH178" s="423">
        <v>-0.18</v>
      </c>
      <c r="AI178" s="467">
        <v>1.5785566117696699</v>
      </c>
      <c r="AJ178" s="478">
        <v>6.1031970746850295E-2</v>
      </c>
      <c r="AK178" s="478">
        <v>5.97698219630627E-2</v>
      </c>
      <c r="AL178" s="354">
        <v>0.50133193218615113</v>
      </c>
      <c r="AM178" s="377">
        <v>0.50843612993492371</v>
      </c>
      <c r="AN178" s="353">
        <v>0.32500000000000001</v>
      </c>
      <c r="AO178" s="378">
        <v>0.12</v>
      </c>
      <c r="AP178" s="238"/>
      <c r="AQ178" s="353">
        <v>-3.4733775652040553</v>
      </c>
      <c r="AR178" s="379">
        <v>-2.8653775652040552</v>
      </c>
      <c r="AS178" s="238"/>
      <c r="AT178" s="456">
        <v>7.4999999999999997E-3</v>
      </c>
      <c r="AU178" s="238"/>
      <c r="AV178" s="353">
        <v>8.0000000000000002E-3</v>
      </c>
      <c r="AW178" s="238">
        <v>0.02</v>
      </c>
      <c r="AX178" s="238">
        <v>5.0000000000000001E-3</v>
      </c>
      <c r="AY178" s="354"/>
      <c r="AZ178" s="488">
        <v>1</v>
      </c>
      <c r="BA178" s="488"/>
      <c r="BB178" s="433">
        <v>-0.60799999999999998</v>
      </c>
      <c r="BC178" s="319"/>
      <c r="BD178" s="355">
        <v>4.1459999999999999</v>
      </c>
      <c r="BE178" s="238">
        <v>3.3933469403232475</v>
      </c>
      <c r="BF178" s="319"/>
      <c r="BG178" s="238">
        <v>0.75</v>
      </c>
      <c r="BH178" s="293"/>
      <c r="BI178" s="293"/>
      <c r="BJ178" s="238"/>
      <c r="BK178" s="319"/>
      <c r="BL178" s="238"/>
      <c r="BM178" s="238"/>
      <c r="BN178" s="256"/>
      <c r="BO178" s="256"/>
      <c r="BP178" s="293"/>
      <c r="BQ178" s="238"/>
      <c r="BR178" s="293"/>
      <c r="BS178" s="238"/>
      <c r="BT178" s="238"/>
      <c r="BU178" s="238"/>
      <c r="BV178" s="238"/>
      <c r="BW178" s="238"/>
      <c r="BX178" s="238"/>
      <c r="BY178" s="238"/>
      <c r="BZ178" s="238"/>
      <c r="CA178" s="238"/>
      <c r="CB178" s="238"/>
      <c r="CC178" s="238"/>
      <c r="CD178" s="238"/>
      <c r="CE178" s="238"/>
      <c r="CF178" s="238"/>
      <c r="CG178" s="238"/>
    </row>
    <row r="179" spans="1:85">
      <c r="A179" s="356">
        <v>41365</v>
      </c>
      <c r="B179" s="461">
        <v>3.798</v>
      </c>
      <c r="C179" s="498">
        <v>-0.70799999999999996</v>
      </c>
      <c r="D179" s="359">
        <v>-0.62112744161245992</v>
      </c>
      <c r="E179" s="359">
        <v>-0.64117495508650801</v>
      </c>
      <c r="F179" s="469">
        <v>0.13</v>
      </c>
      <c r="G179" s="470">
        <v>0.13</v>
      </c>
      <c r="H179" s="470">
        <v>0.16500000000000001</v>
      </c>
      <c r="I179" s="471">
        <v>0.125</v>
      </c>
      <c r="J179" s="470">
        <v>4.4999999999999998E-2</v>
      </c>
      <c r="K179" s="470">
        <v>0.115</v>
      </c>
      <c r="L179" s="470">
        <v>0.4</v>
      </c>
      <c r="M179" s="469">
        <v>-0.32</v>
      </c>
      <c r="N179" s="470">
        <v>0.43</v>
      </c>
      <c r="O179" s="471">
        <v>0</v>
      </c>
      <c r="P179" s="419">
        <v>-0.25</v>
      </c>
      <c r="Q179" s="388">
        <v>0.16250000000000001</v>
      </c>
      <c r="R179" s="475">
        <v>0.17</v>
      </c>
      <c r="S179" s="365">
        <v>0.17</v>
      </c>
      <c r="T179" s="274">
        <v>0.4</v>
      </c>
      <c r="U179" s="494">
        <v>0.17</v>
      </c>
      <c r="V179" s="225">
        <v>3.09</v>
      </c>
      <c r="W179" s="225">
        <v>3.1768725583875401</v>
      </c>
      <c r="X179" s="368">
        <v>3.156825044913492</v>
      </c>
      <c r="Y179" s="226"/>
      <c r="Z179" s="465">
        <v>0.13</v>
      </c>
      <c r="AA179" s="481">
        <v>0.1</v>
      </c>
      <c r="AB179" s="487">
        <v>4.6240148495225366</v>
      </c>
      <c r="AC179" s="312">
        <v>4.7540148495225365</v>
      </c>
      <c r="AD179" s="368">
        <v>4.7240148495225363</v>
      </c>
      <c r="AE179" s="418">
        <v>3.548</v>
      </c>
      <c r="AF179" s="373">
        <v>3.4780000000000002</v>
      </c>
      <c r="AG179" s="374">
        <v>3.798</v>
      </c>
      <c r="AH179" s="423">
        <v>-0.255</v>
      </c>
      <c r="AI179" s="467">
        <v>1.5788332074685598</v>
      </c>
      <c r="AJ179" s="478">
        <v>6.1077591214380202E-2</v>
      </c>
      <c r="AK179" s="478">
        <v>5.9809074667983797E-2</v>
      </c>
      <c r="AL179" s="354">
        <v>0.49852497880352165</v>
      </c>
      <c r="AM179" s="377">
        <v>0.50567798990527457</v>
      </c>
      <c r="AN179" s="353">
        <v>0.13</v>
      </c>
      <c r="AO179" s="378">
        <v>0.124</v>
      </c>
      <c r="AP179" s="238"/>
      <c r="AQ179" s="353">
        <v>-3.6977028871060469</v>
      </c>
      <c r="AR179" s="379">
        <v>-2.9897028871060467</v>
      </c>
      <c r="AS179" s="238"/>
      <c r="AT179" s="456">
        <v>7.4999999999999997E-3</v>
      </c>
      <c r="AU179" s="238"/>
      <c r="AV179" s="353">
        <v>2.5000000000000001E-3</v>
      </c>
      <c r="AW179" s="238">
        <v>5.0000000000000001E-3</v>
      </c>
      <c r="AX179" s="238">
        <v>-8.5000000000000006E-2</v>
      </c>
      <c r="AY179" s="354"/>
      <c r="AZ179" s="488">
        <v>0.65</v>
      </c>
      <c r="BA179" s="488"/>
      <c r="BB179" s="433">
        <v>-0.70799999999999996</v>
      </c>
      <c r="BC179" s="319"/>
      <c r="BD179" s="355">
        <v>3.8479999999999999</v>
      </c>
      <c r="BE179" s="238">
        <v>3.0916706261228373</v>
      </c>
      <c r="BF179" s="319"/>
      <c r="BG179" s="238">
        <v>0.45</v>
      </c>
      <c r="BH179" s="293"/>
      <c r="BI179" s="293"/>
      <c r="BJ179" s="238"/>
      <c r="BK179" s="319"/>
      <c r="BL179" s="238"/>
      <c r="BM179" s="238"/>
      <c r="BN179" s="256"/>
      <c r="BO179" s="256"/>
      <c r="BP179" s="293"/>
      <c r="BQ179" s="238"/>
      <c r="BR179" s="293"/>
      <c r="BS179" s="238"/>
      <c r="BT179" s="238"/>
      <c r="BU179" s="238"/>
      <c r="BV179" s="238"/>
      <c r="BW179" s="238"/>
      <c r="BX179" s="238"/>
      <c r="BY179" s="238"/>
      <c r="BZ179" s="238"/>
      <c r="CA179" s="238"/>
      <c r="CB179" s="238"/>
      <c r="CC179" s="238"/>
      <c r="CD179" s="238"/>
      <c r="CE179" s="238"/>
      <c r="CF179" s="238"/>
      <c r="CG179" s="238"/>
    </row>
    <row r="180" spans="1:85">
      <c r="A180" s="356">
        <v>41395</v>
      </c>
      <c r="B180" s="461">
        <v>3.794</v>
      </c>
      <c r="C180" s="497">
        <v>-0.70799999999999996</v>
      </c>
      <c r="D180" s="359">
        <v>-0.62114225608122364</v>
      </c>
      <c r="E180" s="359">
        <v>-0.64118635083171105</v>
      </c>
      <c r="F180" s="469">
        <v>0.13</v>
      </c>
      <c r="G180" s="470">
        <v>0.13</v>
      </c>
      <c r="H180" s="470">
        <v>0.16500000000000001</v>
      </c>
      <c r="I180" s="471">
        <v>0.125</v>
      </c>
      <c r="J180" s="470">
        <v>4.4999999999999998E-2</v>
      </c>
      <c r="K180" s="470">
        <v>0.115</v>
      </c>
      <c r="L180" s="470">
        <v>0.35</v>
      </c>
      <c r="M180" s="469">
        <v>-0.32</v>
      </c>
      <c r="N180" s="470">
        <v>0.43</v>
      </c>
      <c r="O180" s="471">
        <v>0</v>
      </c>
      <c r="P180" s="419">
        <v>-0.1</v>
      </c>
      <c r="Q180" s="388">
        <v>0.16250000000000001</v>
      </c>
      <c r="R180" s="475">
        <v>0.17</v>
      </c>
      <c r="S180" s="365">
        <v>0.17</v>
      </c>
      <c r="T180" s="274">
        <v>0.45</v>
      </c>
      <c r="U180" s="494">
        <v>0.17</v>
      </c>
      <c r="V180" s="225">
        <v>3.0860000000000003</v>
      </c>
      <c r="W180" s="225">
        <v>3.1728577439187764</v>
      </c>
      <c r="X180" s="368">
        <v>3.152813649168289</v>
      </c>
      <c r="Y180" s="226"/>
      <c r="Z180" s="465">
        <v>0.13</v>
      </c>
      <c r="AA180" s="481">
        <v>0.1</v>
      </c>
      <c r="AB180" s="487">
        <v>4.6188167214561551</v>
      </c>
      <c r="AC180" s="312">
        <v>4.748816721456155</v>
      </c>
      <c r="AD180" s="368">
        <v>4.7188167214561547</v>
      </c>
      <c r="AE180" s="418">
        <v>3.694</v>
      </c>
      <c r="AF180" s="373">
        <v>3.4740000000000002</v>
      </c>
      <c r="AG180" s="374">
        <v>3.794</v>
      </c>
      <c r="AH180" s="423">
        <v>-0.255</v>
      </c>
      <c r="AI180" s="467">
        <v>1.5791024934778499</v>
      </c>
      <c r="AJ180" s="478">
        <v>6.1121740054582901E-2</v>
      </c>
      <c r="AK180" s="478">
        <v>5.9847061157104697E-2</v>
      </c>
      <c r="AL180" s="354">
        <v>0.495819994901054</v>
      </c>
      <c r="AM180" s="377">
        <v>0.50301997447120661</v>
      </c>
      <c r="AN180" s="353">
        <v>0.13</v>
      </c>
      <c r="AO180" s="378">
        <v>0.12</v>
      </c>
      <c r="AP180" s="238"/>
      <c r="AQ180" s="353">
        <v>-3.6937142780879735</v>
      </c>
      <c r="AR180" s="379">
        <v>-2.9857142780879737</v>
      </c>
      <c r="AS180" s="238"/>
      <c r="AT180" s="456">
        <v>7.4999999999999997E-3</v>
      </c>
      <c r="AU180" s="238"/>
      <c r="AV180" s="353">
        <v>2.5000000000000001E-3</v>
      </c>
      <c r="AW180" s="238">
        <v>5.0000000000000001E-3</v>
      </c>
      <c r="AX180" s="238">
        <v>-8.5000000000000006E-2</v>
      </c>
      <c r="AY180" s="354"/>
      <c r="AZ180" s="488">
        <v>0.7</v>
      </c>
      <c r="BA180" s="488"/>
      <c r="BB180" s="433">
        <v>-0.70799999999999996</v>
      </c>
      <c r="BC180" s="319"/>
      <c r="BD180" s="355">
        <v>3.8439999999999999</v>
      </c>
      <c r="BE180" s="238">
        <v>3.0876703412292077</v>
      </c>
      <c r="BF180" s="319"/>
      <c r="BG180" s="238">
        <v>0.5</v>
      </c>
      <c r="BH180" s="293"/>
      <c r="BI180" s="293"/>
      <c r="BJ180" s="238"/>
      <c r="BK180" s="319"/>
      <c r="BL180" s="238"/>
      <c r="BM180" s="238"/>
      <c r="BN180" s="256"/>
      <c r="BO180" s="256"/>
      <c r="BP180" s="293"/>
      <c r="BQ180" s="238"/>
      <c r="BR180" s="293"/>
      <c r="BS180" s="238"/>
      <c r="BT180" s="238"/>
      <c r="BU180" s="238"/>
      <c r="BV180" s="238"/>
      <c r="BW180" s="238"/>
      <c r="BX180" s="238"/>
      <c r="BY180" s="238"/>
      <c r="BZ180" s="238"/>
      <c r="CA180" s="238"/>
      <c r="CB180" s="238"/>
      <c r="CC180" s="238"/>
      <c r="CD180" s="238"/>
      <c r="CE180" s="238"/>
      <c r="CF180" s="238"/>
      <c r="CG180" s="238"/>
    </row>
    <row r="181" spans="1:85">
      <c r="A181" s="356">
        <v>41426</v>
      </c>
      <c r="B181" s="461">
        <v>3.8260000000000001</v>
      </c>
      <c r="C181" s="497">
        <v>-0.70799999999999996</v>
      </c>
      <c r="D181" s="359">
        <v>-0.62115765073322615</v>
      </c>
      <c r="E181" s="359">
        <v>-0.64119819287171254</v>
      </c>
      <c r="F181" s="469">
        <v>0.13</v>
      </c>
      <c r="G181" s="470">
        <v>0.13</v>
      </c>
      <c r="H181" s="470">
        <v>0.16500000000000001</v>
      </c>
      <c r="I181" s="471">
        <v>0.125</v>
      </c>
      <c r="J181" s="470">
        <v>4.4999999999999998E-2</v>
      </c>
      <c r="K181" s="470">
        <v>0.115</v>
      </c>
      <c r="L181" s="470">
        <v>0.39</v>
      </c>
      <c r="M181" s="469">
        <v>-0.32</v>
      </c>
      <c r="N181" s="470">
        <v>0.43</v>
      </c>
      <c r="O181" s="471">
        <v>0</v>
      </c>
      <c r="P181" s="419">
        <v>-0.1</v>
      </c>
      <c r="Q181" s="388">
        <v>0.16250000000000001</v>
      </c>
      <c r="R181" s="475">
        <v>0.17</v>
      </c>
      <c r="S181" s="365">
        <v>0.17</v>
      </c>
      <c r="T181" s="274">
        <v>0.45</v>
      </c>
      <c r="U181" s="494">
        <v>0.17</v>
      </c>
      <c r="V181" s="225">
        <v>3.1180000000000003</v>
      </c>
      <c r="W181" s="225">
        <v>3.2048423492667739</v>
      </c>
      <c r="X181" s="368">
        <v>3.1848018071282875</v>
      </c>
      <c r="Y181" s="226"/>
      <c r="Z181" s="465">
        <v>0.13</v>
      </c>
      <c r="AA181" s="481">
        <v>0.1</v>
      </c>
      <c r="AB181" s="487">
        <v>4.6675384005886666</v>
      </c>
      <c r="AC181" s="312">
        <v>4.7975384005886665</v>
      </c>
      <c r="AD181" s="368">
        <v>4.7675384005886663</v>
      </c>
      <c r="AE181" s="418">
        <v>3.726</v>
      </c>
      <c r="AF181" s="373">
        <v>3.5060000000000002</v>
      </c>
      <c r="AG181" s="374">
        <v>3.8260000000000001</v>
      </c>
      <c r="AH181" s="423">
        <v>-0.255</v>
      </c>
      <c r="AI181" s="467">
        <v>1.5793824229542899</v>
      </c>
      <c r="AJ181" s="478">
        <v>6.1167360523472207E-2</v>
      </c>
      <c r="AK181" s="478">
        <v>5.9886313863032996E-2</v>
      </c>
      <c r="AL181" s="354">
        <v>0.49303662358508832</v>
      </c>
      <c r="AM181" s="377">
        <v>0.50028485522840915</v>
      </c>
      <c r="AN181" s="353">
        <v>0.13</v>
      </c>
      <c r="AO181" s="378">
        <v>0.124</v>
      </c>
      <c r="AP181" s="238"/>
      <c r="AQ181" s="353">
        <v>-3.7257261151781527</v>
      </c>
      <c r="AR181" s="379">
        <v>-3.0177261151781529</v>
      </c>
      <c r="AS181" s="238"/>
      <c r="AT181" s="456">
        <v>7.4999999999999997E-3</v>
      </c>
      <c r="AU181" s="238"/>
      <c r="AV181" s="353">
        <v>2.5000000000000001E-3</v>
      </c>
      <c r="AW181" s="238">
        <v>5.0000000000000001E-3</v>
      </c>
      <c r="AX181" s="238">
        <v>-8.5000000000000006E-2</v>
      </c>
      <c r="AY181" s="354"/>
      <c r="AZ181" s="488">
        <v>0.7</v>
      </c>
      <c r="BA181" s="488"/>
      <c r="BB181" s="433">
        <v>-0.70799999999999996</v>
      </c>
      <c r="BC181" s="319"/>
      <c r="BD181" s="355">
        <v>3.8759999999999999</v>
      </c>
      <c r="BE181" s="238">
        <v>3.1196700451782076</v>
      </c>
      <c r="BF181" s="319"/>
      <c r="BG181" s="238">
        <v>0.5</v>
      </c>
      <c r="BH181" s="293"/>
      <c r="BI181" s="293"/>
      <c r="BJ181" s="238"/>
      <c r="BK181" s="319"/>
      <c r="BL181" s="238"/>
      <c r="BM181" s="238"/>
      <c r="BN181" s="256"/>
      <c r="BO181" s="256"/>
      <c r="BP181" s="293"/>
      <c r="BQ181" s="238"/>
      <c r="BR181" s="293"/>
      <c r="BS181" s="238"/>
      <c r="BT181" s="238"/>
      <c r="BU181" s="238"/>
      <c r="BV181" s="238"/>
      <c r="BW181" s="238"/>
      <c r="BX181" s="238"/>
      <c r="BY181" s="238"/>
      <c r="BZ181" s="238"/>
      <c r="CA181" s="238"/>
      <c r="CB181" s="238"/>
      <c r="CC181" s="238"/>
      <c r="CD181" s="238"/>
      <c r="CE181" s="238"/>
      <c r="CF181" s="238"/>
      <c r="CG181" s="238"/>
    </row>
    <row r="182" spans="1:85">
      <c r="A182" s="356">
        <v>41456</v>
      </c>
      <c r="B182" s="461">
        <v>3.8760000000000003</v>
      </c>
      <c r="C182" s="497">
        <v>-0.70799999999999996</v>
      </c>
      <c r="D182" s="359">
        <v>-0.62117263231552711</v>
      </c>
      <c r="E182" s="359">
        <v>-0.64120971716578978</v>
      </c>
      <c r="F182" s="469">
        <v>0.13</v>
      </c>
      <c r="G182" s="470">
        <v>0.13</v>
      </c>
      <c r="H182" s="470">
        <v>0.16500000000000001</v>
      </c>
      <c r="I182" s="471">
        <v>0.125</v>
      </c>
      <c r="J182" s="470">
        <v>4.4999999999999998E-2</v>
      </c>
      <c r="K182" s="470">
        <v>0.115</v>
      </c>
      <c r="L182" s="470">
        <v>0.43</v>
      </c>
      <c r="M182" s="469">
        <v>-0.32</v>
      </c>
      <c r="N182" s="470">
        <v>0.43</v>
      </c>
      <c r="O182" s="471">
        <v>0</v>
      </c>
      <c r="P182" s="419">
        <v>-0.1</v>
      </c>
      <c r="Q182" s="388">
        <v>0.16250000000000001</v>
      </c>
      <c r="R182" s="475">
        <v>0.17</v>
      </c>
      <c r="S182" s="365">
        <v>0.17</v>
      </c>
      <c r="T182" s="274">
        <v>0.5</v>
      </c>
      <c r="U182" s="494">
        <v>0.17</v>
      </c>
      <c r="V182" s="225">
        <v>3.1680000000000001</v>
      </c>
      <c r="W182" s="225">
        <v>3.2548273676844732</v>
      </c>
      <c r="X182" s="368">
        <v>3.2347902828342106</v>
      </c>
      <c r="Y182" s="226"/>
      <c r="Z182" s="465">
        <v>0.13</v>
      </c>
      <c r="AA182" s="481">
        <v>0.1</v>
      </c>
      <c r="AB182" s="487">
        <v>4.7432049477373006</v>
      </c>
      <c r="AC182" s="312">
        <v>4.8732049477373005</v>
      </c>
      <c r="AD182" s="368">
        <v>4.8432049477373003</v>
      </c>
      <c r="AE182" s="418">
        <v>3.7760000000000002</v>
      </c>
      <c r="AF182" s="373">
        <v>3.5560000000000005</v>
      </c>
      <c r="AG182" s="374">
        <v>3.8760000000000003</v>
      </c>
      <c r="AH182" s="423">
        <v>-0.255</v>
      </c>
      <c r="AI182" s="467">
        <v>1.5796549366603299</v>
      </c>
      <c r="AJ182" s="478">
        <v>6.1211509364990799E-2</v>
      </c>
      <c r="AK182" s="478">
        <v>5.9924300353129102E-2</v>
      </c>
      <c r="AL182" s="354">
        <v>0.4903544135007612</v>
      </c>
      <c r="AM182" s="377">
        <v>0.49764906521018692</v>
      </c>
      <c r="AN182" s="353">
        <v>0.13</v>
      </c>
      <c r="AO182" s="378">
        <v>0.12</v>
      </c>
      <c r="AP182" s="238"/>
      <c r="AQ182" s="353">
        <v>-3.7757376346552212</v>
      </c>
      <c r="AR182" s="379">
        <v>-3.067737634655221</v>
      </c>
      <c r="AS182" s="238"/>
      <c r="AT182" s="456">
        <v>7.4999999999999997E-3</v>
      </c>
      <c r="AU182" s="238"/>
      <c r="AV182" s="353">
        <v>2.5000000000000001E-3</v>
      </c>
      <c r="AW182" s="238">
        <v>5.0000000000000001E-3</v>
      </c>
      <c r="AX182" s="238">
        <v>-8.5000000000000006E-2</v>
      </c>
      <c r="AY182" s="354"/>
      <c r="AZ182" s="488">
        <v>0.75</v>
      </c>
      <c r="BA182" s="488"/>
      <c r="BB182" s="433">
        <v>-0.70799999999999996</v>
      </c>
      <c r="BC182" s="319"/>
      <c r="BD182" s="355">
        <v>3.9260000000000002</v>
      </c>
      <c r="BE182" s="238">
        <v>3.1696697570708552</v>
      </c>
      <c r="BF182" s="319"/>
      <c r="BG182" s="238">
        <v>0.55000000000000004</v>
      </c>
      <c r="BH182" s="293"/>
      <c r="BI182" s="293"/>
      <c r="BJ182" s="238"/>
      <c r="BK182" s="319"/>
      <c r="BL182" s="238"/>
      <c r="BM182" s="238"/>
      <c r="BN182" s="256"/>
      <c r="BO182" s="256"/>
      <c r="BP182" s="293"/>
      <c r="BQ182" s="238"/>
      <c r="BR182" s="293"/>
      <c r="BS182" s="238"/>
      <c r="BT182" s="238"/>
      <c r="BU182" s="238"/>
      <c r="BV182" s="238"/>
      <c r="BW182" s="238"/>
      <c r="BX182" s="238"/>
      <c r="BY182" s="238"/>
      <c r="BZ182" s="238"/>
      <c r="CA182" s="238"/>
      <c r="CB182" s="238"/>
      <c r="CC182" s="238"/>
      <c r="CD182" s="238"/>
      <c r="CE182" s="238"/>
      <c r="CF182" s="238"/>
      <c r="CG182" s="238"/>
    </row>
    <row r="183" spans="1:85">
      <c r="A183" s="356">
        <v>41487</v>
      </c>
      <c r="B183" s="461">
        <v>3.91</v>
      </c>
      <c r="C183" s="497">
        <v>-0.70799999999999996</v>
      </c>
      <c r="D183" s="359">
        <v>-0.62118819954823046</v>
      </c>
      <c r="E183" s="359">
        <v>-0.64122169196017742</v>
      </c>
      <c r="F183" s="469">
        <v>0.13</v>
      </c>
      <c r="G183" s="470">
        <v>0.13</v>
      </c>
      <c r="H183" s="470">
        <v>0.16500000000000001</v>
      </c>
      <c r="I183" s="471">
        <v>0.125</v>
      </c>
      <c r="J183" s="470">
        <v>4.4999999999999998E-2</v>
      </c>
      <c r="K183" s="470">
        <v>0.115</v>
      </c>
      <c r="L183" s="470">
        <v>0.43</v>
      </c>
      <c r="M183" s="469">
        <v>-0.32</v>
      </c>
      <c r="N183" s="470">
        <v>0.43</v>
      </c>
      <c r="O183" s="471">
        <v>0</v>
      </c>
      <c r="P183" s="419">
        <v>-0.1</v>
      </c>
      <c r="Q183" s="388">
        <v>0.16250000000000001</v>
      </c>
      <c r="R183" s="475">
        <v>0.17</v>
      </c>
      <c r="S183" s="365">
        <v>0.17</v>
      </c>
      <c r="T183" s="274">
        <v>0.55000000000000004</v>
      </c>
      <c r="U183" s="494">
        <v>0.17</v>
      </c>
      <c r="V183" s="225">
        <v>3.202</v>
      </c>
      <c r="W183" s="225">
        <v>3.2888118004517697</v>
      </c>
      <c r="X183" s="368">
        <v>3.2687783080398227</v>
      </c>
      <c r="Y183" s="226"/>
      <c r="Z183" s="465">
        <v>0.13</v>
      </c>
      <c r="AA183" s="481">
        <v>0.1</v>
      </c>
      <c r="AB183" s="487">
        <v>4.7949702440656319</v>
      </c>
      <c r="AC183" s="312">
        <v>4.9249702440656318</v>
      </c>
      <c r="AD183" s="368">
        <v>4.8949702440656315</v>
      </c>
      <c r="AE183" s="418">
        <v>3.81</v>
      </c>
      <c r="AF183" s="373">
        <v>3.59</v>
      </c>
      <c r="AG183" s="374">
        <v>3.91</v>
      </c>
      <c r="AH183" s="423">
        <v>-0.255</v>
      </c>
      <c r="AI183" s="467">
        <v>1.5799382029428199</v>
      </c>
      <c r="AJ183" s="478">
        <v>6.1257129835240696E-2</v>
      </c>
      <c r="AK183" s="478">
        <v>5.9963553060065101E-2</v>
      </c>
      <c r="AL183" s="354">
        <v>0.48759452576366041</v>
      </c>
      <c r="AM183" s="377">
        <v>0.49493685756492078</v>
      </c>
      <c r="AN183" s="353">
        <v>0.13</v>
      </c>
      <c r="AO183" s="378">
        <v>0.12</v>
      </c>
      <c r="AP183" s="238"/>
      <c r="AQ183" s="353">
        <v>-3.8097496044442969</v>
      </c>
      <c r="AR183" s="379">
        <v>-3.1017496044442971</v>
      </c>
      <c r="AS183" s="238"/>
      <c r="AT183" s="456">
        <v>7.4999999999999997E-3</v>
      </c>
      <c r="AU183" s="238"/>
      <c r="AV183" s="353">
        <v>2.5000000000000001E-3</v>
      </c>
      <c r="AW183" s="238">
        <v>5.0000000000000001E-3</v>
      </c>
      <c r="AX183" s="238">
        <v>-8.5000000000000006E-2</v>
      </c>
      <c r="AY183" s="354"/>
      <c r="AZ183" s="488">
        <v>0.8</v>
      </c>
      <c r="BA183" s="488"/>
      <c r="BB183" s="433">
        <v>-0.70799999999999996</v>
      </c>
      <c r="BC183" s="319"/>
      <c r="BD183" s="355">
        <v>3.96</v>
      </c>
      <c r="BE183" s="238">
        <v>3.2036694577009954</v>
      </c>
      <c r="BF183" s="319"/>
      <c r="BG183" s="238">
        <v>0.6</v>
      </c>
      <c r="BH183" s="293"/>
      <c r="BI183" s="293"/>
      <c r="BJ183" s="238"/>
      <c r="BK183" s="319"/>
      <c r="BL183" s="238"/>
      <c r="BM183" s="238"/>
      <c r="BN183" s="256"/>
      <c r="BO183" s="256"/>
      <c r="BP183" s="293"/>
      <c r="BQ183" s="238"/>
      <c r="BR183" s="293"/>
      <c r="BS183" s="238"/>
      <c r="BT183" s="238"/>
      <c r="BU183" s="238"/>
      <c r="BV183" s="238"/>
      <c r="BW183" s="238"/>
      <c r="BX183" s="238"/>
      <c r="BY183" s="238"/>
      <c r="BZ183" s="238"/>
      <c r="CA183" s="238"/>
      <c r="CB183" s="238"/>
      <c r="CC183" s="238"/>
      <c r="CD183" s="238"/>
      <c r="CE183" s="238"/>
      <c r="CF183" s="238"/>
      <c r="CG183" s="238"/>
    </row>
    <row r="184" spans="1:85">
      <c r="A184" s="356">
        <v>41518</v>
      </c>
      <c r="B184" s="461">
        <v>3.923</v>
      </c>
      <c r="C184" s="497">
        <v>-0.70799999999999996</v>
      </c>
      <c r="D184" s="359">
        <v>-0.62120385440627102</v>
      </c>
      <c r="E184" s="359">
        <v>-0.64123373415867002</v>
      </c>
      <c r="F184" s="469">
        <v>0.13</v>
      </c>
      <c r="G184" s="470">
        <v>0.13</v>
      </c>
      <c r="H184" s="470">
        <v>0.16500000000000001</v>
      </c>
      <c r="I184" s="471">
        <v>0.125</v>
      </c>
      <c r="J184" s="470">
        <v>4.4999999999999998E-2</v>
      </c>
      <c r="K184" s="470">
        <v>0.115</v>
      </c>
      <c r="L184" s="470">
        <v>0.38</v>
      </c>
      <c r="M184" s="469">
        <v>-0.32</v>
      </c>
      <c r="N184" s="470">
        <v>0.43</v>
      </c>
      <c r="O184" s="471">
        <v>0</v>
      </c>
      <c r="P184" s="419">
        <v>-0.1</v>
      </c>
      <c r="Q184" s="388">
        <v>0.16250000000000001</v>
      </c>
      <c r="R184" s="475">
        <v>0.17</v>
      </c>
      <c r="S184" s="365">
        <v>0.17</v>
      </c>
      <c r="T184" s="274">
        <v>0.55000000000000004</v>
      </c>
      <c r="U184" s="494">
        <v>0.17</v>
      </c>
      <c r="V184" s="225">
        <v>3.2149999999999999</v>
      </c>
      <c r="W184" s="225">
        <v>3.301796145593729</v>
      </c>
      <c r="X184" s="368">
        <v>3.28176626584133</v>
      </c>
      <c r="Y184" s="226"/>
      <c r="Z184" s="465">
        <v>0.13</v>
      </c>
      <c r="AA184" s="481">
        <v>0.1</v>
      </c>
      <c r="AB184" s="487">
        <v>4.8153059924609947</v>
      </c>
      <c r="AC184" s="312">
        <v>4.9453059924609946</v>
      </c>
      <c r="AD184" s="368">
        <v>4.9153059924609943</v>
      </c>
      <c r="AE184" s="418">
        <v>3.823</v>
      </c>
      <c r="AF184" s="373">
        <v>3.6030000000000002</v>
      </c>
      <c r="AG184" s="374">
        <v>3.923</v>
      </c>
      <c r="AH184" s="423">
        <v>-0.255</v>
      </c>
      <c r="AI184" s="467">
        <v>1.58022316615301</v>
      </c>
      <c r="AJ184" s="478">
        <v>6.1302750306180702E-2</v>
      </c>
      <c r="AK184" s="478">
        <v>6.0002805767513004E-2</v>
      </c>
      <c r="AL184" s="354">
        <v>0.48484653425089963</v>
      </c>
      <c r="AM184" s="377">
        <v>0.49223625149519246</v>
      </c>
      <c r="AN184" s="353">
        <v>0.13</v>
      </c>
      <c r="AO184" s="378">
        <v>0.124</v>
      </c>
      <c r="AP184" s="238"/>
      <c r="AQ184" s="353">
        <v>-3.8227616416093042</v>
      </c>
      <c r="AR184" s="379">
        <v>-3.114761641609304</v>
      </c>
      <c r="AS184" s="238"/>
      <c r="AT184" s="456">
        <v>7.4999999999999997E-3</v>
      </c>
      <c r="AU184" s="238"/>
      <c r="AV184" s="353">
        <v>2.5000000000000001E-3</v>
      </c>
      <c r="AW184" s="238">
        <v>5.0000000000000001E-3</v>
      </c>
      <c r="AX184" s="238">
        <v>-8.5000000000000006E-2</v>
      </c>
      <c r="AY184" s="354"/>
      <c r="AZ184" s="488">
        <v>0.8</v>
      </c>
      <c r="BA184" s="488"/>
      <c r="BB184" s="433">
        <v>-0.70799999999999996</v>
      </c>
      <c r="BC184" s="319"/>
      <c r="BD184" s="355">
        <v>3.9729999999999999</v>
      </c>
      <c r="BE184" s="238">
        <v>3.216669156646033</v>
      </c>
      <c r="BF184" s="319"/>
      <c r="BG184" s="238">
        <v>0.6</v>
      </c>
      <c r="BH184" s="293"/>
      <c r="BI184" s="293"/>
      <c r="BJ184" s="238"/>
      <c r="BK184" s="319"/>
      <c r="BL184" s="238"/>
      <c r="BM184" s="238"/>
      <c r="BN184" s="256"/>
      <c r="BO184" s="256"/>
      <c r="BP184" s="293"/>
      <c r="BQ184" s="238"/>
      <c r="BR184" s="293"/>
      <c r="BS184" s="238"/>
      <c r="BT184" s="238"/>
      <c r="BU184" s="238"/>
      <c r="BV184" s="238"/>
      <c r="BW184" s="238"/>
      <c r="BX184" s="238"/>
      <c r="BY184" s="238"/>
      <c r="BZ184" s="238"/>
      <c r="CA184" s="238"/>
      <c r="CB184" s="238"/>
      <c r="CC184" s="238"/>
      <c r="CD184" s="238"/>
      <c r="CE184" s="238"/>
      <c r="CF184" s="238"/>
      <c r="CG184" s="238"/>
    </row>
    <row r="185" spans="1:85">
      <c r="A185" s="356">
        <v>41548</v>
      </c>
      <c r="B185" s="461">
        <v>3.9350000000000001</v>
      </c>
      <c r="C185" s="497">
        <v>-0.70799999999999996</v>
      </c>
      <c r="D185" s="359">
        <v>-0.62121908764902667</v>
      </c>
      <c r="E185" s="359">
        <v>-0.6412454520377131</v>
      </c>
      <c r="F185" s="469">
        <v>0.13</v>
      </c>
      <c r="G185" s="470">
        <v>0.13</v>
      </c>
      <c r="H185" s="470">
        <v>0.16500000000000001</v>
      </c>
      <c r="I185" s="471">
        <v>0.125</v>
      </c>
      <c r="J185" s="470">
        <v>4.4999999999999998E-2</v>
      </c>
      <c r="K185" s="470">
        <v>0.115</v>
      </c>
      <c r="L185" s="470">
        <v>0.42</v>
      </c>
      <c r="M185" s="469">
        <v>-0.32</v>
      </c>
      <c r="N185" s="470">
        <v>0.43</v>
      </c>
      <c r="O185" s="471">
        <v>0</v>
      </c>
      <c r="P185" s="419">
        <v>-0.1</v>
      </c>
      <c r="Q185" s="388">
        <v>0.16250000000000001</v>
      </c>
      <c r="R185" s="475">
        <v>0.17</v>
      </c>
      <c r="S185" s="365">
        <v>0.17</v>
      </c>
      <c r="T185" s="274">
        <v>0.6</v>
      </c>
      <c r="U185" s="494">
        <v>0.17</v>
      </c>
      <c r="V185" s="225">
        <v>3.2270000000000003</v>
      </c>
      <c r="W185" s="225">
        <v>3.3137809123509734</v>
      </c>
      <c r="X185" s="368">
        <v>3.2937545479622869</v>
      </c>
      <c r="Y185" s="226"/>
      <c r="Z185" s="465">
        <v>0.13</v>
      </c>
      <c r="AA185" s="481">
        <v>0.1</v>
      </c>
      <c r="AB185" s="487">
        <v>4.8341275591036608</v>
      </c>
      <c r="AC185" s="312">
        <v>4.9641275591036607</v>
      </c>
      <c r="AD185" s="368">
        <v>4.9341275591036604</v>
      </c>
      <c r="AE185" s="418">
        <v>3.835</v>
      </c>
      <c r="AF185" s="373">
        <v>3.6150000000000002</v>
      </c>
      <c r="AG185" s="374">
        <v>3.9350000000000001</v>
      </c>
      <c r="AH185" s="423">
        <v>-0.255</v>
      </c>
      <c r="AI185" s="467">
        <v>1.5805005534545</v>
      </c>
      <c r="AJ185" s="478">
        <v>6.13468991496844E-2</v>
      </c>
      <c r="AK185" s="478">
        <v>6.0040792259079101E-2</v>
      </c>
      <c r="AL185" s="354">
        <v>0.48219849010662763</v>
      </c>
      <c r="AM185" s="377">
        <v>0.48963378123254092</v>
      </c>
      <c r="AN185" s="353">
        <v>0.13</v>
      </c>
      <c r="AO185" s="378">
        <v>0.12</v>
      </c>
      <c r="AP185" s="238"/>
      <c r="AQ185" s="353">
        <v>-3.8317733545904225</v>
      </c>
      <c r="AR185" s="379">
        <v>-3.1237733545904227</v>
      </c>
      <c r="AS185" s="238"/>
      <c r="AT185" s="456">
        <v>7.4999999999999997E-3</v>
      </c>
      <c r="AU185" s="238"/>
      <c r="AV185" s="353">
        <v>2.5000000000000001E-3</v>
      </c>
      <c r="AW185" s="238">
        <v>5.0000000000000001E-3</v>
      </c>
      <c r="AX185" s="238">
        <v>-8.5000000000000006E-2</v>
      </c>
      <c r="AY185" s="354"/>
      <c r="AZ185" s="488">
        <v>0.85</v>
      </c>
      <c r="BA185" s="488"/>
      <c r="BB185" s="433">
        <v>-0.70799999999999996</v>
      </c>
      <c r="BC185" s="319"/>
      <c r="BD185" s="355">
        <v>3.9849999999999999</v>
      </c>
      <c r="BE185" s="238">
        <v>3.2286688636990575</v>
      </c>
      <c r="BF185" s="319"/>
      <c r="BG185" s="238">
        <v>0.65</v>
      </c>
      <c r="BH185" s="293"/>
      <c r="BI185" s="293"/>
      <c r="BJ185" s="238"/>
      <c r="BK185" s="319"/>
      <c r="BL185" s="238"/>
      <c r="BM185" s="238"/>
      <c r="BN185" s="256"/>
      <c r="BO185" s="256"/>
      <c r="BP185" s="293"/>
      <c r="BQ185" s="238"/>
      <c r="BR185" s="293"/>
      <c r="BS185" s="238"/>
      <c r="BT185" s="238"/>
      <c r="BU185" s="238"/>
      <c r="BV185" s="238"/>
      <c r="BW185" s="238"/>
      <c r="BX185" s="238"/>
      <c r="BY185" s="238"/>
      <c r="BZ185" s="238"/>
      <c r="CA185" s="238"/>
      <c r="CB185" s="238"/>
      <c r="CC185" s="238"/>
      <c r="CD185" s="238"/>
      <c r="CE185" s="238"/>
      <c r="CF185" s="238"/>
      <c r="CG185" s="238"/>
    </row>
    <row r="186" spans="1:85">
      <c r="A186" s="460">
        <v>41579</v>
      </c>
      <c r="B186" s="461">
        <v>4.08</v>
      </c>
      <c r="C186" s="498">
        <v>-0.64800000000000002</v>
      </c>
      <c r="D186" s="359">
        <v>-0.56123491477321386</v>
      </c>
      <c r="E186" s="359">
        <v>-0.12000000000000055</v>
      </c>
      <c r="F186" s="469">
        <v>0.17499999999999999</v>
      </c>
      <c r="G186" s="470">
        <v>0.32</v>
      </c>
      <c r="H186" s="470">
        <v>0.29499999999999998</v>
      </c>
      <c r="I186" s="471">
        <v>0.39500000000000002</v>
      </c>
      <c r="J186" s="470">
        <v>0.13</v>
      </c>
      <c r="K186" s="470">
        <v>0.16</v>
      </c>
      <c r="L186" s="470">
        <v>0.73</v>
      </c>
      <c r="M186" s="469">
        <v>-0.2</v>
      </c>
      <c r="N186" s="470">
        <v>0.35</v>
      </c>
      <c r="O186" s="471">
        <v>0</v>
      </c>
      <c r="P186" s="419">
        <v>0.248</v>
      </c>
      <c r="Q186" s="388">
        <v>0.16250000000000001</v>
      </c>
      <c r="R186" s="475">
        <v>0.17</v>
      </c>
      <c r="S186" s="365">
        <v>0.17</v>
      </c>
      <c r="T186" s="274">
        <v>0.8</v>
      </c>
      <c r="U186" s="494">
        <v>0.17</v>
      </c>
      <c r="V186" s="225">
        <v>3.4319999999999999</v>
      </c>
      <c r="W186" s="225">
        <v>3.5187650852267862</v>
      </c>
      <c r="X186" s="368">
        <v>3.96</v>
      </c>
      <c r="Y186" s="226"/>
      <c r="Z186" s="465">
        <v>0.13</v>
      </c>
      <c r="AA186" s="481">
        <v>0.79110162596611566</v>
      </c>
      <c r="AB186" s="487">
        <v>5.14216056877975</v>
      </c>
      <c r="AC186" s="312">
        <v>5.2721605687797499</v>
      </c>
      <c r="AD186" s="368">
        <v>5.9332621947458657</v>
      </c>
      <c r="AE186" s="418">
        <v>4.3280000000000003</v>
      </c>
      <c r="AF186" s="373">
        <v>3.88</v>
      </c>
      <c r="AG186" s="374">
        <v>4.08</v>
      </c>
      <c r="AH186" s="423">
        <v>-0.18</v>
      </c>
      <c r="AI186" s="467">
        <v>1.5807888581161098</v>
      </c>
      <c r="AJ186" s="478">
        <v>6.1392519621985102E-2</v>
      </c>
      <c r="AK186" s="478">
        <v>6.0080044967534704E-2</v>
      </c>
      <c r="AL186" s="354">
        <v>0.47947383181650066</v>
      </c>
      <c r="AM186" s="377">
        <v>0.48695592103678842</v>
      </c>
      <c r="AN186" s="353">
        <v>0.32</v>
      </c>
      <c r="AO186" s="378">
        <v>0.124</v>
      </c>
      <c r="AP186" s="238"/>
      <c r="AQ186" s="353">
        <v>-3.5143734054017308</v>
      </c>
      <c r="AR186" s="379">
        <v>-2.8663734054017307</v>
      </c>
      <c r="AS186" s="238"/>
      <c r="AT186" s="456">
        <v>7.4999999999999997E-3</v>
      </c>
      <c r="AU186" s="238"/>
      <c r="AV186" s="353">
        <v>8.0000000000000002E-3</v>
      </c>
      <c r="AW186" s="238">
        <v>0.02</v>
      </c>
      <c r="AX186" s="238">
        <v>5.0000000000000001E-3</v>
      </c>
      <c r="AY186" s="354"/>
      <c r="AZ186" s="488">
        <v>1.05</v>
      </c>
      <c r="BA186" s="488"/>
      <c r="BB186" s="433">
        <v>-0.64800000000000002</v>
      </c>
      <c r="BC186" s="319"/>
      <c r="BD186" s="355">
        <v>4.2300000000000004</v>
      </c>
      <c r="BE186" s="238">
        <v>3.4373393898601101</v>
      </c>
      <c r="BF186" s="319"/>
      <c r="BG186" s="238">
        <v>0.8</v>
      </c>
      <c r="BH186" s="293"/>
      <c r="BI186" s="293"/>
      <c r="BJ186" s="238"/>
      <c r="BK186" s="319"/>
      <c r="BL186" s="238"/>
      <c r="BM186" s="238"/>
      <c r="BN186" s="256"/>
      <c r="BO186" s="256"/>
      <c r="BP186" s="293"/>
      <c r="BQ186" s="238"/>
      <c r="BR186" s="293"/>
      <c r="BS186" s="238"/>
      <c r="BT186" s="238"/>
      <c r="BU186" s="238"/>
      <c r="BV186" s="238"/>
      <c r="BW186" s="238"/>
      <c r="BX186" s="238"/>
      <c r="BY186" s="238"/>
      <c r="BZ186" s="238"/>
      <c r="CA186" s="238"/>
      <c r="CB186" s="238"/>
      <c r="CC186" s="238"/>
      <c r="CD186" s="238"/>
      <c r="CE186" s="238"/>
      <c r="CF186" s="238"/>
      <c r="CG186" s="238"/>
    </row>
    <row r="187" spans="1:85">
      <c r="A187" s="356">
        <v>41609</v>
      </c>
      <c r="B187" s="461">
        <v>4.2309999999999999</v>
      </c>
      <c r="C187" s="497">
        <v>-0.64800000000000002</v>
      </c>
      <c r="D187" s="359">
        <v>-0.56125031462326058</v>
      </c>
      <c r="E187" s="359">
        <v>-0.12</v>
      </c>
      <c r="F187" s="469">
        <v>0.17499999999999999</v>
      </c>
      <c r="G187" s="470">
        <v>0.32</v>
      </c>
      <c r="H187" s="470">
        <v>0.29499999999999998</v>
      </c>
      <c r="I187" s="471">
        <v>0.39500000000000002</v>
      </c>
      <c r="J187" s="470">
        <v>0.13</v>
      </c>
      <c r="K187" s="470">
        <v>0.16</v>
      </c>
      <c r="L187" s="470">
        <v>0.98</v>
      </c>
      <c r="M187" s="469">
        <v>-0.2</v>
      </c>
      <c r="N187" s="470">
        <v>0.35</v>
      </c>
      <c r="O187" s="471">
        <v>0</v>
      </c>
      <c r="P187" s="419">
        <v>0.308</v>
      </c>
      <c r="Q187" s="388">
        <v>0.16250000000000001</v>
      </c>
      <c r="R187" s="475">
        <v>0.17</v>
      </c>
      <c r="S187" s="365">
        <v>0.17</v>
      </c>
      <c r="T187" s="274">
        <v>1</v>
      </c>
      <c r="U187" s="494">
        <v>0.17</v>
      </c>
      <c r="V187" s="225">
        <v>3.5829999999999997</v>
      </c>
      <c r="W187" s="225">
        <v>3.6697496853767393</v>
      </c>
      <c r="X187" s="368">
        <v>4.1109999999999998</v>
      </c>
      <c r="Y187" s="226"/>
      <c r="Z187" s="465">
        <v>0.13</v>
      </c>
      <c r="AA187" s="481">
        <v>0.79124206274533382</v>
      </c>
      <c r="AB187" s="487">
        <v>5.3693566492737403</v>
      </c>
      <c r="AC187" s="312">
        <v>5.4993566492737402</v>
      </c>
      <c r="AD187" s="368">
        <v>6.1605987120190742</v>
      </c>
      <c r="AE187" s="418">
        <v>4.5389999999999997</v>
      </c>
      <c r="AF187" s="373">
        <v>4.0309999999999997</v>
      </c>
      <c r="AG187" s="374">
        <v>4.2309999999999999</v>
      </c>
      <c r="AH187" s="423">
        <v>-0.18</v>
      </c>
      <c r="AI187" s="467">
        <v>1.5810694805906098</v>
      </c>
      <c r="AJ187" s="478">
        <v>6.1436668466804602E-2</v>
      </c>
      <c r="AK187" s="478">
        <v>6.0118031460075605E-2</v>
      </c>
      <c r="AL187" s="354">
        <v>0.47684831951657036</v>
      </c>
      <c r="AM187" s="377">
        <v>0.48437540948189334</v>
      </c>
      <c r="AN187" s="353">
        <v>0.32</v>
      </c>
      <c r="AO187" s="378">
        <v>0.12</v>
      </c>
      <c r="AP187" s="238"/>
      <c r="AQ187" s="353">
        <v>-3.6693850387352205</v>
      </c>
      <c r="AR187" s="379">
        <v>-3.0213850387352204</v>
      </c>
      <c r="AS187" s="238"/>
      <c r="AT187" s="456">
        <v>7.4999999999999997E-3</v>
      </c>
      <c r="AU187" s="238"/>
      <c r="AV187" s="353">
        <v>8.0000000000000002E-3</v>
      </c>
      <c r="AW187" s="238">
        <v>0.02</v>
      </c>
      <c r="AX187" s="238">
        <v>0.01</v>
      </c>
      <c r="AY187" s="354"/>
      <c r="AZ187" s="488">
        <v>1.25</v>
      </c>
      <c r="BA187" s="488"/>
      <c r="BB187" s="433">
        <v>-0.64800000000000002</v>
      </c>
      <c r="BC187" s="319"/>
      <c r="BD187" s="355">
        <v>4.3809999999999993</v>
      </c>
      <c r="BE187" s="238">
        <v>3.5883384421770299</v>
      </c>
      <c r="BF187" s="319"/>
      <c r="BG187" s="238">
        <v>1.1000000000000001</v>
      </c>
      <c r="BH187" s="293"/>
      <c r="BI187" s="293"/>
      <c r="BJ187" s="238"/>
      <c r="BK187" s="319"/>
      <c r="BL187" s="238"/>
      <c r="BM187" s="238"/>
      <c r="BN187" s="256"/>
      <c r="BO187" s="256"/>
      <c r="BP187" s="293"/>
      <c r="BQ187" s="238"/>
      <c r="BR187" s="293"/>
      <c r="BS187" s="238"/>
      <c r="BT187" s="238"/>
      <c r="BU187" s="238"/>
      <c r="BV187" s="238"/>
      <c r="BW187" s="238"/>
      <c r="BX187" s="238"/>
      <c r="BY187" s="238"/>
      <c r="BZ187" s="238"/>
      <c r="CA187" s="238"/>
      <c r="CB187" s="238"/>
      <c r="CC187" s="238"/>
      <c r="CD187" s="238"/>
      <c r="CE187" s="238"/>
      <c r="CF187" s="238"/>
      <c r="CG187" s="238"/>
    </row>
    <row r="188" spans="1:85">
      <c r="A188" s="356">
        <v>41640</v>
      </c>
      <c r="B188" s="461">
        <v>4.3319999999999999</v>
      </c>
      <c r="C188" s="497">
        <v>-0.64800000000000002</v>
      </c>
      <c r="D188" s="359">
        <v>-0.56126631380253977</v>
      </c>
      <c r="E188" s="359">
        <v>-0.12</v>
      </c>
      <c r="F188" s="469">
        <v>0.17499999999999999</v>
      </c>
      <c r="G188" s="470">
        <v>0.32</v>
      </c>
      <c r="H188" s="470">
        <v>0.29499999999999998</v>
      </c>
      <c r="I188" s="471">
        <v>0.39500000000000002</v>
      </c>
      <c r="J188" s="470">
        <v>0.13</v>
      </c>
      <c r="K188" s="470">
        <v>0.16</v>
      </c>
      <c r="L188" s="470">
        <v>1.6</v>
      </c>
      <c r="M188" s="469">
        <v>-0.2</v>
      </c>
      <c r="N188" s="470">
        <v>0.35</v>
      </c>
      <c r="O188" s="471">
        <v>0</v>
      </c>
      <c r="P188" s="419">
        <v>0.37800000000000006</v>
      </c>
      <c r="Q188" s="388">
        <v>0.16250000000000001</v>
      </c>
      <c r="R188" s="475">
        <v>0.17</v>
      </c>
      <c r="S188" s="365">
        <v>0.17</v>
      </c>
      <c r="T188" s="274">
        <v>1</v>
      </c>
      <c r="U188" s="494">
        <v>0.17</v>
      </c>
      <c r="V188" s="225">
        <v>3.6839999999999997</v>
      </c>
      <c r="W188" s="225">
        <v>3.7707336861974601</v>
      </c>
      <c r="X188" s="368">
        <v>4.2119999999999997</v>
      </c>
      <c r="Y188" s="226"/>
      <c r="Z188" s="465">
        <v>0.13</v>
      </c>
      <c r="AA188" s="481">
        <v>0.79138801784271173</v>
      </c>
      <c r="AB188" s="487">
        <v>5.5217300335843706</v>
      </c>
      <c r="AC188" s="312">
        <v>5.6517300335843705</v>
      </c>
      <c r="AD188" s="368">
        <v>6.3131180514270824</v>
      </c>
      <c r="AE188" s="418">
        <v>4.71</v>
      </c>
      <c r="AF188" s="373">
        <v>4.1319999999999997</v>
      </c>
      <c r="AG188" s="374">
        <v>4.3319999999999999</v>
      </c>
      <c r="AH188" s="423">
        <v>-0.18</v>
      </c>
      <c r="AI188" s="467">
        <v>1.5813611298353401</v>
      </c>
      <c r="AJ188" s="478">
        <v>6.1482288940464702E-2</v>
      </c>
      <c r="AK188" s="478">
        <v>6.0157284169538403E-2</v>
      </c>
      <c r="AL188" s="354">
        <v>0.47414689358426665</v>
      </c>
      <c r="AM188" s="377">
        <v>0.48172018461055782</v>
      </c>
      <c r="AN188" s="353">
        <v>0.32</v>
      </c>
      <c r="AO188" s="378">
        <v>0.12</v>
      </c>
      <c r="AP188" s="238"/>
      <c r="AQ188" s="353">
        <v>-3.7593972607875799</v>
      </c>
      <c r="AR188" s="379">
        <v>-3.1113972607875797</v>
      </c>
      <c r="AS188" s="238"/>
      <c r="AT188" s="456">
        <v>7.4999999999999997E-3</v>
      </c>
      <c r="AU188" s="238"/>
      <c r="AV188" s="353">
        <v>8.0000000000000002E-3</v>
      </c>
      <c r="AW188" s="238">
        <v>0.02</v>
      </c>
      <c r="AX188" s="238">
        <v>0.03</v>
      </c>
      <c r="AY188" s="354"/>
      <c r="AZ188" s="488">
        <v>1.25</v>
      </c>
      <c r="BA188" s="488"/>
      <c r="BB188" s="433">
        <v>-0.64800000000000002</v>
      </c>
      <c r="BC188" s="319"/>
      <c r="BD188" s="355">
        <v>4.4819999999999993</v>
      </c>
      <c r="BE188" s="238">
        <v>3.6893374576121509</v>
      </c>
      <c r="BF188" s="319"/>
      <c r="BG188" s="238">
        <v>1.1000000000000001</v>
      </c>
      <c r="BH188" s="293"/>
      <c r="BI188" s="293"/>
      <c r="BJ188" s="238"/>
      <c r="BK188" s="319"/>
      <c r="BL188" s="238"/>
      <c r="BM188" s="238"/>
      <c r="BN188" s="256"/>
      <c r="BO188" s="256"/>
      <c r="BP188" s="293"/>
      <c r="BQ188" s="238"/>
      <c r="BR188" s="293"/>
      <c r="BS188" s="238"/>
      <c r="BT188" s="238"/>
      <c r="BU188" s="238"/>
      <c r="BV188" s="238"/>
      <c r="BW188" s="238"/>
      <c r="BX188" s="238"/>
      <c r="BY188" s="238"/>
      <c r="BZ188" s="238"/>
      <c r="CA188" s="238"/>
      <c r="CB188" s="238"/>
      <c r="CC188" s="238"/>
      <c r="CD188" s="238"/>
      <c r="CE188" s="238"/>
      <c r="CF188" s="238"/>
      <c r="CG188" s="238"/>
    </row>
    <row r="189" spans="1:85">
      <c r="A189" s="356">
        <v>41671</v>
      </c>
      <c r="B189" s="461">
        <v>4.218</v>
      </c>
      <c r="C189" s="497">
        <v>-0.64800000000000002</v>
      </c>
      <c r="D189" s="359">
        <v>-0.56128240033813759</v>
      </c>
      <c r="E189" s="359">
        <v>-0.12000000000000099</v>
      </c>
      <c r="F189" s="469">
        <v>0.17499999999999999</v>
      </c>
      <c r="G189" s="470">
        <v>0.32</v>
      </c>
      <c r="H189" s="470">
        <v>0.29499999999999998</v>
      </c>
      <c r="I189" s="471">
        <v>0.39500000000000002</v>
      </c>
      <c r="J189" s="470">
        <v>0.13</v>
      </c>
      <c r="K189" s="470">
        <v>0.16</v>
      </c>
      <c r="L189" s="470">
        <v>1.6</v>
      </c>
      <c r="M189" s="469">
        <v>-0.2</v>
      </c>
      <c r="N189" s="470">
        <v>0.35</v>
      </c>
      <c r="O189" s="471">
        <v>0</v>
      </c>
      <c r="P189" s="419">
        <v>0.248</v>
      </c>
      <c r="Q189" s="388">
        <v>0.16250000000000001</v>
      </c>
      <c r="R189" s="475">
        <v>0.17</v>
      </c>
      <c r="S189" s="365">
        <v>0.17</v>
      </c>
      <c r="T189" s="274">
        <v>1</v>
      </c>
      <c r="U189" s="494">
        <v>0.17</v>
      </c>
      <c r="V189" s="225">
        <v>3.57</v>
      </c>
      <c r="W189" s="225">
        <v>3.6567175996618624</v>
      </c>
      <c r="X189" s="368">
        <v>4.097999999999999</v>
      </c>
      <c r="Y189" s="226"/>
      <c r="Z189" s="465">
        <v>0.13</v>
      </c>
      <c r="AA189" s="481">
        <v>0.79153482416081111</v>
      </c>
      <c r="AB189" s="487">
        <v>5.3518547769964009</v>
      </c>
      <c r="AC189" s="312">
        <v>5.4818547769964008</v>
      </c>
      <c r="AD189" s="368">
        <v>6.143389601157212</v>
      </c>
      <c r="AE189" s="418">
        <v>4.4660000000000002</v>
      </c>
      <c r="AF189" s="373">
        <v>4.0179999999999998</v>
      </c>
      <c r="AG189" s="374">
        <v>4.218</v>
      </c>
      <c r="AH189" s="423">
        <v>-0.18</v>
      </c>
      <c r="AI189" s="467">
        <v>1.5816544799996399</v>
      </c>
      <c r="AJ189" s="478">
        <v>6.1527909414815805E-2</v>
      </c>
      <c r="AK189" s="478">
        <v>6.0196536879512798E-2</v>
      </c>
      <c r="AL189" s="354">
        <v>0.47145723531358924</v>
      </c>
      <c r="AM189" s="377">
        <v>0.47907642040602932</v>
      </c>
      <c r="AN189" s="353">
        <v>0.32</v>
      </c>
      <c r="AO189" s="378">
        <v>0.13300000000000001</v>
      </c>
      <c r="AP189" s="238"/>
      <c r="AQ189" s="353">
        <v>-3.6454096870477937</v>
      </c>
      <c r="AR189" s="379">
        <v>-2.9974096870477935</v>
      </c>
      <c r="AS189" s="238"/>
      <c r="AT189" s="456">
        <v>7.4999999999999997E-3</v>
      </c>
      <c r="AU189" s="238"/>
      <c r="AV189" s="353">
        <v>8.0000000000000002E-3</v>
      </c>
      <c r="AW189" s="238">
        <v>0.02</v>
      </c>
      <c r="AX189" s="238">
        <v>2.5000000000000001E-2</v>
      </c>
      <c r="AY189" s="354"/>
      <c r="AZ189" s="488">
        <v>1.25</v>
      </c>
      <c r="BA189" s="488"/>
      <c r="BB189" s="433">
        <v>-0.64800000000000002</v>
      </c>
      <c r="BC189" s="319"/>
      <c r="BD189" s="355">
        <v>4.3679999999999994</v>
      </c>
      <c r="BE189" s="238">
        <v>3.5753364676714989</v>
      </c>
      <c r="BF189" s="319"/>
      <c r="BG189" s="238">
        <v>1.1000000000000001</v>
      </c>
      <c r="BH189" s="293"/>
      <c r="BI189" s="293"/>
      <c r="BJ189" s="238"/>
      <c r="BK189" s="319"/>
      <c r="BL189" s="238"/>
      <c r="BM189" s="238"/>
      <c r="BN189" s="256"/>
      <c r="BO189" s="256"/>
      <c r="BP189" s="293"/>
      <c r="BQ189" s="238"/>
      <c r="BR189" s="293"/>
      <c r="BS189" s="238"/>
      <c r="BT189" s="238"/>
      <c r="BU189" s="238"/>
      <c r="BV189" s="238"/>
      <c r="BW189" s="238"/>
      <c r="BX189" s="238"/>
      <c r="BY189" s="238"/>
      <c r="BZ189" s="238"/>
      <c r="CA189" s="238"/>
      <c r="CB189" s="238"/>
      <c r="CC189" s="238"/>
      <c r="CD189" s="238"/>
      <c r="CE189" s="238"/>
      <c r="CF189" s="238"/>
      <c r="CG189" s="238"/>
    </row>
    <row r="190" spans="1:85">
      <c r="A190" s="356">
        <v>41699</v>
      </c>
      <c r="B190" s="461">
        <v>4.0860000000000003</v>
      </c>
      <c r="C190" s="497">
        <v>-0.64800000000000002</v>
      </c>
      <c r="D190" s="359">
        <v>-0.56129700515087189</v>
      </c>
      <c r="E190" s="359">
        <v>-0.12</v>
      </c>
      <c r="F190" s="469">
        <v>0.17499999999999999</v>
      </c>
      <c r="G190" s="470">
        <v>0.32</v>
      </c>
      <c r="H190" s="470">
        <v>0.29499999999999998</v>
      </c>
      <c r="I190" s="471">
        <v>0.39500000000000002</v>
      </c>
      <c r="J190" s="470">
        <v>0.13</v>
      </c>
      <c r="K190" s="470">
        <v>0.16</v>
      </c>
      <c r="L190" s="470">
        <v>0.72</v>
      </c>
      <c r="M190" s="469">
        <v>-0.2</v>
      </c>
      <c r="N190" s="470">
        <v>0.35</v>
      </c>
      <c r="O190" s="471">
        <v>0</v>
      </c>
      <c r="P190" s="419">
        <v>6.8000000000000005E-2</v>
      </c>
      <c r="Q190" s="388">
        <v>0.16250000000000001</v>
      </c>
      <c r="R190" s="475">
        <v>0.17</v>
      </c>
      <c r="S190" s="365">
        <v>0.17</v>
      </c>
      <c r="T190" s="274">
        <v>0.75</v>
      </c>
      <c r="U190" s="494">
        <v>0.17</v>
      </c>
      <c r="V190" s="225">
        <v>3.4380000000000002</v>
      </c>
      <c r="W190" s="225">
        <v>3.5247029948491284</v>
      </c>
      <c r="X190" s="368">
        <v>3.9660000000000002</v>
      </c>
      <c r="Y190" s="226"/>
      <c r="Z190" s="465">
        <v>0.13</v>
      </c>
      <c r="AA190" s="481">
        <v>0.79166815540155611</v>
      </c>
      <c r="AB190" s="487">
        <v>5.1548392391487665</v>
      </c>
      <c r="AC190" s="312">
        <v>5.2848392391487664</v>
      </c>
      <c r="AD190" s="368">
        <v>5.9465073945503226</v>
      </c>
      <c r="AE190" s="418">
        <v>4.1539999999999999</v>
      </c>
      <c r="AF190" s="373">
        <v>3.8860000000000001</v>
      </c>
      <c r="AG190" s="374">
        <v>4.0860000000000003</v>
      </c>
      <c r="AH190" s="423">
        <v>-0.18</v>
      </c>
      <c r="AI190" s="467">
        <v>1.58192090410103</v>
      </c>
      <c r="AJ190" s="478">
        <v>6.1569115005146301E-2</v>
      </c>
      <c r="AK190" s="478">
        <v>6.0231990940575297E-2</v>
      </c>
      <c r="AL190" s="354">
        <v>0.46903795915061497</v>
      </c>
      <c r="AM190" s="377">
        <v>0.47669833112575666</v>
      </c>
      <c r="AN190" s="353">
        <v>0.32</v>
      </c>
      <c r="AO190" s="378">
        <v>0.12</v>
      </c>
      <c r="AP190" s="238"/>
      <c r="AQ190" s="353">
        <v>-3.5134210862644952</v>
      </c>
      <c r="AR190" s="379">
        <v>-2.8654210862644951</v>
      </c>
      <c r="AS190" s="238"/>
      <c r="AT190" s="456">
        <v>7.4999999999999997E-3</v>
      </c>
      <c r="AU190" s="238"/>
      <c r="AV190" s="353">
        <v>8.0000000000000002E-3</v>
      </c>
      <c r="AW190" s="238">
        <v>0.02</v>
      </c>
      <c r="AX190" s="238">
        <v>5.0000000000000001E-3</v>
      </c>
      <c r="AY190" s="354"/>
      <c r="AZ190" s="488">
        <v>1</v>
      </c>
      <c r="BA190" s="488"/>
      <c r="BB190" s="433">
        <v>-0.64800000000000002</v>
      </c>
      <c r="BC190" s="319"/>
      <c r="BD190" s="355">
        <v>4.2359999999999998</v>
      </c>
      <c r="BE190" s="238">
        <v>3.4433355689137928</v>
      </c>
      <c r="BF190" s="319"/>
      <c r="BG190" s="238">
        <v>0.75</v>
      </c>
      <c r="BH190" s="293"/>
      <c r="BI190" s="293"/>
      <c r="BJ190" s="238"/>
      <c r="BK190" s="319"/>
      <c r="BL190" s="238"/>
      <c r="BM190" s="238"/>
      <c r="BN190" s="256"/>
      <c r="BO190" s="256"/>
      <c r="BP190" s="293"/>
      <c r="BQ190" s="238"/>
      <c r="BR190" s="293"/>
      <c r="BS190" s="238"/>
      <c r="BT190" s="238"/>
      <c r="BU190" s="238"/>
      <c r="BV190" s="238"/>
      <c r="BW190" s="238"/>
      <c r="BX190" s="238"/>
      <c r="BY190" s="238"/>
      <c r="BZ190" s="238"/>
      <c r="CA190" s="238"/>
      <c r="CB190" s="238"/>
      <c r="CC190" s="238"/>
      <c r="CD190" s="238"/>
      <c r="CE190" s="238"/>
      <c r="CF190" s="238"/>
      <c r="CG190" s="238"/>
    </row>
    <row r="191" spans="1:85">
      <c r="A191" s="356">
        <v>41730</v>
      </c>
      <c r="B191" s="461">
        <v>3.8880000000000003</v>
      </c>
      <c r="C191" s="498">
        <v>-0.748</v>
      </c>
      <c r="D191" s="359">
        <v>-0.66131325779233796</v>
      </c>
      <c r="E191" s="359">
        <v>-0.68131789060949055</v>
      </c>
      <c r="F191" s="469">
        <v>0.13</v>
      </c>
      <c r="G191" s="470">
        <v>0.13</v>
      </c>
      <c r="H191" s="470">
        <v>0.16500000000000001</v>
      </c>
      <c r="I191" s="471">
        <v>0.125</v>
      </c>
      <c r="J191" s="470">
        <v>4.4999999999999998E-2</v>
      </c>
      <c r="K191" s="470">
        <v>0.115</v>
      </c>
      <c r="L191" s="470">
        <v>0.4</v>
      </c>
      <c r="M191" s="469">
        <v>-0.32</v>
      </c>
      <c r="N191" s="470">
        <v>0.43</v>
      </c>
      <c r="O191" s="471">
        <v>0</v>
      </c>
      <c r="P191" s="419">
        <v>-0.25</v>
      </c>
      <c r="Q191" s="388">
        <v>0.16250000000000001</v>
      </c>
      <c r="R191" s="475">
        <v>0.17</v>
      </c>
      <c r="S191" s="365">
        <v>0.17</v>
      </c>
      <c r="T191" s="274">
        <v>0.4</v>
      </c>
      <c r="U191" s="494">
        <v>0.17</v>
      </c>
      <c r="V191" s="225">
        <v>3.14</v>
      </c>
      <c r="W191" s="225">
        <v>3.2266867422076624</v>
      </c>
      <c r="X191" s="368">
        <v>3.2066821093905098</v>
      </c>
      <c r="Y191" s="226"/>
      <c r="Z191" s="465">
        <v>0.13</v>
      </c>
      <c r="AA191" s="481">
        <v>0.1</v>
      </c>
      <c r="AB191" s="487">
        <v>4.7089092242287602</v>
      </c>
      <c r="AC191" s="312">
        <v>4.8389092242287601</v>
      </c>
      <c r="AD191" s="368">
        <v>4.8089092242287599</v>
      </c>
      <c r="AE191" s="418">
        <v>3.6380000000000003</v>
      </c>
      <c r="AF191" s="373">
        <v>3.5680000000000005</v>
      </c>
      <c r="AG191" s="374">
        <v>3.8880000000000003</v>
      </c>
      <c r="AH191" s="423">
        <v>-0.255</v>
      </c>
      <c r="AI191" s="467">
        <v>1.58221749378277</v>
      </c>
      <c r="AJ191" s="478">
        <v>6.1614735480812796E-2</v>
      </c>
      <c r="AK191" s="478">
        <v>6.0271243651523601E-2</v>
      </c>
      <c r="AL191" s="354">
        <v>0.46637062435952437</v>
      </c>
      <c r="AM191" s="377">
        <v>0.47407629967750342</v>
      </c>
      <c r="AN191" s="353">
        <v>0.13</v>
      </c>
      <c r="AO191" s="378">
        <v>0.124</v>
      </c>
      <c r="AP191" s="238"/>
      <c r="AQ191" s="353">
        <v>-3.7778457628837976</v>
      </c>
      <c r="AR191" s="379">
        <v>-3.0298457628837978</v>
      </c>
      <c r="AS191" s="238"/>
      <c r="AT191" s="456">
        <v>7.4999999999999997E-3</v>
      </c>
      <c r="AU191" s="238"/>
      <c r="AV191" s="353">
        <v>2.5000000000000001E-3</v>
      </c>
      <c r="AW191" s="238">
        <v>5.0000000000000001E-3</v>
      </c>
      <c r="AX191" s="238">
        <v>-8.5000000000000006E-2</v>
      </c>
      <c r="AY191" s="354"/>
      <c r="AZ191" s="488">
        <v>0.65</v>
      </c>
      <c r="BA191" s="488"/>
      <c r="BB191" s="433">
        <v>-0.748</v>
      </c>
      <c r="BC191" s="319"/>
      <c r="BD191" s="355">
        <v>3.9380000000000002</v>
      </c>
      <c r="BE191" s="238">
        <v>3.1416670527347632</v>
      </c>
      <c r="BF191" s="319"/>
      <c r="BG191" s="238">
        <v>0.45</v>
      </c>
      <c r="BH191" s="293"/>
      <c r="BI191" s="293"/>
      <c r="BJ191" s="238"/>
      <c r="BK191" s="319"/>
      <c r="BL191" s="238"/>
      <c r="BM191" s="238"/>
      <c r="BN191" s="256"/>
      <c r="BO191" s="256"/>
      <c r="BP191" s="293"/>
      <c r="BQ191" s="238"/>
      <c r="BR191" s="293"/>
      <c r="BS191" s="238"/>
      <c r="BT191" s="238"/>
      <c r="BU191" s="238"/>
      <c r="BV191" s="238"/>
      <c r="BW191" s="238"/>
      <c r="BX191" s="238"/>
      <c r="BY191" s="238"/>
      <c r="BZ191" s="238"/>
      <c r="CA191" s="238"/>
      <c r="CB191" s="238"/>
      <c r="CC191" s="238"/>
      <c r="CD191" s="238"/>
      <c r="CE191" s="238"/>
      <c r="CF191" s="238"/>
      <c r="CG191" s="238"/>
    </row>
    <row r="192" spans="1:85">
      <c r="A192" s="356">
        <v>41760</v>
      </c>
      <c r="B192" s="461">
        <v>3.8840000000000003</v>
      </c>
      <c r="C192" s="497">
        <v>-0.748</v>
      </c>
      <c r="D192" s="359">
        <v>-0.66132906917698975</v>
      </c>
      <c r="E192" s="359">
        <v>-0.6813300532130695</v>
      </c>
      <c r="F192" s="469">
        <v>0.13</v>
      </c>
      <c r="G192" s="470">
        <v>0.13</v>
      </c>
      <c r="H192" s="470">
        <v>0.16500000000000001</v>
      </c>
      <c r="I192" s="471">
        <v>0.125</v>
      </c>
      <c r="J192" s="470">
        <v>4.4999999999999998E-2</v>
      </c>
      <c r="K192" s="470">
        <v>0.115</v>
      </c>
      <c r="L192" s="470">
        <v>0.35</v>
      </c>
      <c r="M192" s="469">
        <v>-0.32</v>
      </c>
      <c r="N192" s="470">
        <v>0.43</v>
      </c>
      <c r="O192" s="471">
        <v>0</v>
      </c>
      <c r="P192" s="419">
        <v>-0.1</v>
      </c>
      <c r="Q192" s="388">
        <v>0.16250000000000001</v>
      </c>
      <c r="R192" s="475">
        <v>0.17</v>
      </c>
      <c r="S192" s="365">
        <v>0.17</v>
      </c>
      <c r="T192" s="274">
        <v>0.45</v>
      </c>
      <c r="U192" s="494">
        <v>0.17</v>
      </c>
      <c r="V192" s="225">
        <v>3.1360000000000001</v>
      </c>
      <c r="W192" s="225">
        <v>3.2226709308230106</v>
      </c>
      <c r="X192" s="368">
        <v>3.2026699467869308</v>
      </c>
      <c r="Y192" s="226"/>
      <c r="Z192" s="465">
        <v>0.13</v>
      </c>
      <c r="AA192" s="481">
        <v>0.1</v>
      </c>
      <c r="AB192" s="487">
        <v>4.7037685661011066</v>
      </c>
      <c r="AC192" s="312">
        <v>4.8337685661011065</v>
      </c>
      <c r="AD192" s="368">
        <v>4.8037685661011063</v>
      </c>
      <c r="AE192" s="418">
        <v>3.7840000000000003</v>
      </c>
      <c r="AF192" s="373">
        <v>3.5640000000000005</v>
      </c>
      <c r="AG192" s="374">
        <v>3.8840000000000003</v>
      </c>
      <c r="AH192" s="423">
        <v>-0.255</v>
      </c>
      <c r="AI192" s="467">
        <v>1.5825061378432299</v>
      </c>
      <c r="AJ192" s="478">
        <v>6.1658884328889198E-2</v>
      </c>
      <c r="AK192" s="478">
        <v>6.0309230146477599E-2</v>
      </c>
      <c r="AL192" s="354">
        <v>0.46380046399657421</v>
      </c>
      <c r="AM192" s="377">
        <v>0.47154968262712249</v>
      </c>
      <c r="AN192" s="353">
        <v>0.13</v>
      </c>
      <c r="AO192" s="378">
        <v>0.12</v>
      </c>
      <c r="AP192" s="238"/>
      <c r="AQ192" s="353">
        <v>-3.7738579204035623</v>
      </c>
      <c r="AR192" s="379">
        <v>-3.0258579204035625</v>
      </c>
      <c r="AS192" s="238"/>
      <c r="AT192" s="456">
        <v>7.4999999999999997E-3</v>
      </c>
      <c r="AU192" s="238"/>
      <c r="AV192" s="353">
        <v>2.5000000000000001E-3</v>
      </c>
      <c r="AW192" s="238">
        <v>5.0000000000000001E-3</v>
      </c>
      <c r="AX192" s="238">
        <v>-8.5000000000000006E-2</v>
      </c>
      <c r="AY192" s="354"/>
      <c r="AZ192" s="488">
        <v>0.7</v>
      </c>
      <c r="BA192" s="488"/>
      <c r="BB192" s="433">
        <v>-0.748</v>
      </c>
      <c r="BC192" s="319"/>
      <c r="BD192" s="355">
        <v>3.9340000000000002</v>
      </c>
      <c r="BE192" s="238">
        <v>3.1376667486696732</v>
      </c>
      <c r="BF192" s="319"/>
      <c r="BG192" s="238">
        <v>0.5</v>
      </c>
      <c r="BH192" s="293"/>
      <c r="BI192" s="293"/>
      <c r="BJ192" s="238"/>
      <c r="BK192" s="319"/>
      <c r="BL192" s="238"/>
      <c r="BM192" s="238"/>
      <c r="BN192" s="256"/>
      <c r="BO192" s="256"/>
      <c r="BP192" s="293"/>
      <c r="BQ192" s="238"/>
      <c r="BR192" s="293"/>
      <c r="BS192" s="238"/>
      <c r="BT192" s="238"/>
      <c r="BU192" s="238"/>
      <c r="BV192" s="238"/>
      <c r="BW192" s="238"/>
      <c r="BX192" s="238"/>
      <c r="BY192" s="238"/>
      <c r="BZ192" s="238"/>
      <c r="CA192" s="238"/>
      <c r="CB192" s="238"/>
      <c r="CC192" s="238"/>
      <c r="CD192" s="238"/>
      <c r="CE192" s="238"/>
      <c r="CF192" s="238"/>
      <c r="CG192" s="238"/>
    </row>
    <row r="193" spans="1:85">
      <c r="A193" s="356">
        <v>41791</v>
      </c>
      <c r="B193" s="461">
        <v>3.9160000000000004</v>
      </c>
      <c r="C193" s="497">
        <v>-0.748</v>
      </c>
      <c r="D193" s="359">
        <v>-0.66134549334261061</v>
      </c>
      <c r="E193" s="359">
        <v>-0.68134268718662394</v>
      </c>
      <c r="F193" s="469">
        <v>0.13</v>
      </c>
      <c r="G193" s="470">
        <v>0.13</v>
      </c>
      <c r="H193" s="470">
        <v>0.16500000000000001</v>
      </c>
      <c r="I193" s="471">
        <v>0.125</v>
      </c>
      <c r="J193" s="470">
        <v>4.4999999999999998E-2</v>
      </c>
      <c r="K193" s="470">
        <v>0.115</v>
      </c>
      <c r="L193" s="470">
        <v>0.39</v>
      </c>
      <c r="M193" s="469">
        <v>-0.32</v>
      </c>
      <c r="N193" s="470">
        <v>0.43</v>
      </c>
      <c r="O193" s="471">
        <v>0</v>
      </c>
      <c r="P193" s="419">
        <v>-0.1</v>
      </c>
      <c r="Q193" s="388">
        <v>0.16250000000000001</v>
      </c>
      <c r="R193" s="475">
        <v>0.17</v>
      </c>
      <c r="S193" s="365">
        <v>0.17</v>
      </c>
      <c r="T193" s="274">
        <v>0.45</v>
      </c>
      <c r="U193" s="494">
        <v>0.17</v>
      </c>
      <c r="V193" s="225">
        <v>3.1680000000000001</v>
      </c>
      <c r="W193" s="225">
        <v>3.2546545066573898</v>
      </c>
      <c r="X193" s="368">
        <v>3.2346573128133764</v>
      </c>
      <c r="Y193" s="226"/>
      <c r="Z193" s="465">
        <v>0.13</v>
      </c>
      <c r="AA193" s="481">
        <v>0.1</v>
      </c>
      <c r="AB193" s="487">
        <v>4.752666836224841</v>
      </c>
      <c r="AC193" s="312">
        <v>4.8826668362248409</v>
      </c>
      <c r="AD193" s="368">
        <v>4.8526668362248406</v>
      </c>
      <c r="AE193" s="418">
        <v>3.8160000000000003</v>
      </c>
      <c r="AF193" s="373">
        <v>3.5960000000000005</v>
      </c>
      <c r="AG193" s="374">
        <v>3.9160000000000004</v>
      </c>
      <c r="AH193" s="423">
        <v>-0.255</v>
      </c>
      <c r="AI193" s="467">
        <v>1.58280608003789</v>
      </c>
      <c r="AJ193" s="478">
        <v>6.1704504805915501E-2</v>
      </c>
      <c r="AK193" s="478">
        <v>6.03484828584335E-2</v>
      </c>
      <c r="AL193" s="354">
        <v>0.46115610801998025</v>
      </c>
      <c r="AM193" s="377">
        <v>0.46895001067820874</v>
      </c>
      <c r="AN193" s="353">
        <v>0.13</v>
      </c>
      <c r="AO193" s="378">
        <v>0.124</v>
      </c>
      <c r="AP193" s="238"/>
      <c r="AQ193" s="353">
        <v>-3.8058705490962765</v>
      </c>
      <c r="AR193" s="379">
        <v>-3.0578705490962763</v>
      </c>
      <c r="AS193" s="238"/>
      <c r="AT193" s="456">
        <v>7.4999999999999997E-3</v>
      </c>
      <c r="AU193" s="238"/>
      <c r="AV193" s="353">
        <v>2.5000000000000001E-3</v>
      </c>
      <c r="AW193" s="238">
        <v>5.0000000000000001E-3</v>
      </c>
      <c r="AX193" s="238">
        <v>-8.5000000000000006E-2</v>
      </c>
      <c r="AY193" s="354"/>
      <c r="AZ193" s="488">
        <v>0.7</v>
      </c>
      <c r="BA193" s="488"/>
      <c r="BB193" s="433">
        <v>-0.748</v>
      </c>
      <c r="BC193" s="319"/>
      <c r="BD193" s="355">
        <v>3.9660000000000002</v>
      </c>
      <c r="BE193" s="238">
        <v>3.1696664328203346</v>
      </c>
      <c r="BF193" s="238"/>
      <c r="BG193" s="238">
        <v>0.5</v>
      </c>
      <c r="BH193" s="238"/>
      <c r="BI193" s="238"/>
      <c r="BJ193" s="238"/>
      <c r="BK193" s="319"/>
      <c r="BL193" s="238"/>
      <c r="BM193" s="238"/>
      <c r="BN193" s="256"/>
      <c r="BO193" s="256"/>
      <c r="BP193" s="293"/>
      <c r="BQ193" s="238"/>
      <c r="BR193" s="293"/>
      <c r="BS193" s="238"/>
      <c r="BT193" s="238"/>
      <c r="BU193" s="238"/>
      <c r="BV193" s="238"/>
      <c r="BW193" s="238"/>
      <c r="BX193" s="238"/>
      <c r="BY193" s="238"/>
      <c r="BZ193" s="238"/>
      <c r="CA193" s="238"/>
      <c r="CB193" s="238"/>
      <c r="CC193" s="238"/>
      <c r="CD193" s="238"/>
      <c r="CE193" s="238"/>
      <c r="CF193" s="238"/>
      <c r="CG193" s="238"/>
    </row>
    <row r="194" spans="1:85">
      <c r="A194" s="356">
        <v>41821</v>
      </c>
      <c r="B194" s="461">
        <v>3.9660000000000002</v>
      </c>
      <c r="C194" s="497">
        <v>-0.748</v>
      </c>
      <c r="D194" s="359">
        <v>-0.66136147061317896</v>
      </c>
      <c r="E194" s="359">
        <v>-0.68135497739475337</v>
      </c>
      <c r="F194" s="469">
        <v>0.13</v>
      </c>
      <c r="G194" s="470">
        <v>0.13</v>
      </c>
      <c r="H194" s="470">
        <v>0.16500000000000001</v>
      </c>
      <c r="I194" s="471">
        <v>0.125</v>
      </c>
      <c r="J194" s="470">
        <v>4.4999999999999998E-2</v>
      </c>
      <c r="K194" s="470">
        <v>0.115</v>
      </c>
      <c r="L194" s="470">
        <v>0.43</v>
      </c>
      <c r="M194" s="469">
        <v>-0.32</v>
      </c>
      <c r="N194" s="470">
        <v>0.43</v>
      </c>
      <c r="O194" s="471">
        <v>0</v>
      </c>
      <c r="P194" s="419">
        <v>-0.1</v>
      </c>
      <c r="Q194" s="388">
        <v>0.16250000000000001</v>
      </c>
      <c r="R194" s="475">
        <v>0.17</v>
      </c>
      <c r="S194" s="365">
        <v>0.17</v>
      </c>
      <c r="T194" s="274">
        <v>0.5</v>
      </c>
      <c r="U194" s="494">
        <v>0.17</v>
      </c>
      <c r="V194" s="225">
        <v>3.218</v>
      </c>
      <c r="W194" s="225">
        <v>3.3046385293868212</v>
      </c>
      <c r="X194" s="368">
        <v>3.2846450226052468</v>
      </c>
      <c r="Y194" s="226"/>
      <c r="Z194" s="465">
        <v>0.13</v>
      </c>
      <c r="AA194" s="481">
        <v>0.1</v>
      </c>
      <c r="AB194" s="487">
        <v>4.8285676472208658</v>
      </c>
      <c r="AC194" s="312">
        <v>4.9585676472208657</v>
      </c>
      <c r="AD194" s="368">
        <v>4.9285676472208655</v>
      </c>
      <c r="AE194" s="418">
        <v>3.8660000000000001</v>
      </c>
      <c r="AF194" s="373">
        <v>3.6460000000000004</v>
      </c>
      <c r="AG194" s="374">
        <v>3.9660000000000002</v>
      </c>
      <c r="AH194" s="423">
        <v>-0.255</v>
      </c>
      <c r="AI194" s="467">
        <v>1.5830979700454499</v>
      </c>
      <c r="AJ194" s="478">
        <v>6.1748653655308204E-2</v>
      </c>
      <c r="AK194" s="478">
        <v>6.0386469354362302E-2</v>
      </c>
      <c r="AL194" s="354">
        <v>0.45860813503442521</v>
      </c>
      <c r="AM194" s="377">
        <v>0.46644497759031828</v>
      </c>
      <c r="AN194" s="353">
        <v>0.13</v>
      </c>
      <c r="AO194" s="378">
        <v>0.12</v>
      </c>
      <c r="AP194" s="238"/>
      <c r="AQ194" s="353">
        <v>-3.8558828341672546</v>
      </c>
      <c r="AR194" s="379">
        <v>-3.1078828341672544</v>
      </c>
      <c r="AS194" s="238"/>
      <c r="AT194" s="456">
        <v>7.4999999999999997E-3</v>
      </c>
      <c r="AU194" s="238"/>
      <c r="AV194" s="353">
        <v>2.5000000000000001E-3</v>
      </c>
      <c r="AW194" s="238">
        <v>5.0000000000000001E-3</v>
      </c>
      <c r="AX194" s="238">
        <v>-8.5000000000000006E-2</v>
      </c>
      <c r="AY194" s="354"/>
      <c r="AZ194" s="488">
        <v>0.75</v>
      </c>
      <c r="BA194" s="488"/>
      <c r="BB194" s="433">
        <v>-0.748</v>
      </c>
      <c r="BC194" s="319"/>
      <c r="BD194" s="355">
        <v>4.016</v>
      </c>
      <c r="BE194" s="238">
        <v>3.2196661255651313</v>
      </c>
      <c r="BF194" s="238"/>
      <c r="BG194" s="238">
        <v>0.55000000000000004</v>
      </c>
      <c r="BH194" s="238"/>
      <c r="BI194" s="238"/>
      <c r="BJ194" s="238"/>
      <c r="BK194" s="319"/>
      <c r="BL194" s="238"/>
      <c r="BM194" s="238"/>
      <c r="BN194" s="256"/>
      <c r="BO194" s="256"/>
      <c r="BP194" s="293"/>
      <c r="BQ194" s="238"/>
      <c r="BR194" s="293"/>
      <c r="BS194" s="238"/>
      <c r="BT194" s="238"/>
      <c r="BU194" s="238"/>
      <c r="BV194" s="238"/>
      <c r="BW194" s="238"/>
      <c r="BX194" s="238"/>
      <c r="BY194" s="238"/>
      <c r="BZ194" s="238"/>
      <c r="CA194" s="238"/>
      <c r="CB194" s="238"/>
      <c r="CC194" s="238"/>
      <c r="CD194" s="238"/>
      <c r="CE194" s="238"/>
      <c r="CF194" s="238"/>
      <c r="CG194" s="238"/>
    </row>
    <row r="195" spans="1:85">
      <c r="A195" s="356">
        <v>41852</v>
      </c>
      <c r="B195" s="461">
        <v>4</v>
      </c>
      <c r="C195" s="497">
        <v>-0.748</v>
      </c>
      <c r="D195" s="359">
        <v>-0.66137806608504635</v>
      </c>
      <c r="E195" s="359">
        <v>-0.6813677431423435</v>
      </c>
      <c r="F195" s="469">
        <v>0.13</v>
      </c>
      <c r="G195" s="470">
        <v>0.13</v>
      </c>
      <c r="H195" s="470">
        <v>0.16500000000000001</v>
      </c>
      <c r="I195" s="471">
        <v>0.125</v>
      </c>
      <c r="J195" s="470">
        <v>4.4999999999999998E-2</v>
      </c>
      <c r="K195" s="470">
        <v>0.115</v>
      </c>
      <c r="L195" s="470">
        <v>0.43</v>
      </c>
      <c r="M195" s="469">
        <v>-0.32</v>
      </c>
      <c r="N195" s="470">
        <v>0.43</v>
      </c>
      <c r="O195" s="471">
        <v>0</v>
      </c>
      <c r="P195" s="419">
        <v>-0.1</v>
      </c>
      <c r="Q195" s="388">
        <v>0.16250000000000001</v>
      </c>
      <c r="R195" s="475">
        <v>0.17</v>
      </c>
      <c r="S195" s="365">
        <v>0.17</v>
      </c>
      <c r="T195" s="274">
        <v>0.55000000000000004</v>
      </c>
      <c r="U195" s="494">
        <v>0.17</v>
      </c>
      <c r="V195" s="225">
        <v>3.2519999999999998</v>
      </c>
      <c r="W195" s="225">
        <v>3.3386219339149537</v>
      </c>
      <c r="X195" s="368">
        <v>3.3186322568576565</v>
      </c>
      <c r="Y195" s="226"/>
      <c r="Z195" s="465">
        <v>0.13</v>
      </c>
      <c r="AA195" s="481">
        <v>0.1</v>
      </c>
      <c r="AB195" s="487">
        <v>4.8805190659339086</v>
      </c>
      <c r="AC195" s="312">
        <v>5.0105190659339085</v>
      </c>
      <c r="AD195" s="368">
        <v>4.9805190659339083</v>
      </c>
      <c r="AE195" s="418">
        <v>3.9</v>
      </c>
      <c r="AF195" s="373">
        <v>3.68</v>
      </c>
      <c r="AG195" s="374">
        <v>4</v>
      </c>
      <c r="AH195" s="423">
        <v>-0.255</v>
      </c>
      <c r="AI195" s="467">
        <v>1.5834012680282799</v>
      </c>
      <c r="AJ195" s="478">
        <v>6.17942741336934E-2</v>
      </c>
      <c r="AK195" s="478">
        <v>6.0425722067325903E-2</v>
      </c>
      <c r="AL195" s="354">
        <v>0.45598665394469667</v>
      </c>
      <c r="AM195" s="377">
        <v>0.46386755288146664</v>
      </c>
      <c r="AN195" s="353">
        <v>0.13</v>
      </c>
      <c r="AO195" s="378">
        <v>0.12</v>
      </c>
      <c r="AP195" s="238"/>
      <c r="AQ195" s="353">
        <v>-3.8898955945789249</v>
      </c>
      <c r="AR195" s="379">
        <v>-3.1418955945789246</v>
      </c>
      <c r="AS195" s="238"/>
      <c r="AT195" s="456">
        <v>7.4999999999999997E-3</v>
      </c>
      <c r="AU195" s="238"/>
      <c r="AV195" s="353">
        <v>2.5000000000000001E-3</v>
      </c>
      <c r="AW195" s="238">
        <v>5.0000000000000001E-3</v>
      </c>
      <c r="AX195" s="238">
        <v>-8.5000000000000006E-2</v>
      </c>
      <c r="AY195" s="354"/>
      <c r="AZ195" s="488">
        <v>0.8</v>
      </c>
      <c r="BA195" s="488"/>
      <c r="BB195" s="433">
        <v>-0.748</v>
      </c>
      <c r="BC195" s="319"/>
      <c r="BD195" s="355">
        <v>4.05</v>
      </c>
      <c r="BE195" s="238">
        <v>3.253665806421441</v>
      </c>
      <c r="BF195" s="238"/>
      <c r="BG195" s="238">
        <v>0.6</v>
      </c>
      <c r="BH195" s="238"/>
      <c r="BI195" s="238"/>
      <c r="BJ195" s="238"/>
      <c r="BK195" s="319"/>
      <c r="BL195" s="238"/>
      <c r="BM195" s="238"/>
      <c r="BN195" s="256"/>
      <c r="BO195" s="256"/>
      <c r="BP195" s="293"/>
      <c r="BQ195" s="238"/>
      <c r="BR195" s="293"/>
      <c r="BS195" s="238"/>
      <c r="BT195" s="238"/>
      <c r="BU195" s="238"/>
      <c r="BV195" s="238"/>
      <c r="BW195" s="238"/>
      <c r="BX195" s="238"/>
      <c r="BY195" s="238"/>
      <c r="BZ195" s="238"/>
      <c r="CA195" s="238"/>
      <c r="CB195" s="238"/>
      <c r="CC195" s="238"/>
      <c r="CD195" s="238"/>
      <c r="CE195" s="238"/>
      <c r="CF195" s="238"/>
      <c r="CG195" s="238"/>
    </row>
    <row r="196" spans="1:85">
      <c r="A196" s="356">
        <v>41883</v>
      </c>
      <c r="B196" s="461">
        <v>4.0129999999999999</v>
      </c>
      <c r="C196" s="497">
        <v>-0.748</v>
      </c>
      <c r="D196" s="359">
        <v>-0.66139474853005042</v>
      </c>
      <c r="E196" s="359">
        <v>-0.68138057579234701</v>
      </c>
      <c r="F196" s="469">
        <v>0.13</v>
      </c>
      <c r="G196" s="470">
        <v>0.13</v>
      </c>
      <c r="H196" s="470">
        <v>0.16500000000000001</v>
      </c>
      <c r="I196" s="471">
        <v>0.125</v>
      </c>
      <c r="J196" s="470">
        <v>4.4999999999999998E-2</v>
      </c>
      <c r="K196" s="470">
        <v>0.115</v>
      </c>
      <c r="L196" s="470">
        <v>0.38</v>
      </c>
      <c r="M196" s="469">
        <v>-0.32</v>
      </c>
      <c r="N196" s="470">
        <v>0.43</v>
      </c>
      <c r="O196" s="471">
        <v>0</v>
      </c>
      <c r="P196" s="419">
        <v>-0.1</v>
      </c>
      <c r="Q196" s="388">
        <v>0.16250000000000001</v>
      </c>
      <c r="R196" s="475">
        <v>0.17</v>
      </c>
      <c r="S196" s="365">
        <v>0.17</v>
      </c>
      <c r="T196" s="274">
        <v>0.55000000000000004</v>
      </c>
      <c r="U196" s="494">
        <v>0.17</v>
      </c>
      <c r="V196" s="225">
        <v>3.2650000000000001</v>
      </c>
      <c r="W196" s="225">
        <v>3.3516052514699495</v>
      </c>
      <c r="X196" s="368">
        <v>3.3316194242076529</v>
      </c>
      <c r="Y196" s="226"/>
      <c r="Z196" s="465">
        <v>0.13</v>
      </c>
      <c r="AA196" s="481">
        <v>0.1</v>
      </c>
      <c r="AB196" s="487">
        <v>4.9009730102484195</v>
      </c>
      <c r="AC196" s="312">
        <v>5.0309730102484194</v>
      </c>
      <c r="AD196" s="368">
        <v>5.0009730102484191</v>
      </c>
      <c r="AE196" s="418">
        <v>3.9129999999999998</v>
      </c>
      <c r="AF196" s="373">
        <v>3.6930000000000001</v>
      </c>
      <c r="AG196" s="374">
        <v>4.0129999999999999</v>
      </c>
      <c r="AH196" s="423">
        <v>-0.255</v>
      </c>
      <c r="AI196" s="467">
        <v>1.5837062726801399</v>
      </c>
      <c r="AJ196" s="478">
        <v>6.1839894612770105E-2</v>
      </c>
      <c r="AK196" s="478">
        <v>6.0464974780800602E-2</v>
      </c>
      <c r="AL196" s="354">
        <v>0.45337675770174163</v>
      </c>
      <c r="AM196" s="377">
        <v>0.46130139097952355</v>
      </c>
      <c r="AN196" s="353">
        <v>0.13</v>
      </c>
      <c r="AO196" s="378">
        <v>0.124</v>
      </c>
      <c r="AP196" s="238"/>
      <c r="AQ196" s="353">
        <v>-3.9029084218650438</v>
      </c>
      <c r="AR196" s="379">
        <v>-3.1549084218650441</v>
      </c>
      <c r="AS196" s="238"/>
      <c r="AT196" s="456">
        <v>7.4999999999999997E-3</v>
      </c>
      <c r="AU196" s="238"/>
      <c r="AV196" s="353">
        <v>2.5000000000000001E-3</v>
      </c>
      <c r="AW196" s="238">
        <v>5.0000000000000001E-3</v>
      </c>
      <c r="AX196" s="238">
        <v>-8.5000000000000006E-2</v>
      </c>
      <c r="AY196" s="354"/>
      <c r="AZ196" s="488">
        <v>0.8</v>
      </c>
      <c r="BA196" s="488"/>
      <c r="BB196" s="433">
        <v>-0.748</v>
      </c>
      <c r="BC196" s="319"/>
      <c r="BD196" s="355">
        <v>4.0629999999999997</v>
      </c>
      <c r="BE196" s="238">
        <v>3.2666654856051909</v>
      </c>
      <c r="BF196" s="238"/>
      <c r="BG196" s="238">
        <v>0.6</v>
      </c>
      <c r="BH196" s="238"/>
      <c r="BI196" s="238"/>
      <c r="BJ196" s="238"/>
      <c r="BK196" s="319"/>
      <c r="BL196" s="238"/>
      <c r="BM196" s="238"/>
      <c r="BN196" s="256"/>
      <c r="BO196" s="256"/>
      <c r="BP196" s="293"/>
      <c r="BQ196" s="238"/>
      <c r="BR196" s="293"/>
      <c r="BS196" s="238"/>
      <c r="BT196" s="238"/>
      <c r="BU196" s="238"/>
      <c r="BV196" s="238"/>
      <c r="BW196" s="238"/>
      <c r="BX196" s="238"/>
      <c r="BY196" s="238"/>
      <c r="BZ196" s="238"/>
      <c r="CA196" s="238"/>
      <c r="CB196" s="238"/>
      <c r="CC196" s="238"/>
      <c r="CD196" s="238"/>
      <c r="CE196" s="238"/>
      <c r="CF196" s="238"/>
      <c r="CG196" s="238"/>
    </row>
    <row r="197" spans="1:85">
      <c r="A197" s="356">
        <v>41913</v>
      </c>
      <c r="B197" s="461">
        <v>4.0250000000000004</v>
      </c>
      <c r="C197" s="497">
        <v>-0.748</v>
      </c>
      <c r="D197" s="359">
        <v>-0.66141097558795225</v>
      </c>
      <c r="E197" s="359">
        <v>-0.68139305814457884</v>
      </c>
      <c r="F197" s="469">
        <v>0.13</v>
      </c>
      <c r="G197" s="470">
        <v>0.13</v>
      </c>
      <c r="H197" s="470">
        <v>0.16500000000000001</v>
      </c>
      <c r="I197" s="471">
        <v>0.125</v>
      </c>
      <c r="J197" s="470">
        <v>4.4999999999999998E-2</v>
      </c>
      <c r="K197" s="470">
        <v>0.115</v>
      </c>
      <c r="L197" s="470">
        <v>0.42</v>
      </c>
      <c r="M197" s="469">
        <v>-0.32</v>
      </c>
      <c r="N197" s="470">
        <v>0.43</v>
      </c>
      <c r="O197" s="471">
        <v>0</v>
      </c>
      <c r="P197" s="419">
        <v>-0.1</v>
      </c>
      <c r="Q197" s="388">
        <v>0.16250000000000001</v>
      </c>
      <c r="R197" s="475">
        <v>0.17</v>
      </c>
      <c r="S197" s="365">
        <v>0.17</v>
      </c>
      <c r="T197" s="274">
        <v>0.6</v>
      </c>
      <c r="U197" s="494">
        <v>0.17</v>
      </c>
      <c r="V197" s="225">
        <v>3.2770000000000001</v>
      </c>
      <c r="W197" s="225">
        <v>3.3635890244120481</v>
      </c>
      <c r="X197" s="368">
        <v>3.3436069418554215</v>
      </c>
      <c r="Y197" s="226"/>
      <c r="Z197" s="465">
        <v>0.13</v>
      </c>
      <c r="AA197" s="481">
        <v>0.1</v>
      </c>
      <c r="AB197" s="487">
        <v>4.919907608298705</v>
      </c>
      <c r="AC197" s="312">
        <v>5.0499076082987049</v>
      </c>
      <c r="AD197" s="368">
        <v>5.0199076082987046</v>
      </c>
      <c r="AE197" s="418">
        <v>3.9249999999999998</v>
      </c>
      <c r="AF197" s="373">
        <v>3.7050000000000001</v>
      </c>
      <c r="AG197" s="374">
        <v>4.0250000000000004</v>
      </c>
      <c r="AH197" s="423">
        <v>-0.255</v>
      </c>
      <c r="AI197" s="467">
        <v>1.5840030642603597</v>
      </c>
      <c r="AJ197" s="478">
        <v>6.1884043464146998E-2</v>
      </c>
      <c r="AK197" s="478">
        <v>6.0502961278199305E-2</v>
      </c>
      <c r="AL197" s="354">
        <v>0.45086205639333915</v>
      </c>
      <c r="AM197" s="377">
        <v>0.45882870471299475</v>
      </c>
      <c r="AN197" s="353">
        <v>0.13</v>
      </c>
      <c r="AO197" s="378">
        <v>0.12</v>
      </c>
      <c r="AP197" s="238"/>
      <c r="AQ197" s="353">
        <v>-3.9119208989998109</v>
      </c>
      <c r="AR197" s="379">
        <v>-3.1639208989998107</v>
      </c>
      <c r="AS197" s="238"/>
      <c r="AT197" s="456">
        <v>7.4999999999999997E-3</v>
      </c>
      <c r="AU197" s="238"/>
      <c r="AV197" s="353">
        <v>2.5000000000000001E-3</v>
      </c>
      <c r="AW197" s="238">
        <v>5.0000000000000001E-3</v>
      </c>
      <c r="AX197" s="238">
        <v>-8.5000000000000006E-2</v>
      </c>
      <c r="AY197" s="354"/>
      <c r="AZ197" s="488">
        <v>0.85</v>
      </c>
      <c r="BA197" s="488"/>
      <c r="BB197" s="433">
        <v>-0.748</v>
      </c>
      <c r="BC197" s="319"/>
      <c r="BD197" s="355">
        <v>4.0750000000000002</v>
      </c>
      <c r="BE197" s="238">
        <v>3.2786651735463859</v>
      </c>
      <c r="BF197" s="238"/>
      <c r="BG197" s="238">
        <v>0.65</v>
      </c>
      <c r="BH197" s="238"/>
      <c r="BI197" s="238"/>
      <c r="BJ197" s="238"/>
      <c r="BK197" s="319"/>
      <c r="BL197" s="238"/>
      <c r="BM197" s="238"/>
      <c r="BN197" s="256"/>
      <c r="BO197" s="256"/>
      <c r="BP197" s="293"/>
      <c r="BQ197" s="238"/>
      <c r="BR197" s="293"/>
      <c r="BS197" s="238"/>
      <c r="BT197" s="238"/>
      <c r="BU197" s="238"/>
      <c r="BV197" s="238"/>
      <c r="BW197" s="238"/>
      <c r="BX197" s="238"/>
      <c r="BY197" s="238"/>
      <c r="BZ197" s="238"/>
      <c r="CA197" s="238"/>
      <c r="CB197" s="238"/>
      <c r="CC197" s="238"/>
      <c r="CD197" s="238"/>
      <c r="CE197" s="238"/>
      <c r="CF197" s="238"/>
      <c r="CG197" s="238"/>
    </row>
    <row r="198" spans="1:85">
      <c r="A198" s="460">
        <v>41944</v>
      </c>
      <c r="B198" s="461">
        <v>4.17</v>
      </c>
      <c r="C198" s="498">
        <v>-0.70799999999999996</v>
      </c>
      <c r="D198" s="359">
        <v>-0.62142782900684779</v>
      </c>
      <c r="E198" s="359">
        <v>-0.25</v>
      </c>
      <c r="F198" s="469">
        <v>0</v>
      </c>
      <c r="G198" s="470">
        <v>0</v>
      </c>
      <c r="H198" s="470">
        <v>0</v>
      </c>
      <c r="I198" s="471">
        <v>0</v>
      </c>
      <c r="J198" s="470">
        <v>0</v>
      </c>
      <c r="K198" s="470">
        <v>0</v>
      </c>
      <c r="L198" s="470">
        <v>0.73</v>
      </c>
      <c r="M198" s="469">
        <v>-0.2</v>
      </c>
      <c r="N198" s="470">
        <v>0.35</v>
      </c>
      <c r="O198" s="471">
        <v>0</v>
      </c>
      <c r="P198" s="419">
        <v>0.248</v>
      </c>
      <c r="Q198" s="388">
        <v>0.16250000000000001</v>
      </c>
      <c r="R198" s="475">
        <v>0.17</v>
      </c>
      <c r="S198" s="365">
        <v>0.17</v>
      </c>
      <c r="T198" s="274">
        <v>0.8</v>
      </c>
      <c r="U198" s="494">
        <v>0.17</v>
      </c>
      <c r="V198" s="225">
        <v>3.4619999999999997</v>
      </c>
      <c r="W198" s="225">
        <v>3.5485721709931521</v>
      </c>
      <c r="X198" s="368">
        <v>3.92</v>
      </c>
      <c r="Y198" s="226"/>
      <c r="Z198" s="465">
        <v>0.13</v>
      </c>
      <c r="AA198" s="481">
        <v>0.68774987755255879</v>
      </c>
      <c r="AB198" s="487">
        <v>5.1986682883994639</v>
      </c>
      <c r="AC198" s="312">
        <v>5.3286682883994638</v>
      </c>
      <c r="AD198" s="368">
        <v>5.8864181659520227</v>
      </c>
      <c r="AE198" s="418">
        <v>4.4180000000000001</v>
      </c>
      <c r="AF198" s="373">
        <v>3.97</v>
      </c>
      <c r="AG198" s="374">
        <v>4.17</v>
      </c>
      <c r="AH198" s="423">
        <v>-0.18</v>
      </c>
      <c r="AI198" s="467">
        <v>1.5843114297185401</v>
      </c>
      <c r="AJ198" s="478">
        <v>6.1929663944583005E-2</v>
      </c>
      <c r="AK198" s="478">
        <v>6.0542213992681698E-2</v>
      </c>
      <c r="AL198" s="354">
        <v>0.44827487672678579</v>
      </c>
      <c r="AM198" s="377">
        <v>0.45628461988687347</v>
      </c>
      <c r="AN198" s="353">
        <v>0</v>
      </c>
      <c r="AO198" s="378">
        <v>0.124</v>
      </c>
      <c r="AP198" s="238"/>
      <c r="AQ198" s="353">
        <v>-3.6646568043014476</v>
      </c>
      <c r="AR198" s="379">
        <v>-2.9566568043014474</v>
      </c>
      <c r="AS198" s="238"/>
      <c r="AT198" s="456">
        <v>7.4999999999999997E-3</v>
      </c>
      <c r="AU198" s="238"/>
      <c r="AV198" s="353">
        <v>8.0000000000000002E-3</v>
      </c>
      <c r="AW198" s="238">
        <v>0.02</v>
      </c>
      <c r="AX198" s="238">
        <v>5.0000000000000001E-3</v>
      </c>
      <c r="AY198" s="354"/>
      <c r="AZ198" s="488">
        <v>1.05</v>
      </c>
      <c r="BA198" s="488"/>
      <c r="BB198" s="433">
        <v>-0.70799999999999996</v>
      </c>
      <c r="BC198" s="319"/>
      <c r="BD198" s="355">
        <v>4.1900000000000004</v>
      </c>
      <c r="BE198" s="238">
        <v>3.467327518214963</v>
      </c>
      <c r="BF198" s="238"/>
      <c r="BG198" s="238">
        <v>0.8</v>
      </c>
      <c r="BH198" s="238"/>
      <c r="BI198" s="238"/>
      <c r="BJ198" s="238"/>
      <c r="BK198" s="319"/>
      <c r="BL198" s="238"/>
      <c r="BM198" s="238"/>
      <c r="BN198" s="256"/>
      <c r="BO198" s="256"/>
      <c r="BP198" s="293"/>
      <c r="BQ198" s="238"/>
      <c r="BR198" s="293"/>
      <c r="BS198" s="238"/>
      <c r="BT198" s="238"/>
      <c r="BU198" s="238"/>
      <c r="BV198" s="238"/>
      <c r="BW198" s="238"/>
      <c r="BX198" s="238"/>
      <c r="BY198" s="238"/>
      <c r="BZ198" s="238"/>
      <c r="CA198" s="238"/>
      <c r="CB198" s="238"/>
      <c r="CC198" s="238"/>
      <c r="CD198" s="238"/>
      <c r="CE198" s="238"/>
      <c r="CF198" s="238"/>
      <c r="CG198" s="238"/>
    </row>
    <row r="199" spans="1:85">
      <c r="A199" s="356">
        <v>41974</v>
      </c>
      <c r="B199" s="461">
        <v>4.3210000000000006</v>
      </c>
      <c r="C199" s="499">
        <v>-0.70799999999999996</v>
      </c>
      <c r="D199" s="359">
        <v>-0.62144422141577671</v>
      </c>
      <c r="E199" s="359">
        <v>-0.25</v>
      </c>
      <c r="F199" s="500">
        <v>0</v>
      </c>
      <c r="G199" s="501">
        <v>0</v>
      </c>
      <c r="H199" s="501">
        <v>0</v>
      </c>
      <c r="I199" s="502">
        <v>0</v>
      </c>
      <c r="J199" s="501">
        <v>0</v>
      </c>
      <c r="K199" s="501">
        <v>0</v>
      </c>
      <c r="L199" s="470">
        <v>0.98</v>
      </c>
      <c r="M199" s="500">
        <v>-0.2</v>
      </c>
      <c r="N199" s="501">
        <v>0.35</v>
      </c>
      <c r="O199" s="502">
        <v>0</v>
      </c>
      <c r="P199" s="503">
        <v>0.308</v>
      </c>
      <c r="Q199" s="388">
        <v>0.16250000000000001</v>
      </c>
      <c r="R199" s="475">
        <v>0.17</v>
      </c>
      <c r="S199" s="365">
        <v>0.17</v>
      </c>
      <c r="T199" s="274">
        <v>1</v>
      </c>
      <c r="U199" s="504">
        <v>0.17</v>
      </c>
      <c r="V199" s="225">
        <v>3.6130000000000004</v>
      </c>
      <c r="W199" s="505">
        <v>3.6995557785842239</v>
      </c>
      <c r="X199" s="506">
        <v>4.0710000000000006</v>
      </c>
      <c r="Y199" s="507"/>
      <c r="Z199" s="508">
        <v>0.13</v>
      </c>
      <c r="AA199" s="509">
        <v>0.68788012740321491</v>
      </c>
      <c r="AB199" s="487">
        <v>5.4264430137725235</v>
      </c>
      <c r="AC199" s="510">
        <v>5.5564430137725234</v>
      </c>
      <c r="AD199" s="506">
        <v>6.1143231411757384</v>
      </c>
      <c r="AE199" s="511">
        <v>4.6290000000000004</v>
      </c>
      <c r="AF199" s="512">
        <v>4.1210000000000004</v>
      </c>
      <c r="AG199" s="513">
        <v>4.3210000000000006</v>
      </c>
      <c r="AH199" s="514">
        <v>-0.18</v>
      </c>
      <c r="AI199" s="467">
        <v>1.5846114753221099</v>
      </c>
      <c r="AJ199" s="478">
        <v>6.1973812797275804E-2</v>
      </c>
      <c r="AK199" s="478">
        <v>6.0580200491055204E-2</v>
      </c>
      <c r="AL199" s="354">
        <v>0.44578210802017626</v>
      </c>
      <c r="AM199" s="377">
        <v>0.45383324372762701</v>
      </c>
      <c r="AN199" s="515">
        <v>0</v>
      </c>
      <c r="AO199" s="516">
        <v>0.12</v>
      </c>
      <c r="AP199" s="517"/>
      <c r="AQ199" s="515">
        <v>-3.8196689124341932</v>
      </c>
      <c r="AR199" s="518">
        <v>-3.111668912434193</v>
      </c>
      <c r="AS199" s="238"/>
      <c r="AT199" s="456">
        <v>7.4999999999999997E-3</v>
      </c>
      <c r="AU199" s="238"/>
      <c r="AV199" s="353">
        <v>8.0000000000000002E-3</v>
      </c>
      <c r="AW199" s="238">
        <v>0.02</v>
      </c>
      <c r="AX199" s="238">
        <v>0.01</v>
      </c>
      <c r="AY199" s="354"/>
      <c r="AZ199" s="488">
        <v>1.25</v>
      </c>
      <c r="BA199" s="488"/>
      <c r="BB199" s="433">
        <v>-0.70799999999999996</v>
      </c>
      <c r="BC199" s="319"/>
      <c r="BD199" s="355">
        <v>4.3410000000000002</v>
      </c>
      <c r="BE199" s="238">
        <v>3.6183265094513373</v>
      </c>
      <c r="BF199" s="238"/>
      <c r="BG199" s="238">
        <v>1.1000000000000001</v>
      </c>
      <c r="BH199" s="238"/>
      <c r="BI199" s="238"/>
      <c r="BJ199" s="238"/>
      <c r="BK199" s="319"/>
      <c r="BL199" s="238"/>
      <c r="BM199" s="238"/>
      <c r="BN199" s="256"/>
      <c r="BO199" s="256"/>
      <c r="BP199" s="293"/>
      <c r="BQ199" s="238"/>
      <c r="BR199" s="293"/>
      <c r="BS199" s="238"/>
      <c r="BT199" s="238"/>
      <c r="BU199" s="238"/>
      <c r="BV199" s="238"/>
      <c r="BW199" s="238"/>
      <c r="BX199" s="238"/>
      <c r="BY199" s="238"/>
      <c r="BZ199" s="238"/>
      <c r="CA199" s="238"/>
      <c r="CB199" s="238"/>
      <c r="CC199" s="238"/>
      <c r="CD199" s="238"/>
      <c r="CE199" s="238"/>
      <c r="CF199" s="238"/>
      <c r="CG199" s="238"/>
    </row>
    <row r="200" spans="1:85">
      <c r="A200" s="356">
        <v>42005</v>
      </c>
      <c r="B200" s="461">
        <v>4.4220000000000006</v>
      </c>
      <c r="C200" s="519">
        <v>-0.70799999999999996</v>
      </c>
      <c r="D200" s="257">
        <v>-0.62146124558574733</v>
      </c>
      <c r="E200" s="242">
        <v>-0.25</v>
      </c>
      <c r="F200" s="242">
        <v>0</v>
      </c>
      <c r="G200" s="520">
        <v>0</v>
      </c>
      <c r="H200" s="520">
        <v>0</v>
      </c>
      <c r="I200" s="520">
        <v>0</v>
      </c>
      <c r="J200" s="521">
        <v>0</v>
      </c>
      <c r="K200" s="520">
        <v>0</v>
      </c>
      <c r="L200" s="522">
        <v>1.6</v>
      </c>
      <c r="M200" s="522">
        <v>-0.2</v>
      </c>
      <c r="N200" s="521">
        <v>0.35</v>
      </c>
      <c r="O200" s="415">
        <v>0</v>
      </c>
      <c r="P200" s="415">
        <v>0.37800000000000006</v>
      </c>
      <c r="Q200" s="521">
        <v>0.16250000000000001</v>
      </c>
      <c r="R200" s="230">
        <v>0.17</v>
      </c>
      <c r="S200" s="521">
        <v>0.17</v>
      </c>
      <c r="T200" s="521">
        <v>1</v>
      </c>
      <c r="U200" s="521">
        <v>0.17</v>
      </c>
      <c r="V200" s="521">
        <v>3.7140000000000004</v>
      </c>
      <c r="W200" s="521">
        <v>3.8005387544142533</v>
      </c>
      <c r="X200" s="521">
        <v>4.1720000000000006</v>
      </c>
      <c r="Y200" s="522"/>
      <c r="Z200" s="238">
        <v>0.13</v>
      </c>
      <c r="AA200" s="523">
        <v>0.68801544929786651</v>
      </c>
      <c r="AB200" s="258">
        <v>5.5792344512931784</v>
      </c>
      <c r="AC200" s="238">
        <v>5.7092344512931783</v>
      </c>
      <c r="AD200" s="238">
        <v>6.2672499005910449</v>
      </c>
      <c r="AE200" s="238">
        <v>4.8</v>
      </c>
      <c r="AF200" s="238">
        <v>4.2220000000000004</v>
      </c>
      <c r="AG200" s="524">
        <v>4.4220000000000006</v>
      </c>
      <c r="AH200" s="238">
        <v>-0.18</v>
      </c>
      <c r="AI200" s="467">
        <v>1.5849232049659598</v>
      </c>
      <c r="AJ200" s="478">
        <v>6.2019433279071098E-2</v>
      </c>
      <c r="AK200" s="478">
        <v>6.0619453206544299E-2</v>
      </c>
      <c r="AL200" s="354">
        <v>0.44321753895599086</v>
      </c>
      <c r="AM200" s="377">
        <v>0.4513111226079381</v>
      </c>
      <c r="AN200" s="238">
        <v>0</v>
      </c>
      <c r="AO200" s="238">
        <v>0.12</v>
      </c>
      <c r="AP200" s="238"/>
      <c r="AQ200" s="238">
        <v>-3.9096815981819204</v>
      </c>
      <c r="AR200" s="238">
        <v>-3.2016815981819207</v>
      </c>
      <c r="AS200" s="238"/>
      <c r="AT200" s="456">
        <v>7.4999999999999997E-3</v>
      </c>
      <c r="AU200" s="238"/>
      <c r="AV200" s="238" t="e">
        <v>#N/A</v>
      </c>
      <c r="AW200" s="238">
        <v>0.02</v>
      </c>
      <c r="AX200" s="354">
        <v>0.03</v>
      </c>
      <c r="AY200" s="238"/>
      <c r="AZ200" s="241">
        <v>1.25</v>
      </c>
      <c r="BA200" s="302"/>
      <c r="BB200" s="302">
        <v>-0.70799999999999996</v>
      </c>
      <c r="BC200" s="355"/>
      <c r="BD200" s="238">
        <v>4.4420000000000002</v>
      </c>
      <c r="BE200" s="238" t="e">
        <v>#N/A</v>
      </c>
      <c r="BF200" s="238"/>
      <c r="BG200" s="238">
        <v>1.1000000000000001</v>
      </c>
      <c r="BH200" s="238"/>
      <c r="BI200" s="238"/>
      <c r="BJ200" s="319"/>
      <c r="BK200" s="238"/>
      <c r="BL200" s="238"/>
      <c r="BM200" s="256"/>
      <c r="BN200" s="256"/>
      <c r="BO200" s="293"/>
      <c r="BP200" s="238"/>
      <c r="BQ200" s="293"/>
      <c r="BR200" s="238"/>
      <c r="BS200" s="238"/>
      <c r="BT200" s="238"/>
      <c r="BU200" s="238"/>
      <c r="BV200" s="238"/>
      <c r="BW200" s="238"/>
      <c r="BX200" s="238"/>
      <c r="BY200" s="238"/>
      <c r="BZ200" s="238"/>
      <c r="CA200" s="238"/>
      <c r="CB200" s="238"/>
      <c r="CC200" s="238"/>
      <c r="CD200" s="238"/>
      <c r="CE200" s="238"/>
      <c r="CF200" s="238"/>
    </row>
    <row r="201" spans="1:85">
      <c r="A201" s="356">
        <v>42036</v>
      </c>
      <c r="B201" s="461">
        <v>4.3079999999999998</v>
      </c>
      <c r="C201" s="519">
        <v>-0.70799999999999996</v>
      </c>
      <c r="D201" s="257">
        <v>-0.62147835644483873</v>
      </c>
      <c r="E201" s="242">
        <v>-0.25</v>
      </c>
      <c r="F201" s="242">
        <v>0</v>
      </c>
      <c r="G201" s="520">
        <v>0</v>
      </c>
      <c r="H201" s="520">
        <v>0</v>
      </c>
      <c r="I201" s="520">
        <v>0</v>
      </c>
      <c r="J201" s="521">
        <v>0</v>
      </c>
      <c r="K201" s="520">
        <v>0</v>
      </c>
      <c r="L201" s="522">
        <v>1.6</v>
      </c>
      <c r="M201" s="522">
        <v>-0.2</v>
      </c>
      <c r="N201" s="521">
        <v>0.35</v>
      </c>
      <c r="O201" s="415">
        <v>0</v>
      </c>
      <c r="P201" s="415">
        <v>0.248</v>
      </c>
      <c r="Q201" s="521">
        <v>0.16250000000000001</v>
      </c>
      <c r="R201" s="230">
        <v>0.17</v>
      </c>
      <c r="S201" s="521">
        <v>0.17</v>
      </c>
      <c r="T201" s="521">
        <v>1</v>
      </c>
      <c r="U201" s="521">
        <v>0.17</v>
      </c>
      <c r="V201" s="521">
        <v>3.6</v>
      </c>
      <c r="W201" s="521">
        <v>3.6865216435551611</v>
      </c>
      <c r="X201" s="521">
        <v>4.0579999999999998</v>
      </c>
      <c r="Y201" s="522"/>
      <c r="Z201" s="238">
        <v>0.13</v>
      </c>
      <c r="AA201" s="523">
        <v>0.68815151392772655</v>
      </c>
      <c r="AB201" s="258">
        <v>5.4090512011786238</v>
      </c>
      <c r="AC201" s="238">
        <v>5.5390512011786237</v>
      </c>
      <c r="AD201" s="238">
        <v>6.0972027151063504</v>
      </c>
      <c r="AE201" s="238">
        <v>4.556</v>
      </c>
      <c r="AF201" s="238">
        <v>4.1079999999999997</v>
      </c>
      <c r="AG201" s="524">
        <v>4.3079999999999998</v>
      </c>
      <c r="AH201" s="238">
        <v>-0.18</v>
      </c>
      <c r="AI201" s="467">
        <v>1.5852366455863098</v>
      </c>
      <c r="AJ201" s="478">
        <v>6.2065053761557007E-2</v>
      </c>
      <c r="AK201" s="478">
        <v>6.0658705922545401E-2</v>
      </c>
      <c r="AL201" s="354">
        <v>0.44066441966319747</v>
      </c>
      <c r="AM201" s="377">
        <v>0.4488001197919213</v>
      </c>
      <c r="AN201" s="238">
        <v>0</v>
      </c>
      <c r="AO201" s="238">
        <v>0.12</v>
      </c>
      <c r="AP201" s="238"/>
      <c r="AQ201" s="238">
        <v>-3.7956944607667329</v>
      </c>
      <c r="AR201" s="238">
        <v>-3.0876944607667332</v>
      </c>
      <c r="AS201" s="238"/>
      <c r="AT201" s="456">
        <v>7.4999999999999997E-3</v>
      </c>
      <c r="AU201" s="238"/>
      <c r="AV201" s="238" t="e">
        <v>#N/A</v>
      </c>
      <c r="AW201" s="238">
        <v>0.02</v>
      </c>
      <c r="AX201" s="354">
        <v>2.5000000000000001E-2</v>
      </c>
      <c r="AY201" s="238"/>
      <c r="AZ201" s="241">
        <v>1.25</v>
      </c>
      <c r="BA201" s="302"/>
      <c r="BB201" s="302">
        <v>-0.70799999999999996</v>
      </c>
      <c r="BC201" s="355"/>
      <c r="BD201" s="238">
        <v>4.3279999999999994</v>
      </c>
      <c r="BE201" s="238" t="e">
        <v>#N/A</v>
      </c>
      <c r="BF201" s="238"/>
      <c r="BG201" s="238">
        <v>1.1000000000000001</v>
      </c>
      <c r="BH201" s="238"/>
      <c r="BI201" s="238"/>
      <c r="BJ201" s="319"/>
      <c r="BK201" s="238"/>
      <c r="BL201" s="238"/>
      <c r="BM201" s="256"/>
      <c r="BN201" s="256"/>
      <c r="BO201" s="293"/>
      <c r="BP201" s="238"/>
      <c r="BQ201" s="293"/>
      <c r="BR201" s="238"/>
      <c r="BS201" s="238"/>
      <c r="BT201" s="238"/>
      <c r="BU201" s="238"/>
      <c r="BV201" s="238"/>
      <c r="BW201" s="238"/>
      <c r="BX201" s="238"/>
      <c r="BY201" s="238"/>
      <c r="BZ201" s="238"/>
      <c r="CA201" s="238"/>
      <c r="CB201" s="238"/>
      <c r="CC201" s="238"/>
      <c r="CD201" s="238"/>
      <c r="CE201" s="238"/>
      <c r="CF201" s="238"/>
    </row>
    <row r="202" spans="1:85">
      <c r="A202" s="356">
        <v>42064</v>
      </c>
      <c r="B202" s="461">
        <v>4.1760000000000002</v>
      </c>
      <c r="C202" s="519">
        <v>-0.70799999999999996</v>
      </c>
      <c r="D202" s="257">
        <v>-0.62149388587699539</v>
      </c>
      <c r="E202" s="242">
        <v>-0.25</v>
      </c>
      <c r="F202" s="242">
        <v>0</v>
      </c>
      <c r="G202" s="520">
        <v>0</v>
      </c>
      <c r="H202" s="520">
        <v>0</v>
      </c>
      <c r="I202" s="520">
        <v>0</v>
      </c>
      <c r="J202" s="521">
        <v>0</v>
      </c>
      <c r="K202" s="520">
        <v>0</v>
      </c>
      <c r="L202" s="522">
        <v>0.72</v>
      </c>
      <c r="M202" s="522">
        <v>-0.2</v>
      </c>
      <c r="N202" s="521">
        <v>0.35</v>
      </c>
      <c r="O202" s="415">
        <v>0</v>
      </c>
      <c r="P202" s="415">
        <v>6.8000000000000005E-2</v>
      </c>
      <c r="Q202" s="521">
        <v>0.16250000000000001</v>
      </c>
      <c r="R202" s="230">
        <v>0.17</v>
      </c>
      <c r="S202" s="521">
        <v>0.17</v>
      </c>
      <c r="T202" s="521">
        <v>0.75</v>
      </c>
      <c r="U202" s="521">
        <v>0.17</v>
      </c>
      <c r="V202" s="521">
        <v>3.468</v>
      </c>
      <c r="W202" s="521">
        <v>3.5545061141230048</v>
      </c>
      <c r="X202" s="521">
        <v>3.9260000000000002</v>
      </c>
      <c r="Y202" s="522"/>
      <c r="Z202" s="238">
        <v>0.13</v>
      </c>
      <c r="AA202" s="523">
        <v>0.68827504973045794</v>
      </c>
      <c r="AB202" s="258">
        <v>5.2116547433738507</v>
      </c>
      <c r="AC202" s="238">
        <v>5.3416547433738506</v>
      </c>
      <c r="AD202" s="238">
        <v>5.8999297931043087</v>
      </c>
      <c r="AE202" s="238">
        <v>4.2439999999999998</v>
      </c>
      <c r="AF202" s="238">
        <v>3.976</v>
      </c>
      <c r="AG202" s="524">
        <v>4.1760000000000002</v>
      </c>
      <c r="AH202" s="238">
        <v>-0.18</v>
      </c>
      <c r="AI202" s="467">
        <v>1.58552122460353</v>
      </c>
      <c r="AJ202" s="478">
        <v>6.2106259359235E-2</v>
      </c>
      <c r="AK202" s="478">
        <v>6.06941599890507E-2</v>
      </c>
      <c r="AL202" s="354">
        <v>0.43836819473951782</v>
      </c>
      <c r="AM202" s="377">
        <v>0.44654164918126582</v>
      </c>
      <c r="AN202" s="238">
        <v>0</v>
      </c>
      <c r="AO202" s="238">
        <v>0.12</v>
      </c>
      <c r="AP202" s="238"/>
      <c r="AQ202" s="238">
        <v>-3.6637062305584189</v>
      </c>
      <c r="AR202" s="238">
        <v>-2.9557062305584187</v>
      </c>
      <c r="AS202" s="238"/>
      <c r="AT202" s="456">
        <v>7.4999999999999997E-3</v>
      </c>
      <c r="AU202" s="238"/>
      <c r="AV202" s="238" t="e">
        <v>#N/A</v>
      </c>
      <c r="AW202" s="238">
        <v>0.02</v>
      </c>
      <c r="AX202" s="354">
        <v>5.0000000000000001E-3</v>
      </c>
      <c r="AY202" s="238"/>
      <c r="AZ202" s="241">
        <v>1</v>
      </c>
      <c r="BA202" s="302"/>
      <c r="BB202" s="302">
        <v>-0.70799999999999996</v>
      </c>
      <c r="BC202" s="355"/>
      <c r="BD202" s="238">
        <v>4.1959999999999997</v>
      </c>
      <c r="BE202" s="238" t="e">
        <v>#N/A</v>
      </c>
      <c r="BF202" s="238"/>
      <c r="BG202" s="238">
        <v>0.75</v>
      </c>
      <c r="BH202" s="238"/>
      <c r="BI202" s="238"/>
      <c r="BJ202" s="319"/>
      <c r="BK202" s="238"/>
      <c r="BL202" s="238"/>
      <c r="BM202" s="256"/>
      <c r="BN202" s="256"/>
      <c r="BO202" s="293"/>
      <c r="BP202" s="238"/>
      <c r="BQ202" s="293"/>
      <c r="BR202" s="238"/>
      <c r="BS202" s="238"/>
      <c r="BT202" s="238"/>
      <c r="BU202" s="238"/>
      <c r="BV202" s="238"/>
      <c r="BW202" s="238"/>
      <c r="BX202" s="238"/>
      <c r="BY202" s="238"/>
      <c r="BZ202" s="238"/>
      <c r="CA202" s="238"/>
      <c r="CB202" s="238"/>
      <c r="CC202" s="238"/>
      <c r="CD202" s="238"/>
      <c r="CE202" s="238"/>
      <c r="CF202" s="238"/>
    </row>
    <row r="203" spans="1:85">
      <c r="A203" s="356">
        <v>42095</v>
      </c>
      <c r="B203" s="461">
        <v>3.9780000000000002</v>
      </c>
      <c r="C203" s="519">
        <v>-0.81299999999999994</v>
      </c>
      <c r="D203" s="257">
        <v>-0.72651116156376405</v>
      </c>
      <c r="E203" s="242">
        <v>-0.25</v>
      </c>
      <c r="F203" s="242">
        <v>0</v>
      </c>
      <c r="G203" s="520">
        <v>0</v>
      </c>
      <c r="H203" s="520">
        <v>0</v>
      </c>
      <c r="I203" s="520">
        <v>0</v>
      </c>
      <c r="J203" s="521">
        <v>0</v>
      </c>
      <c r="K203" s="520">
        <v>0</v>
      </c>
      <c r="L203" s="522">
        <v>0.4</v>
      </c>
      <c r="M203" s="522">
        <v>-0.32</v>
      </c>
      <c r="N203" s="521">
        <v>0.43</v>
      </c>
      <c r="O203" s="415">
        <v>0</v>
      </c>
      <c r="P203" s="415">
        <v>-0.25</v>
      </c>
      <c r="Q203" s="521">
        <v>0.16250000000000001</v>
      </c>
      <c r="R203" s="230">
        <v>0.17</v>
      </c>
      <c r="S203" s="521">
        <v>0.17</v>
      </c>
      <c r="T203" s="521">
        <v>0.4</v>
      </c>
      <c r="U203" s="521">
        <v>0.17</v>
      </c>
      <c r="V203" s="521">
        <v>3.165</v>
      </c>
      <c r="W203" s="521">
        <v>3.2514888384362362</v>
      </c>
      <c r="X203" s="521">
        <v>3.7279999999999998</v>
      </c>
      <c r="Y203" s="522"/>
      <c r="Z203" s="238">
        <v>0.13</v>
      </c>
      <c r="AA203" s="523">
        <v>0.84623636209381381</v>
      </c>
      <c r="AB203" s="258">
        <v>4.7572612540442636</v>
      </c>
      <c r="AC203" s="238">
        <v>4.8872612540442635</v>
      </c>
      <c r="AD203" s="238">
        <v>5.6034976161380774</v>
      </c>
      <c r="AE203" s="238">
        <v>3.7280000000000002</v>
      </c>
      <c r="AF203" s="238">
        <v>3.6580000000000004</v>
      </c>
      <c r="AG203" s="524">
        <v>3.9780000000000002</v>
      </c>
      <c r="AH203" s="238">
        <v>-0.255</v>
      </c>
      <c r="AI203" s="467">
        <v>1.5858379240590599</v>
      </c>
      <c r="AJ203" s="478">
        <v>6.2151879843036301E-2</v>
      </c>
      <c r="AK203" s="478">
        <v>6.0733412706025704E-2</v>
      </c>
      <c r="AL203" s="354">
        <v>0.43583679041833662</v>
      </c>
      <c r="AM203" s="377">
        <v>0.44405172563159501</v>
      </c>
      <c r="AN203" s="238">
        <v>0</v>
      </c>
      <c r="AO203" s="238">
        <v>0.12</v>
      </c>
      <c r="AP203" s="238"/>
      <c r="AQ203" s="238">
        <v>-3.3605404779082915</v>
      </c>
      <c r="AR203" s="238">
        <v>-2.5475404779082913</v>
      </c>
      <c r="AS203" s="238"/>
      <c r="AT203" s="456">
        <v>7.4999999999999997E-3</v>
      </c>
      <c r="AU203" s="238"/>
      <c r="AV203" s="238" t="e">
        <v>#N/A</v>
      </c>
      <c r="AW203" s="238">
        <v>5.0000000000000001E-3</v>
      </c>
      <c r="AX203" s="354">
        <v>-8.5000000000000006E-2</v>
      </c>
      <c r="AY203" s="238"/>
      <c r="AZ203" s="241">
        <v>0.65</v>
      </c>
      <c r="BA203" s="302"/>
      <c r="BB203" s="302">
        <v>-0.81299999999999994</v>
      </c>
      <c r="BC203" s="355"/>
      <c r="BD203" s="238">
        <v>3.9830000000000001</v>
      </c>
      <c r="BE203" s="238" t="e">
        <v>#N/A</v>
      </c>
      <c r="BF203" s="238"/>
      <c r="BG203" s="238">
        <v>0.45</v>
      </c>
      <c r="BH203" s="238"/>
      <c r="BI203" s="238"/>
      <c r="BJ203" s="238"/>
      <c r="BK203" s="238"/>
      <c r="BL203" s="238"/>
      <c r="BM203" s="238"/>
      <c r="BN203" s="238"/>
      <c r="BO203" s="238"/>
      <c r="BP203" s="238"/>
      <c r="BQ203" s="238"/>
      <c r="BR203" s="238"/>
      <c r="BS203" s="238"/>
      <c r="BT203" s="238"/>
      <c r="BU203" s="238"/>
      <c r="BV203" s="238"/>
      <c r="BW203" s="238"/>
      <c r="BX203" s="238"/>
      <c r="BY203" s="238"/>
      <c r="BZ203" s="238"/>
      <c r="CA203" s="238"/>
      <c r="CB203" s="238"/>
      <c r="CC203" s="238"/>
      <c r="CD203" s="238"/>
      <c r="CE203" s="238"/>
      <c r="CF203" s="238"/>
    </row>
    <row r="204" spans="1:85">
      <c r="A204" s="356">
        <v>42125</v>
      </c>
      <c r="B204" s="461">
        <v>3.9740000000000002</v>
      </c>
      <c r="C204" s="519">
        <v>-0.81299999999999994</v>
      </c>
      <c r="D204" s="257"/>
      <c r="E204" s="242"/>
      <c r="F204" s="242"/>
      <c r="G204" s="520"/>
      <c r="H204" s="520"/>
      <c r="I204" s="520"/>
      <c r="J204" s="521"/>
      <c r="K204" s="520"/>
      <c r="L204" s="522"/>
      <c r="M204" s="522"/>
      <c r="N204" s="521"/>
      <c r="O204" s="415"/>
      <c r="P204" s="415">
        <v>-0.1</v>
      </c>
      <c r="Q204" s="521"/>
      <c r="S204" s="521"/>
      <c r="T204" s="521"/>
      <c r="U204" s="521"/>
      <c r="V204" s="521">
        <v>3.1610000000000005</v>
      </c>
      <c r="W204" s="521"/>
      <c r="X204" s="521"/>
      <c r="Y204" s="522"/>
      <c r="Z204" s="238"/>
      <c r="AA204" s="523"/>
      <c r="AB204" s="258">
        <v>4.7521720449901315</v>
      </c>
      <c r="AC204" s="238"/>
      <c r="AD204" s="238"/>
      <c r="AE204" s="238"/>
      <c r="AF204" s="238"/>
      <c r="AG204" s="524"/>
      <c r="AH204" s="238"/>
      <c r="AI204" s="467">
        <v>1.5861460389430899</v>
      </c>
      <c r="AJ204" s="478">
        <v>6.2196028698985106E-2</v>
      </c>
      <c r="AK204" s="478">
        <v>6.0771399206811502E-2</v>
      </c>
      <c r="AL204" s="354">
        <v>0.43339786954767145</v>
      </c>
      <c r="AM204" s="377">
        <v>0.44165262709245789</v>
      </c>
      <c r="AN204" s="238"/>
      <c r="AO204" s="238"/>
      <c r="AP204" s="238"/>
      <c r="AQ204" s="238"/>
      <c r="AR204" s="238"/>
      <c r="AS204" s="238"/>
      <c r="AT204" s="456"/>
      <c r="AU204" s="238"/>
      <c r="AV204" s="238"/>
      <c r="AW204" s="238">
        <v>5.0000000000000001E-3</v>
      </c>
      <c r="AX204" s="354"/>
      <c r="AY204" s="238"/>
      <c r="AZ204" s="241"/>
      <c r="BA204" s="302"/>
      <c r="BB204" s="302"/>
      <c r="BC204" s="355"/>
      <c r="BD204" s="238">
        <v>3.9790000000000001</v>
      </c>
      <c r="BE204" s="238">
        <v>3.1610000000000005</v>
      </c>
      <c r="BF204" s="238"/>
      <c r="BG204" s="238">
        <v>0.5</v>
      </c>
      <c r="BH204" s="238"/>
      <c r="BI204" s="238"/>
      <c r="BJ204" s="238"/>
      <c r="BK204" s="238"/>
      <c r="BL204" s="238"/>
      <c r="BM204" s="238"/>
      <c r="BN204" s="238"/>
      <c r="BO204" s="238"/>
      <c r="BP204" s="238"/>
      <c r="BQ204" s="238"/>
      <c r="BR204" s="238"/>
      <c r="BS204" s="238"/>
      <c r="BT204" s="238"/>
      <c r="BU204" s="238"/>
      <c r="BV204" s="238"/>
      <c r="BW204" s="238"/>
      <c r="BX204" s="238"/>
      <c r="BY204" s="238"/>
      <c r="BZ204" s="238"/>
      <c r="CA204" s="238"/>
      <c r="CB204" s="238"/>
      <c r="CC204" s="238"/>
      <c r="CD204" s="238"/>
      <c r="CE204" s="238"/>
      <c r="CF204" s="238"/>
    </row>
    <row r="205" spans="1:85">
      <c r="A205" s="356">
        <v>42156</v>
      </c>
      <c r="B205" s="461">
        <v>4.0060000000000002</v>
      </c>
      <c r="C205" s="238">
        <v>-0.81299999999999994</v>
      </c>
      <c r="D205" s="238"/>
      <c r="E205" s="238"/>
      <c r="F205" s="238"/>
      <c r="G205" s="520"/>
      <c r="H205" s="520"/>
      <c r="I205" s="520"/>
      <c r="J205" s="521"/>
      <c r="K205" s="520"/>
      <c r="L205" s="522"/>
      <c r="M205" s="522"/>
      <c r="N205" s="521"/>
      <c r="O205" s="415"/>
      <c r="P205" s="415">
        <v>-0.1</v>
      </c>
      <c r="Q205" s="521"/>
      <c r="S205" s="521"/>
      <c r="T205" s="521"/>
      <c r="U205" s="521"/>
      <c r="V205" s="521">
        <v>3.1930000000000005</v>
      </c>
      <c r="W205" s="521"/>
      <c r="X205" s="521"/>
      <c r="Y205" s="256"/>
      <c r="Z205" s="238"/>
      <c r="AA205" s="240"/>
      <c r="AB205" s="238">
        <v>4.801248742088827</v>
      </c>
      <c r="AC205" s="238"/>
      <c r="AD205" s="238"/>
      <c r="AE205" s="238"/>
      <c r="AF205" s="238"/>
      <c r="AG205" s="524"/>
      <c r="AH205" s="238"/>
      <c r="AI205" s="467">
        <v>1.5864661111284899</v>
      </c>
      <c r="AJ205" s="478">
        <v>6.2241649184145299E-2</v>
      </c>
      <c r="AK205" s="478">
        <v>6.08106519247937E-2</v>
      </c>
      <c r="AL205" s="354">
        <v>0.43088881019802333</v>
      </c>
      <c r="AM205" s="377">
        <v>0.43918438486581446</v>
      </c>
      <c r="AN205" s="238"/>
      <c r="AO205" s="238"/>
      <c r="AP205" s="238"/>
      <c r="AQ205" s="238"/>
      <c r="AR205" s="238"/>
      <c r="AS205" s="238"/>
      <c r="AT205" s="456"/>
      <c r="AU205" s="238"/>
      <c r="AV205" s="238"/>
      <c r="AW205" s="238">
        <v>5.0000000000000001E-3</v>
      </c>
      <c r="AX205" s="238"/>
      <c r="AY205" s="238"/>
      <c r="AZ205" s="241"/>
      <c r="BA205" s="241"/>
      <c r="BB205" s="241"/>
      <c r="BC205" s="238"/>
      <c r="BD205" s="238">
        <v>4.0110000000000001</v>
      </c>
      <c r="BE205" s="238">
        <v>3.1930000000000005</v>
      </c>
      <c r="BF205" s="238"/>
      <c r="BG205" s="238">
        <v>0.5</v>
      </c>
      <c r="BH205" s="238"/>
      <c r="BI205" s="238"/>
      <c r="BJ205" s="238"/>
      <c r="BK205" s="238"/>
      <c r="BL205" s="238"/>
      <c r="BM205" s="238"/>
      <c r="BN205" s="238"/>
      <c r="BO205" s="238"/>
      <c r="BP205" s="238"/>
      <c r="BQ205" s="238"/>
      <c r="BR205" s="238"/>
      <c r="BS205" s="238"/>
      <c r="BT205" s="238"/>
      <c r="BU205" s="238"/>
      <c r="BV205" s="238"/>
      <c r="BW205" s="238"/>
      <c r="BX205" s="238"/>
      <c r="BY205" s="238"/>
      <c r="BZ205" s="238"/>
      <c r="CA205" s="238"/>
      <c r="CB205" s="238"/>
      <c r="CC205" s="238"/>
      <c r="CD205" s="238"/>
      <c r="CE205" s="238"/>
      <c r="CF205" s="238"/>
    </row>
    <row r="206" spans="1:85">
      <c r="A206" s="356">
        <v>42186</v>
      </c>
      <c r="B206" s="461">
        <v>4.056</v>
      </c>
      <c r="C206" s="238">
        <v>-0.81299999999999994</v>
      </c>
      <c r="D206" s="238"/>
      <c r="E206" s="238"/>
      <c r="F206" s="238"/>
      <c r="G206" s="520"/>
      <c r="H206" s="520"/>
      <c r="I206" s="520"/>
      <c r="J206" s="521"/>
      <c r="K206" s="520"/>
      <c r="L206" s="522"/>
      <c r="M206" s="522"/>
      <c r="N206" s="521"/>
      <c r="O206" s="415"/>
      <c r="P206" s="415">
        <v>-0.1</v>
      </c>
      <c r="Q206" s="521"/>
      <c r="S206" s="521"/>
      <c r="T206" s="521"/>
      <c r="U206" s="521"/>
      <c r="V206" s="521">
        <v>3.2430000000000003</v>
      </c>
      <c r="W206" s="521"/>
      <c r="X206" s="521"/>
      <c r="Y206" s="238"/>
      <c r="Z206" s="238"/>
      <c r="AA206" s="240"/>
      <c r="AB206" s="238">
        <v>4.8773898308754715</v>
      </c>
      <c r="AC206" s="238"/>
      <c r="AD206" s="238"/>
      <c r="AE206" s="238"/>
      <c r="AF206" s="238"/>
      <c r="AG206" s="524"/>
      <c r="AH206" s="238"/>
      <c r="AI206" s="467">
        <v>1.5867774916448198</v>
      </c>
      <c r="AJ206" s="478">
        <v>6.2285798041409497E-2</v>
      </c>
      <c r="AK206" s="478">
        <v>6.08486384265539E-2</v>
      </c>
      <c r="AL206" s="354">
        <v>0.4284714610384614</v>
      </c>
      <c r="AM206" s="377">
        <v>0.43680621277738424</v>
      </c>
      <c r="AN206" s="238"/>
      <c r="AO206" s="238"/>
      <c r="AP206" s="238"/>
      <c r="AQ206" s="238"/>
      <c r="AR206" s="238"/>
      <c r="AS206" s="238"/>
      <c r="AT206" s="456"/>
      <c r="AU206" s="238"/>
      <c r="AV206" s="238"/>
      <c r="AW206" s="238">
        <v>5.0000000000000001E-3</v>
      </c>
      <c r="AX206" s="238"/>
      <c r="AY206" s="238"/>
      <c r="AZ206" s="241"/>
      <c r="BA206" s="241"/>
      <c r="BB206" s="241"/>
      <c r="BC206" s="238"/>
      <c r="BD206" s="238">
        <v>4.0609999999999999</v>
      </c>
      <c r="BE206" s="238">
        <v>3.2430000000000003</v>
      </c>
      <c r="BF206" s="238"/>
      <c r="BG206" s="238">
        <v>0.55000000000000004</v>
      </c>
      <c r="BH206" s="238"/>
      <c r="BI206" s="238"/>
      <c r="BJ206" s="238"/>
      <c r="BK206" s="238"/>
      <c r="BL206" s="238"/>
      <c r="BM206" s="238"/>
      <c r="BN206" s="238"/>
      <c r="BO206" s="238"/>
      <c r="BP206" s="238"/>
      <c r="BQ206" s="238"/>
      <c r="BR206" s="238"/>
      <c r="BS206" s="238"/>
      <c r="BT206" s="238"/>
      <c r="BU206" s="238"/>
      <c r="BV206" s="238"/>
      <c r="BW206" s="238"/>
      <c r="BX206" s="238"/>
      <c r="BY206" s="238"/>
      <c r="BZ206" s="238"/>
      <c r="CA206" s="238"/>
      <c r="CB206" s="238"/>
      <c r="CC206" s="238"/>
      <c r="CD206" s="238"/>
      <c r="CE206" s="238"/>
      <c r="CF206" s="238"/>
    </row>
    <row r="207" spans="1:85">
      <c r="A207" s="356">
        <v>42217</v>
      </c>
      <c r="B207" s="461">
        <v>4.09</v>
      </c>
      <c r="C207" s="238">
        <v>-0.81299999999999994</v>
      </c>
      <c r="D207" s="238"/>
      <c r="E207" s="238"/>
      <c r="F207" s="238"/>
      <c r="G207" s="520"/>
      <c r="H207" s="520"/>
      <c r="I207" s="520"/>
      <c r="J207" s="521"/>
      <c r="K207" s="520"/>
      <c r="L207" s="522"/>
      <c r="M207" s="522"/>
      <c r="N207" s="521"/>
      <c r="O207" s="415"/>
      <c r="P207" s="415">
        <v>-0.1</v>
      </c>
      <c r="Q207" s="521"/>
      <c r="S207" s="521"/>
      <c r="T207" s="521"/>
      <c r="U207" s="521"/>
      <c r="V207" s="521">
        <v>3.2770000000000001</v>
      </c>
      <c r="W207" s="521"/>
      <c r="X207" s="521"/>
      <c r="Y207" s="238"/>
      <c r="Z207" s="238"/>
      <c r="AA207" s="240"/>
      <c r="AB207" s="238">
        <v>4.9295295990507499</v>
      </c>
      <c r="AC207" s="238"/>
      <c r="AD207" s="238"/>
      <c r="AE207" s="238"/>
      <c r="AF207" s="238"/>
      <c r="AG207" s="524"/>
      <c r="AH207" s="238"/>
      <c r="AI207" s="467">
        <v>1.58710094008425</v>
      </c>
      <c r="AJ207" s="478">
        <v>6.2331418527929602E-2</v>
      </c>
      <c r="AK207" s="478">
        <v>6.0887891145543299E-2</v>
      </c>
      <c r="AL207" s="354">
        <v>0.42598463807386461</v>
      </c>
      <c r="AM207" s="377">
        <v>0.43435953713361841</v>
      </c>
      <c r="AN207" s="238"/>
      <c r="AO207" s="238"/>
      <c r="AP207" s="238"/>
      <c r="AQ207" s="238"/>
      <c r="AR207" s="238"/>
      <c r="AS207" s="238"/>
      <c r="AT207" s="456"/>
      <c r="AU207" s="238"/>
      <c r="AV207" s="238"/>
      <c r="AW207" s="238">
        <v>5.0000000000000001E-3</v>
      </c>
      <c r="AX207" s="238"/>
      <c r="AY207" s="238"/>
      <c r="AZ207" s="241"/>
      <c r="BA207" s="241"/>
      <c r="BB207" s="241"/>
      <c r="BC207" s="238"/>
      <c r="BD207" s="238">
        <v>4.0949999999999998</v>
      </c>
      <c r="BE207" s="238">
        <v>3.2770000000000001</v>
      </c>
      <c r="BF207" s="238"/>
      <c r="BG207" s="238">
        <v>0.6</v>
      </c>
      <c r="BH207" s="238"/>
      <c r="BI207" s="238"/>
      <c r="BJ207" s="238"/>
      <c r="BK207" s="238"/>
      <c r="BL207" s="238"/>
      <c r="BM207" s="238"/>
      <c r="BN207" s="238"/>
      <c r="BO207" s="238"/>
      <c r="BP207" s="238"/>
      <c r="BQ207" s="238"/>
      <c r="BR207" s="238"/>
      <c r="BS207" s="238"/>
      <c r="BT207" s="238"/>
      <c r="BU207" s="238"/>
      <c r="BV207" s="238"/>
      <c r="BW207" s="238"/>
      <c r="BX207" s="238"/>
      <c r="BY207" s="238"/>
      <c r="BZ207" s="238"/>
      <c r="CA207" s="238"/>
      <c r="CB207" s="238"/>
      <c r="CC207" s="238"/>
      <c r="CD207" s="238"/>
      <c r="CE207" s="238"/>
      <c r="CF207" s="238"/>
    </row>
    <row r="208" spans="1:85">
      <c r="A208" s="356">
        <v>42248</v>
      </c>
      <c r="B208" s="461">
        <v>4.1029999999999998</v>
      </c>
      <c r="C208" s="238">
        <v>-0.81299999999999994</v>
      </c>
      <c r="D208" s="238"/>
      <c r="E208" s="238"/>
      <c r="F208" s="238"/>
      <c r="G208" s="520"/>
      <c r="H208" s="520"/>
      <c r="I208" s="520"/>
      <c r="J208" s="521"/>
      <c r="K208" s="520"/>
      <c r="L208" s="522"/>
      <c r="M208" s="522"/>
      <c r="N208" s="521"/>
      <c r="O208" s="415"/>
      <c r="P208" s="415">
        <v>-0.1</v>
      </c>
      <c r="Q208" s="521"/>
      <c r="S208" s="521"/>
      <c r="T208" s="521"/>
      <c r="U208" s="521"/>
      <c r="V208" s="521">
        <v>3.29</v>
      </c>
      <c r="W208" s="521"/>
      <c r="X208" s="521"/>
      <c r="Y208" s="238"/>
      <c r="Z208" s="238"/>
      <c r="AA208" s="240"/>
      <c r="AB208" s="238">
        <v>4.9500992247958884</v>
      </c>
      <c r="AC208" s="238"/>
      <c r="AD208" s="238"/>
      <c r="AE208" s="238"/>
      <c r="AF208" s="238"/>
      <c r="AG208" s="524"/>
      <c r="AH208" s="238"/>
      <c r="AI208" s="467">
        <v>1.5874261056888299</v>
      </c>
      <c r="AJ208" s="478">
        <v>6.2377039015139697E-2</v>
      </c>
      <c r="AK208" s="478">
        <v>6.0927143865044303E-2</v>
      </c>
      <c r="AL208" s="354">
        <v>0.42350907372710866</v>
      </c>
      <c r="AM208" s="377">
        <v>0.43192377746900518</v>
      </c>
      <c r="AN208" s="238"/>
      <c r="AO208" s="238"/>
      <c r="AP208" s="238"/>
      <c r="AQ208" s="238"/>
      <c r="AR208" s="238"/>
      <c r="AS208" s="238"/>
      <c r="AT208" s="456"/>
      <c r="AU208" s="238"/>
      <c r="AV208" s="238"/>
      <c r="AW208" s="238">
        <v>5.0000000000000001E-3</v>
      </c>
      <c r="AX208" s="238"/>
      <c r="AY208" s="238"/>
      <c r="AZ208" s="241"/>
      <c r="BA208" s="241"/>
      <c r="BB208" s="241"/>
      <c r="BC208" s="238"/>
      <c r="BD208" s="238">
        <v>4.1079999999999997</v>
      </c>
      <c r="BE208" s="238">
        <v>3.29</v>
      </c>
      <c r="BF208" s="238"/>
      <c r="BG208" s="238">
        <v>0.6</v>
      </c>
      <c r="BH208" s="238"/>
      <c r="BI208" s="238"/>
      <c r="BJ208" s="238"/>
      <c r="BK208" s="238"/>
      <c r="BL208" s="238"/>
      <c r="BM208" s="238"/>
      <c r="BN208" s="238"/>
      <c r="BO208" s="238"/>
      <c r="BP208" s="238"/>
      <c r="BQ208" s="238"/>
      <c r="BR208" s="238"/>
      <c r="BS208" s="238"/>
      <c r="BT208" s="238"/>
      <c r="BU208" s="238"/>
      <c r="BV208" s="238"/>
      <c r="BW208" s="238"/>
      <c r="BX208" s="238"/>
      <c r="BY208" s="238"/>
      <c r="BZ208" s="238"/>
      <c r="CA208" s="238"/>
      <c r="CB208" s="238"/>
      <c r="CC208" s="238"/>
      <c r="CD208" s="238"/>
      <c r="CE208" s="238"/>
      <c r="CF208" s="238"/>
    </row>
    <row r="209" spans="1:84">
      <c r="A209" s="356">
        <v>42278</v>
      </c>
      <c r="B209" s="461">
        <v>4.1150000000000002</v>
      </c>
      <c r="C209" s="238">
        <v>-0.81299999999999994</v>
      </c>
      <c r="D209" s="238"/>
      <c r="E209" s="238"/>
      <c r="F209" s="238"/>
      <c r="G209" s="520"/>
      <c r="H209" s="520"/>
      <c r="I209" s="520"/>
      <c r="J209" s="521"/>
      <c r="K209" s="520"/>
      <c r="L209" s="522"/>
      <c r="M209" s="522"/>
      <c r="N209" s="521"/>
      <c r="O209" s="415"/>
      <c r="P209" s="415">
        <v>-0.1</v>
      </c>
      <c r="Q209" s="521"/>
      <c r="S209" s="521"/>
      <c r="T209" s="521"/>
      <c r="U209" s="521"/>
      <c r="V209" s="521">
        <v>3.3020000000000005</v>
      </c>
      <c r="W209" s="521"/>
      <c r="X209" s="521"/>
      <c r="Y209" s="238"/>
      <c r="Z209" s="238"/>
      <c r="AA209" s="240"/>
      <c r="AB209" s="238">
        <v>4.9691442577279474</v>
      </c>
      <c r="AC209" s="238"/>
      <c r="AD209" s="238"/>
      <c r="AE209" s="238"/>
      <c r="AF209" s="238"/>
      <c r="AG209" s="524"/>
      <c r="AH209" s="238"/>
      <c r="AI209" s="467">
        <v>1.5877424179229001</v>
      </c>
      <c r="AJ209" s="478">
        <v>6.2421187874387697E-2</v>
      </c>
      <c r="AK209" s="478">
        <v>6.0965130368273897E-2</v>
      </c>
      <c r="AL209" s="354">
        <v>0.42112405932794561</v>
      </c>
      <c r="AM209" s="377">
        <v>0.42957695612133384</v>
      </c>
      <c r="AN209" s="238"/>
      <c r="AO209" s="238"/>
      <c r="AP209" s="238"/>
      <c r="AQ209" s="238"/>
      <c r="AR209" s="238"/>
      <c r="AS209" s="238"/>
      <c r="AT209" s="456"/>
      <c r="AU209" s="238"/>
      <c r="AV209" s="238"/>
      <c r="AW209" s="238">
        <v>5.0000000000000001E-3</v>
      </c>
      <c r="AX209" s="238"/>
      <c r="AY209" s="238"/>
      <c r="AZ209" s="241"/>
      <c r="BA209" s="241"/>
      <c r="BB209" s="241"/>
      <c r="BC209" s="238"/>
      <c r="BD209" s="238">
        <v>4.12</v>
      </c>
      <c r="BE209" s="238">
        <v>3.3020000000000005</v>
      </c>
      <c r="BF209" s="238"/>
      <c r="BG209" s="238">
        <v>0.65</v>
      </c>
      <c r="BH209" s="238"/>
      <c r="BI209" s="238"/>
      <c r="BJ209" s="238"/>
      <c r="BK209" s="238"/>
      <c r="BL209" s="238"/>
      <c r="BM209" s="238"/>
      <c r="BN209" s="238"/>
      <c r="BO209" s="238"/>
      <c r="BP209" s="238"/>
      <c r="BQ209" s="238"/>
      <c r="BR209" s="238"/>
      <c r="BS209" s="238"/>
      <c r="BT209" s="238"/>
      <c r="BU209" s="238"/>
      <c r="BV209" s="238"/>
      <c r="BW209" s="238"/>
      <c r="BX209" s="238"/>
      <c r="BY209" s="238"/>
      <c r="BZ209" s="238"/>
      <c r="CA209" s="238"/>
      <c r="CB209" s="238"/>
      <c r="CC209" s="238"/>
      <c r="CD209" s="238"/>
      <c r="CE209" s="238"/>
      <c r="CF209" s="238"/>
    </row>
    <row r="210" spans="1:84">
      <c r="A210" s="356">
        <v>42309</v>
      </c>
      <c r="B210" s="461">
        <v>4.26</v>
      </c>
      <c r="C210" s="238">
        <v>-0.71299999999999997</v>
      </c>
      <c r="D210" s="238"/>
      <c r="E210" s="238"/>
      <c r="F210" s="238"/>
      <c r="G210" s="520"/>
      <c r="H210" s="520"/>
      <c r="I210" s="520"/>
      <c r="J210" s="521"/>
      <c r="K210" s="520"/>
      <c r="L210" s="522"/>
      <c r="M210" s="522"/>
      <c r="N210" s="521"/>
      <c r="O210" s="525"/>
      <c r="P210" s="521"/>
      <c r="Q210" s="521"/>
      <c r="S210" s="521"/>
      <c r="T210" s="521"/>
      <c r="U210" s="521"/>
      <c r="V210" s="521">
        <v>3.5469999999999997</v>
      </c>
      <c r="W210" s="521"/>
      <c r="X210" s="521"/>
      <c r="Y210" s="238"/>
      <c r="Z210" s="238"/>
      <c r="AA210" s="240"/>
      <c r="AB210" s="238">
        <v>5.3389466658434248</v>
      </c>
      <c r="AC210" s="238"/>
      <c r="AD210" s="238"/>
      <c r="AE210" s="238"/>
      <c r="AF210" s="238"/>
      <c r="AG210" s="524"/>
      <c r="AH210" s="238"/>
      <c r="AI210" s="467">
        <v>1.5880709651756699</v>
      </c>
      <c r="AJ210" s="478">
        <v>6.2466808362957205E-2</v>
      </c>
      <c r="AK210" s="478">
        <v>6.1004383088781602E-2</v>
      </c>
      <c r="AL210" s="354">
        <v>0.4186705662708905</v>
      </c>
      <c r="AM210" s="377">
        <v>0.42716258931478024</v>
      </c>
      <c r="AN210" s="238"/>
      <c r="AO210" s="238"/>
      <c r="AP210" s="238"/>
      <c r="AQ210" s="238"/>
      <c r="AR210" s="238"/>
      <c r="AS210" s="238"/>
      <c r="AT210" s="456"/>
      <c r="AU210" s="238"/>
      <c r="AV210" s="238"/>
      <c r="AW210" s="238">
        <v>0.02</v>
      </c>
      <c r="AX210" s="238"/>
      <c r="AY210" s="238"/>
      <c r="AZ210" s="241"/>
      <c r="BA210" s="241"/>
      <c r="BB210" s="241"/>
      <c r="BC210" s="238"/>
      <c r="BD210" s="238">
        <v>4.28</v>
      </c>
      <c r="BE210" s="238">
        <v>3.5469999999999997</v>
      </c>
      <c r="BF210" s="238"/>
      <c r="BG210" s="238">
        <v>0.8</v>
      </c>
      <c r="BH210" s="238"/>
      <c r="BI210" s="238"/>
      <c r="BJ210" s="238"/>
      <c r="BK210" s="238"/>
      <c r="BL210" s="238"/>
      <c r="BM210" s="238"/>
      <c r="BN210" s="238"/>
      <c r="BO210" s="238"/>
      <c r="BP210" s="238"/>
      <c r="BQ210" s="238"/>
      <c r="BR210" s="238"/>
      <c r="BS210" s="238"/>
      <c r="BT210" s="238"/>
      <c r="BU210" s="238"/>
      <c r="BV210" s="238"/>
      <c r="BW210" s="238"/>
      <c r="BX210" s="238"/>
      <c r="BY210" s="238"/>
      <c r="BZ210" s="238"/>
      <c r="CA210" s="238"/>
      <c r="CB210" s="238"/>
      <c r="CC210" s="238"/>
      <c r="CD210" s="238"/>
      <c r="CE210" s="238"/>
      <c r="CF210" s="238"/>
    </row>
    <row r="211" spans="1:84">
      <c r="A211" s="356">
        <v>42339</v>
      </c>
      <c r="B211" s="461">
        <v>4.4110000000000005</v>
      </c>
      <c r="C211" s="238">
        <v>-0.71299999999999997</v>
      </c>
      <c r="D211" s="238"/>
      <c r="E211" s="238"/>
      <c r="F211" s="238"/>
      <c r="G211" s="520"/>
      <c r="H211" s="520"/>
      <c r="I211" s="520"/>
      <c r="J211" s="521"/>
      <c r="K211" s="520"/>
      <c r="L211" s="522"/>
      <c r="M211" s="522"/>
      <c r="N211" s="521"/>
      <c r="O211" s="525"/>
      <c r="P211" s="521"/>
      <c r="Q211" s="521"/>
      <c r="S211" s="521"/>
      <c r="T211" s="521"/>
      <c r="U211" s="521"/>
      <c r="V211" s="521">
        <v>3.6980000000000004</v>
      </c>
      <c r="W211" s="521"/>
      <c r="X211" s="521"/>
      <c r="Y211" s="238"/>
      <c r="Z211" s="238"/>
      <c r="AA211" s="240"/>
      <c r="AB211" s="238">
        <v>5.5673521218524264</v>
      </c>
      <c r="AC211" s="238"/>
      <c r="AD211" s="238"/>
      <c r="AE211" s="238"/>
      <c r="AF211" s="238"/>
      <c r="AG211" s="524"/>
      <c r="AH211" s="238"/>
      <c r="AI211" s="467">
        <v>1.5883905517234</v>
      </c>
      <c r="AJ211" s="478">
        <v>6.2510957223520999E-2</v>
      </c>
      <c r="AK211" s="478">
        <v>6.1042369592986007E-2</v>
      </c>
      <c r="AL211" s="354">
        <v>0.41630685788731325</v>
      </c>
      <c r="AM211" s="377">
        <v>0.4248364148319097</v>
      </c>
      <c r="AN211" s="238"/>
      <c r="AO211" s="238"/>
      <c r="AP211" s="238"/>
      <c r="AQ211" s="238"/>
      <c r="AR211" s="238"/>
      <c r="AS211" s="238"/>
      <c r="AT211" s="456"/>
      <c r="AU211" s="238"/>
      <c r="AV211" s="238"/>
      <c r="AW211" s="238">
        <v>0.02</v>
      </c>
      <c r="AX211" s="238"/>
      <c r="AY211" s="238"/>
      <c r="AZ211" s="241"/>
      <c r="BA211" s="241"/>
      <c r="BB211" s="241"/>
      <c r="BC211" s="238"/>
      <c r="BD211" s="238">
        <v>4.431</v>
      </c>
      <c r="BE211" s="238">
        <v>3.6980000000000004</v>
      </c>
      <c r="BF211" s="238"/>
      <c r="BG211" s="238">
        <v>1.1000000000000001</v>
      </c>
      <c r="BH211" s="238"/>
      <c r="BI211" s="238"/>
      <c r="BJ211" s="238"/>
      <c r="BK211" s="238"/>
      <c r="BL211" s="238"/>
      <c r="BM211" s="238"/>
      <c r="BN211" s="238"/>
      <c r="BO211" s="238"/>
      <c r="BP211" s="238"/>
      <c r="BQ211" s="238"/>
      <c r="BR211" s="238"/>
      <c r="BS211" s="238"/>
      <c r="BT211" s="238"/>
      <c r="BU211" s="238"/>
      <c r="BV211" s="238"/>
      <c r="BW211" s="238"/>
      <c r="BX211" s="238"/>
      <c r="BY211" s="238"/>
      <c r="BZ211" s="238"/>
      <c r="CA211" s="238"/>
      <c r="CB211" s="238"/>
      <c r="CC211" s="238"/>
      <c r="CD211" s="238"/>
      <c r="CE211" s="238"/>
      <c r="CF211" s="238"/>
    </row>
    <row r="212" spans="1:84">
      <c r="A212" s="356">
        <v>42370</v>
      </c>
      <c r="B212" s="461">
        <v>4.5120000000000005</v>
      </c>
      <c r="C212" s="238">
        <v>-0.71299999999999997</v>
      </c>
      <c r="D212" s="238"/>
      <c r="E212" s="238"/>
      <c r="F212" s="238"/>
      <c r="G212" s="520"/>
      <c r="H212" s="520"/>
      <c r="I212" s="520"/>
      <c r="J212" s="521"/>
      <c r="K212" s="520"/>
      <c r="L212" s="522"/>
      <c r="M212" s="522"/>
      <c r="N212" s="521"/>
      <c r="O212" s="525"/>
      <c r="P212" s="521"/>
      <c r="Q212" s="521"/>
      <c r="S212" s="521"/>
      <c r="T212" s="521"/>
      <c r="U212" s="521"/>
      <c r="V212" s="521">
        <v>3.7990000000000004</v>
      </c>
      <c r="W212" s="521"/>
      <c r="X212" s="521"/>
      <c r="Y212" s="238"/>
      <c r="Z212" s="238"/>
      <c r="AA212" s="240"/>
      <c r="AB212" s="238">
        <v>5.7206031885311255</v>
      </c>
      <c r="AC212" s="238"/>
      <c r="AD212" s="238"/>
      <c r="AE212" s="238"/>
      <c r="AF212" s="238"/>
      <c r="AG212" s="524"/>
      <c r="AH212" s="238"/>
      <c r="AI212" s="467">
        <v>1.58872248425346</v>
      </c>
      <c r="AJ212" s="478">
        <v>6.2556577713448899E-2</v>
      </c>
      <c r="AK212" s="478">
        <v>6.1081622314500504E-2</v>
      </c>
      <c r="AL212" s="354">
        <v>0.41387532580623115</v>
      </c>
      <c r="AM212" s="377">
        <v>0.42244332527213763</v>
      </c>
      <c r="AN212" s="238"/>
      <c r="AO212" s="238"/>
      <c r="AP212" s="238"/>
      <c r="AQ212" s="238"/>
      <c r="AR212" s="238"/>
      <c r="AS212" s="238"/>
      <c r="AT212" s="456"/>
      <c r="AU212" s="238"/>
      <c r="AV212" s="238"/>
      <c r="AW212" s="238">
        <v>0.02</v>
      </c>
      <c r="AX212" s="238"/>
      <c r="AY212" s="238"/>
      <c r="AZ212" s="241"/>
      <c r="BA212" s="241"/>
      <c r="BB212" s="241"/>
      <c r="BC212" s="238"/>
      <c r="BD212" s="238">
        <v>4.532</v>
      </c>
      <c r="BE212" s="238">
        <v>3.7990000000000004</v>
      </c>
      <c r="BF212" s="238"/>
      <c r="BG212" s="238">
        <v>1.1000000000000001</v>
      </c>
      <c r="BH212" s="238"/>
      <c r="BI212" s="238"/>
      <c r="BJ212" s="238"/>
      <c r="BK212" s="238"/>
      <c r="BL212" s="238"/>
      <c r="BM212" s="238"/>
      <c r="BN212" s="238"/>
      <c r="BO212" s="238"/>
      <c r="BP212" s="238"/>
      <c r="BQ212" s="238"/>
      <c r="BR212" s="238"/>
      <c r="BS212" s="238"/>
      <c r="BT212" s="238"/>
      <c r="BU212" s="238"/>
      <c r="BV212" s="238"/>
      <c r="BW212" s="238"/>
      <c r="BX212" s="238"/>
      <c r="BY212" s="238"/>
      <c r="BZ212" s="238"/>
      <c r="CA212" s="238"/>
      <c r="CB212" s="238"/>
      <c r="CC212" s="238"/>
      <c r="CD212" s="238"/>
      <c r="CE212" s="238"/>
      <c r="CF212" s="238"/>
    </row>
    <row r="213" spans="1:84">
      <c r="A213" s="356">
        <v>42401</v>
      </c>
      <c r="B213" s="461">
        <v>4.3980000000000006</v>
      </c>
      <c r="C213" s="238">
        <v>-0.71299999999999997</v>
      </c>
      <c r="D213" s="238"/>
      <c r="E213" s="238"/>
      <c r="F213" s="238"/>
      <c r="G213" s="520"/>
      <c r="H213" s="520"/>
      <c r="I213" s="520"/>
      <c r="J213" s="521"/>
      <c r="K213" s="520"/>
      <c r="L213" s="522"/>
      <c r="M213" s="522"/>
      <c r="N213" s="521"/>
      <c r="O213" s="525"/>
      <c r="P213" s="521"/>
      <c r="Q213" s="521"/>
      <c r="S213" s="521"/>
      <c r="T213" s="521"/>
      <c r="U213" s="521"/>
      <c r="V213" s="521">
        <v>3.6850000000000001</v>
      </c>
      <c r="W213" s="521"/>
      <c r="X213" s="521"/>
      <c r="Y213" s="238"/>
      <c r="Z213" s="238"/>
      <c r="AA213" s="240"/>
      <c r="AB213" s="238">
        <v>5.5501052746463264</v>
      </c>
      <c r="AC213" s="238"/>
      <c r="AD213" s="238"/>
      <c r="AE213" s="238"/>
      <c r="AF213" s="238"/>
      <c r="AG213" s="524"/>
      <c r="AH213" s="238"/>
      <c r="AI213" s="467">
        <v>1.5890561385745601</v>
      </c>
      <c r="AJ213" s="478">
        <v>6.2602198204068302E-2</v>
      </c>
      <c r="AK213" s="478">
        <v>6.1120875036527099E-2</v>
      </c>
      <c r="AL213" s="354">
        <v>0.41145491173576737</v>
      </c>
      <c r="AM213" s="377">
        <v>0.42006100433046578</v>
      </c>
      <c r="AN213" s="238"/>
      <c r="AO213" s="238"/>
      <c r="AP213" s="238"/>
      <c r="AQ213" s="238"/>
      <c r="AR213" s="238"/>
      <c r="AS213" s="238"/>
      <c r="AT213" s="456"/>
      <c r="AU213" s="238"/>
      <c r="AV213" s="238"/>
      <c r="AW213" s="238">
        <v>0.02</v>
      </c>
      <c r="AX213" s="238"/>
      <c r="AY213" s="238"/>
      <c r="AZ213" s="241"/>
      <c r="BA213" s="241"/>
      <c r="BB213" s="241"/>
      <c r="BC213" s="238"/>
      <c r="BD213" s="238">
        <v>4.4180000000000001</v>
      </c>
      <c r="BE213" s="238">
        <v>3.6850000000000001</v>
      </c>
      <c r="BF213" s="238"/>
      <c r="BG213" s="238">
        <v>1.1000000000000001</v>
      </c>
      <c r="BH213" s="238"/>
      <c r="BI213" s="238"/>
      <c r="BJ213" s="238"/>
      <c r="BK213" s="238"/>
      <c r="BL213" s="238"/>
      <c r="BM213" s="238"/>
      <c r="BN213" s="238"/>
      <c r="BO213" s="238"/>
      <c r="BP213" s="238"/>
      <c r="BQ213" s="238"/>
      <c r="BR213" s="238"/>
      <c r="BS213" s="238"/>
      <c r="BT213" s="238"/>
      <c r="BU213" s="238"/>
      <c r="BV213" s="238"/>
      <c r="BW213" s="238"/>
      <c r="BX213" s="238"/>
      <c r="BY213" s="238"/>
      <c r="BZ213" s="238"/>
      <c r="CA213" s="238"/>
      <c r="CB213" s="238"/>
      <c r="CC213" s="238"/>
      <c r="CD213" s="238"/>
      <c r="CE213" s="238"/>
      <c r="CF213" s="238"/>
    </row>
    <row r="214" spans="1:84">
      <c r="A214" s="356">
        <v>42430</v>
      </c>
      <c r="B214" s="461">
        <v>4.266</v>
      </c>
      <c r="C214" s="238">
        <v>-0.71299999999999997</v>
      </c>
      <c r="D214" s="238"/>
      <c r="E214" s="238"/>
      <c r="F214" s="238"/>
      <c r="G214" s="520"/>
      <c r="H214" s="520"/>
      <c r="I214" s="520"/>
      <c r="J214" s="521"/>
      <c r="K214" s="520"/>
      <c r="L214" s="522"/>
      <c r="M214" s="522"/>
      <c r="N214" s="521"/>
      <c r="O214" s="525"/>
      <c r="P214" s="521"/>
      <c r="Q214" s="521"/>
      <c r="S214" s="521"/>
      <c r="T214" s="521"/>
      <c r="U214" s="521"/>
      <c r="V214" s="521">
        <v>3.5529999999999999</v>
      </c>
      <c r="W214" s="521"/>
      <c r="X214" s="521"/>
      <c r="Y214" s="238"/>
      <c r="Z214" s="238"/>
      <c r="AA214" s="240"/>
      <c r="AB214" s="238">
        <v>5.3523519066431495</v>
      </c>
      <c r="AC214" s="238"/>
      <c r="AD214" s="238"/>
      <c r="AE214" s="238"/>
      <c r="AF214" s="238"/>
      <c r="AG214" s="524"/>
      <c r="AH214" s="238"/>
      <c r="AI214" s="467">
        <v>1.58936982640453</v>
      </c>
      <c r="AJ214" s="478">
        <v>6.2644875437853506E-2</v>
      </c>
      <c r="AK214" s="478">
        <v>6.1157595325337204E-2</v>
      </c>
      <c r="AL214" s="354">
        <v>0.4092006931643784</v>
      </c>
      <c r="AM214" s="377">
        <v>0.41784210386076481</v>
      </c>
      <c r="AN214" s="238"/>
      <c r="AO214" s="238"/>
      <c r="AP214" s="238"/>
      <c r="AQ214" s="238"/>
      <c r="AR214" s="238"/>
      <c r="AS214" s="238"/>
      <c r="AT214" s="456"/>
      <c r="AU214" s="238"/>
      <c r="AV214" s="238"/>
      <c r="AW214" s="238">
        <v>0.02</v>
      </c>
      <c r="AX214" s="238"/>
      <c r="AY214" s="238"/>
      <c r="AZ214" s="241"/>
      <c r="BA214" s="241"/>
      <c r="BB214" s="241"/>
      <c r="BC214" s="238"/>
      <c r="BD214" s="238">
        <v>4.2859999999999996</v>
      </c>
      <c r="BE214" s="238">
        <v>3.5529999999999999</v>
      </c>
      <c r="BF214" s="238"/>
      <c r="BG214" s="238">
        <v>0.75</v>
      </c>
      <c r="BH214" s="238"/>
      <c r="BI214" s="238"/>
      <c r="BJ214" s="238"/>
      <c r="BK214" s="238"/>
      <c r="BL214" s="238"/>
      <c r="BM214" s="238"/>
      <c r="BN214" s="238"/>
      <c r="BO214" s="238"/>
      <c r="BP214" s="238"/>
      <c r="BQ214" s="238"/>
      <c r="BR214" s="238"/>
      <c r="BS214" s="238"/>
      <c r="BT214" s="238"/>
      <c r="BU214" s="238"/>
      <c r="BV214" s="238"/>
      <c r="BW214" s="238"/>
      <c r="BX214" s="238"/>
      <c r="BY214" s="238"/>
      <c r="BZ214" s="238"/>
      <c r="CA214" s="238"/>
      <c r="CB214" s="238"/>
      <c r="CC214" s="238"/>
      <c r="CD214" s="238"/>
      <c r="CE214" s="238"/>
      <c r="CF214" s="238"/>
    </row>
    <row r="215" spans="1:84">
      <c r="A215" s="356">
        <v>42461</v>
      </c>
      <c r="B215" s="461">
        <v>4.0680000000000005</v>
      </c>
      <c r="C215" s="238">
        <v>-0.81299999999999994</v>
      </c>
      <c r="D215" s="238"/>
      <c r="E215" s="238"/>
      <c r="F215" s="238"/>
      <c r="G215" s="520"/>
      <c r="H215" s="520"/>
      <c r="I215" s="520"/>
      <c r="J215" s="521"/>
      <c r="K215" s="520"/>
      <c r="L215" s="522"/>
      <c r="M215" s="522"/>
      <c r="N215" s="521"/>
      <c r="O215" s="525"/>
      <c r="P215" s="521"/>
      <c r="Q215" s="521"/>
      <c r="S215" s="521"/>
      <c r="T215" s="521"/>
      <c r="U215" s="521"/>
      <c r="V215" s="521">
        <v>3.2549999999999999</v>
      </c>
      <c r="W215" s="521"/>
      <c r="X215" s="521"/>
      <c r="Y215" s="238"/>
      <c r="Z215" s="238"/>
      <c r="AA215" s="240"/>
      <c r="AB215" s="238">
        <v>4.9044749149611944</v>
      </c>
      <c r="AC215" s="238"/>
      <c r="AD215" s="238"/>
      <c r="AE215" s="238"/>
      <c r="AF215" s="238"/>
      <c r="AG215" s="524"/>
      <c r="AH215" s="238"/>
      <c r="AI215" s="467">
        <v>1.5897068159383398</v>
      </c>
      <c r="AJ215" s="478">
        <v>6.2690495929809104E-2</v>
      </c>
      <c r="AK215" s="478">
        <v>6.1196848048353604E-2</v>
      </c>
      <c r="AL215" s="354">
        <v>0.40680171610014509</v>
      </c>
      <c r="AM215" s="377">
        <v>0.41548054019904429</v>
      </c>
      <c r="AN215" s="238"/>
      <c r="AO215" s="238"/>
      <c r="AP215" s="238"/>
      <c r="AQ215" s="238"/>
      <c r="AR215" s="238"/>
      <c r="AS215" s="238"/>
      <c r="AT215" s="456"/>
      <c r="AU215" s="238"/>
      <c r="AV215" s="238"/>
      <c r="AW215" s="238">
        <v>5.0000000000000001E-3</v>
      </c>
      <c r="AX215" s="238"/>
      <c r="AY215" s="238"/>
      <c r="AZ215" s="241"/>
      <c r="BA215" s="241"/>
      <c r="BB215" s="241"/>
      <c r="BC215" s="238"/>
      <c r="BD215" s="238">
        <v>4.0730000000000004</v>
      </c>
      <c r="BE215" s="238">
        <v>3.2549999999999999</v>
      </c>
      <c r="BF215" s="238"/>
      <c r="BG215" s="238">
        <v>0.45</v>
      </c>
      <c r="BH215" s="238"/>
      <c r="BI215" s="238"/>
      <c r="BJ215" s="238"/>
      <c r="BK215" s="238"/>
      <c r="BL215" s="238"/>
      <c r="BM215" s="238"/>
      <c r="BN215" s="238"/>
      <c r="BO215" s="238"/>
      <c r="BP215" s="238"/>
      <c r="BQ215" s="238"/>
      <c r="BR215" s="238"/>
      <c r="BS215" s="238"/>
      <c r="BT215" s="238"/>
      <c r="BU215" s="238"/>
      <c r="BV215" s="238"/>
      <c r="BW215" s="238"/>
      <c r="BX215" s="238"/>
      <c r="BY215" s="238"/>
      <c r="BZ215" s="238"/>
      <c r="CA215" s="238"/>
      <c r="CB215" s="238"/>
      <c r="CC215" s="238"/>
      <c r="CD215" s="238"/>
      <c r="CE215" s="238"/>
      <c r="CF215" s="238"/>
    </row>
    <row r="216" spans="1:84">
      <c r="A216" s="356">
        <v>42491</v>
      </c>
      <c r="B216" s="461">
        <v>4.0640000000000001</v>
      </c>
      <c r="C216" s="238">
        <v>-0.81299999999999994</v>
      </c>
      <c r="D216" s="238"/>
      <c r="E216" s="238"/>
      <c r="F216" s="238"/>
      <c r="G216" s="520"/>
      <c r="H216" s="520"/>
      <c r="I216" s="520"/>
      <c r="J216" s="521"/>
      <c r="K216" s="520"/>
      <c r="L216" s="522"/>
      <c r="M216" s="522"/>
      <c r="N216" s="521"/>
      <c r="O216" s="525"/>
      <c r="P216" s="521"/>
      <c r="Q216" s="521"/>
      <c r="S216" s="521"/>
      <c r="T216" s="521"/>
      <c r="U216" s="521"/>
      <c r="V216" s="521">
        <v>3.2510000000000003</v>
      </c>
      <c r="W216" s="521"/>
      <c r="X216" s="521"/>
      <c r="Y216" s="238"/>
      <c r="Z216" s="238"/>
      <c r="AA216" s="240"/>
      <c r="AB216" s="238">
        <v>4.8994578576482706</v>
      </c>
      <c r="AC216" s="238"/>
      <c r="AD216" s="238"/>
      <c r="AE216" s="238"/>
      <c r="AF216" s="238"/>
      <c r="AG216" s="524"/>
      <c r="AH216" s="238"/>
      <c r="AI216" s="467">
        <v>1.5900345768867898</v>
      </c>
      <c r="AJ216" s="478">
        <v>6.2734644793650304E-2</v>
      </c>
      <c r="AK216" s="478">
        <v>6.1234834554985802E-2</v>
      </c>
      <c r="AL216" s="354">
        <v>0.40449063096085619</v>
      </c>
      <c r="AM216" s="377">
        <v>0.41320532557309203</v>
      </c>
      <c r="AN216" s="238"/>
      <c r="AO216" s="238"/>
      <c r="AP216" s="238"/>
      <c r="AQ216" s="238"/>
      <c r="AR216" s="238"/>
      <c r="AS216" s="238"/>
      <c r="AT216" s="456"/>
      <c r="AU216" s="238"/>
      <c r="AV216" s="238"/>
      <c r="AW216" s="238">
        <v>5.0000000000000001E-3</v>
      </c>
      <c r="AX216" s="238"/>
      <c r="AY216" s="238"/>
      <c r="AZ216" s="241"/>
      <c r="BA216" s="241"/>
      <c r="BB216" s="241"/>
      <c r="BC216" s="238"/>
      <c r="BD216" s="238">
        <v>4.069</v>
      </c>
      <c r="BE216" s="238">
        <v>3.2510000000000003</v>
      </c>
      <c r="BF216" s="238"/>
      <c r="BG216" s="238">
        <v>0.5</v>
      </c>
      <c r="BH216" s="238"/>
      <c r="BI216" s="238"/>
      <c r="BJ216" s="238"/>
      <c r="BK216" s="238"/>
      <c r="BL216" s="238"/>
      <c r="BM216" s="238"/>
      <c r="BN216" s="238"/>
      <c r="BO216" s="238"/>
      <c r="BP216" s="238"/>
      <c r="BQ216" s="238"/>
      <c r="BR216" s="238"/>
      <c r="BS216" s="238"/>
      <c r="BT216" s="238"/>
      <c r="BU216" s="238"/>
      <c r="BV216" s="238"/>
      <c r="BW216" s="238"/>
      <c r="BX216" s="238"/>
      <c r="BY216" s="238"/>
      <c r="BZ216" s="238"/>
      <c r="CA216" s="238"/>
      <c r="CB216" s="238"/>
      <c r="CC216" s="238"/>
      <c r="CD216" s="238"/>
      <c r="CE216" s="238"/>
      <c r="CF216" s="238"/>
    </row>
    <row r="217" spans="1:84">
      <c r="A217" s="356">
        <v>42522</v>
      </c>
      <c r="B217" s="461">
        <v>4.0960000000000001</v>
      </c>
      <c r="C217" s="238">
        <v>-0.81299999999999994</v>
      </c>
      <c r="D217" s="238"/>
      <c r="E217" s="238"/>
      <c r="F217" s="238"/>
      <c r="G217" s="520"/>
      <c r="H217" s="520"/>
      <c r="I217" s="520"/>
      <c r="J217" s="521"/>
      <c r="K217" s="520"/>
      <c r="L217" s="522"/>
      <c r="M217" s="522"/>
      <c r="N217" s="521"/>
      <c r="O217" s="525"/>
      <c r="P217" s="521"/>
      <c r="Q217" s="521"/>
      <c r="S217" s="521"/>
      <c r="T217" s="521"/>
      <c r="U217" s="521"/>
      <c r="V217" s="521">
        <v>3.2830000000000004</v>
      </c>
      <c r="W217" s="521"/>
      <c r="X217" s="521"/>
      <c r="Y217" s="238"/>
      <c r="Z217" s="238"/>
      <c r="AA217" s="240"/>
      <c r="AB217" s="238">
        <v>4.9487430019944076</v>
      </c>
      <c r="AC217" s="238"/>
      <c r="AD217" s="238"/>
      <c r="AE217" s="238"/>
      <c r="AF217" s="238"/>
      <c r="AG217" s="524"/>
      <c r="AH217" s="238"/>
      <c r="AI217" s="467">
        <v>1.59037496092361</v>
      </c>
      <c r="AJ217" s="478">
        <v>6.2780265286964898E-2</v>
      </c>
      <c r="AK217" s="478">
        <v>6.1274087279009404E-2</v>
      </c>
      <c r="AL217" s="354">
        <v>0.40211333719927161</v>
      </c>
      <c r="AM217" s="377">
        <v>0.41086474971741355</v>
      </c>
      <c r="AN217" s="238"/>
      <c r="AO217" s="238"/>
      <c r="AP217" s="238"/>
      <c r="AQ217" s="238"/>
      <c r="AR217" s="238"/>
      <c r="AS217" s="238"/>
      <c r="AT217" s="456"/>
      <c r="AU217" s="238"/>
      <c r="AV217" s="238"/>
      <c r="AW217" s="238">
        <v>5.0000000000000001E-3</v>
      </c>
      <c r="AX217" s="238"/>
      <c r="AY217" s="238"/>
      <c r="AZ217" s="241"/>
      <c r="BA217" s="241"/>
      <c r="BB217" s="241"/>
      <c r="BC217" s="238"/>
      <c r="BD217" s="238">
        <v>4.101</v>
      </c>
      <c r="BE217" s="238">
        <v>3.2830000000000004</v>
      </c>
      <c r="BF217" s="238"/>
      <c r="BG217" s="238">
        <v>0.5</v>
      </c>
      <c r="BH217" s="238"/>
      <c r="BI217" s="238"/>
      <c r="BJ217" s="238"/>
      <c r="BK217" s="238"/>
      <c r="BL217" s="238"/>
      <c r="BM217" s="238"/>
      <c r="BN217" s="238"/>
      <c r="BO217" s="238"/>
      <c r="BP217" s="238"/>
      <c r="BQ217" s="238"/>
      <c r="BR217" s="238"/>
      <c r="BS217" s="238"/>
      <c r="BT217" s="238"/>
      <c r="BU217" s="238"/>
      <c r="BV217" s="238"/>
      <c r="BW217" s="238"/>
      <c r="BX217" s="238"/>
      <c r="BY217" s="238"/>
      <c r="BZ217" s="238"/>
      <c r="CA217" s="238"/>
      <c r="CB217" s="238"/>
      <c r="CC217" s="238"/>
      <c r="CD217" s="238"/>
      <c r="CE217" s="238"/>
      <c r="CF217" s="238"/>
    </row>
    <row r="218" spans="1:84">
      <c r="A218" s="356">
        <v>42552</v>
      </c>
      <c r="B218" s="461">
        <v>4.1459999999999999</v>
      </c>
      <c r="C218" s="238">
        <v>-0.81299999999999994</v>
      </c>
      <c r="D218" s="238"/>
      <c r="E218" s="238"/>
      <c r="F218" s="238"/>
      <c r="G218" s="520"/>
      <c r="H218" s="520"/>
      <c r="I218" s="520"/>
      <c r="J218" s="521"/>
      <c r="K218" s="520"/>
      <c r="L218" s="522"/>
      <c r="M218" s="522"/>
      <c r="N218" s="521"/>
      <c r="O218" s="525"/>
      <c r="P218" s="526"/>
      <c r="Q218" s="527"/>
      <c r="S218" s="527"/>
      <c r="T218" s="256"/>
      <c r="U218" s="354"/>
      <c r="V218" s="354">
        <v>3.3330000000000002</v>
      </c>
      <c r="W218" s="238"/>
      <c r="X218" s="238"/>
      <c r="Y218" s="238"/>
      <c r="Z218" s="238"/>
      <c r="AA218" s="240"/>
      <c r="AB218" s="238">
        <v>5.0251580266704341</v>
      </c>
      <c r="AC218" s="238"/>
      <c r="AD218" s="238"/>
      <c r="AE218" s="238"/>
      <c r="AF218" s="238"/>
      <c r="AG218" s="524"/>
      <c r="AH218" s="238"/>
      <c r="AI218" s="467">
        <v>1.59070600869691</v>
      </c>
      <c r="AJ218" s="478">
        <v>6.2824414152120603E-2</v>
      </c>
      <c r="AK218" s="478">
        <v>6.1312073786616003E-2</v>
      </c>
      <c r="AL218" s="354">
        <v>0.39982318153659574</v>
      </c>
      <c r="AM218" s="377">
        <v>0.40860978945491799</v>
      </c>
      <c r="AN218" s="238"/>
      <c r="AO218" s="238"/>
      <c r="AP218" s="238"/>
      <c r="AQ218" s="238"/>
      <c r="AR218" s="238"/>
      <c r="AS218" s="238"/>
      <c r="AT218" s="456"/>
      <c r="AU218" s="238"/>
      <c r="AV218" s="238"/>
      <c r="AW218" s="238">
        <v>0</v>
      </c>
      <c r="AX218" s="238"/>
      <c r="AY218" s="238"/>
      <c r="AZ218" s="241"/>
      <c r="BA218" s="241"/>
      <c r="BB218" s="241"/>
      <c r="BC218" s="238"/>
      <c r="BD218" s="238">
        <v>4.1459999999999999</v>
      </c>
      <c r="BE218" s="238">
        <v>3.3330000000000002</v>
      </c>
      <c r="BF218" s="238"/>
      <c r="BG218" s="238">
        <v>0.55000000000000004</v>
      </c>
      <c r="BH218" s="238"/>
      <c r="BI218" s="238"/>
      <c r="BJ218" s="238"/>
      <c r="BK218" s="238"/>
      <c r="BL218" s="238"/>
      <c r="BM218" s="238"/>
      <c r="BN218" s="238"/>
      <c r="BO218" s="238"/>
      <c r="BP218" s="238"/>
      <c r="BQ218" s="238"/>
      <c r="BR218" s="238"/>
      <c r="BS218" s="238"/>
      <c r="BT218" s="238"/>
      <c r="BU218" s="238"/>
      <c r="BV218" s="238"/>
      <c r="BW218" s="238"/>
      <c r="BX218" s="238"/>
      <c r="BY218" s="238"/>
      <c r="BZ218" s="238"/>
      <c r="CA218" s="238"/>
      <c r="CB218" s="238"/>
      <c r="CC218" s="238"/>
      <c r="CD218" s="238"/>
      <c r="CE218" s="238"/>
      <c r="CF218" s="238"/>
    </row>
    <row r="219" spans="1:84">
      <c r="A219" s="356">
        <v>42583</v>
      </c>
      <c r="B219" s="461">
        <v>4.18</v>
      </c>
      <c r="C219" s="238">
        <v>-0.81299999999999994</v>
      </c>
      <c r="D219" s="238"/>
      <c r="E219" s="238"/>
      <c r="F219" s="238"/>
      <c r="G219" s="520"/>
      <c r="H219" s="520"/>
      <c r="I219" s="520"/>
      <c r="J219" s="521"/>
      <c r="K219" s="520"/>
      <c r="L219" s="522"/>
      <c r="M219" s="522"/>
      <c r="N219" s="521"/>
      <c r="O219" s="525"/>
      <c r="P219" s="526"/>
      <c r="Q219" s="527"/>
      <c r="S219" s="527"/>
      <c r="T219" s="256"/>
      <c r="U219" s="354"/>
      <c r="V219" s="354">
        <v>3.367</v>
      </c>
      <c r="W219" s="238"/>
      <c r="X219" s="238"/>
      <c r="Y219" s="238"/>
      <c r="Z219" s="238"/>
      <c r="AA219" s="240"/>
      <c r="AB219" s="238">
        <v>5.0775168771513179</v>
      </c>
      <c r="AC219" s="238"/>
      <c r="AD219" s="238"/>
      <c r="AE219" s="238"/>
      <c r="AF219" s="238"/>
      <c r="AG219" s="524"/>
      <c r="AH219" s="238"/>
      <c r="AI219" s="467">
        <v>1.5910497910126999</v>
      </c>
      <c r="AJ219" s="478">
        <v>6.287003464679411E-2</v>
      </c>
      <c r="AK219" s="478">
        <v>6.1351326511645904E-2</v>
      </c>
      <c r="AL219" s="354">
        <v>0.3974674585754015</v>
      </c>
      <c r="AM219" s="377">
        <v>0.40629008474188261</v>
      </c>
      <c r="AN219" s="238"/>
      <c r="AO219" s="238"/>
      <c r="AP219" s="238"/>
      <c r="AQ219" s="238"/>
      <c r="AR219" s="238"/>
      <c r="AS219" s="238"/>
      <c r="AT219" s="456"/>
      <c r="AU219" s="238"/>
      <c r="AV219" s="238"/>
      <c r="AW219" s="238">
        <v>0</v>
      </c>
      <c r="AX219" s="238"/>
      <c r="AY219" s="238"/>
      <c r="AZ219" s="241"/>
      <c r="BA219" s="241"/>
      <c r="BB219" s="241"/>
      <c r="BC219" s="238"/>
      <c r="BD219" s="238">
        <v>4.18</v>
      </c>
      <c r="BE219" s="238">
        <v>3.367</v>
      </c>
      <c r="BF219" s="238"/>
      <c r="BG219" s="238">
        <v>0.6</v>
      </c>
      <c r="BH219" s="238"/>
      <c r="BI219" s="238"/>
      <c r="BJ219" s="238"/>
      <c r="BK219" s="238"/>
      <c r="BL219" s="238"/>
      <c r="BM219" s="238"/>
      <c r="BN219" s="238"/>
      <c r="BO219" s="238"/>
      <c r="BP219" s="238"/>
      <c r="BQ219" s="238"/>
      <c r="BR219" s="238"/>
      <c r="BS219" s="238"/>
      <c r="BT219" s="238"/>
      <c r="BU219" s="238"/>
      <c r="BV219" s="238"/>
      <c r="BW219" s="238"/>
      <c r="BX219" s="238"/>
      <c r="BY219" s="238"/>
      <c r="BZ219" s="238"/>
      <c r="CA219" s="238"/>
      <c r="CB219" s="238"/>
      <c r="CC219" s="238"/>
      <c r="CD219" s="238"/>
      <c r="CE219" s="238"/>
      <c r="CF219" s="238"/>
    </row>
    <row r="220" spans="1:84">
      <c r="A220" s="356">
        <v>42614</v>
      </c>
      <c r="B220" s="461">
        <v>4.1930000000000005</v>
      </c>
      <c r="C220" s="238">
        <v>-0.81299999999999994</v>
      </c>
      <c r="D220" s="238"/>
      <c r="E220" s="238"/>
      <c r="F220" s="238"/>
      <c r="G220" s="520"/>
      <c r="H220" s="520"/>
      <c r="I220" s="520"/>
      <c r="J220" s="521"/>
      <c r="K220" s="520"/>
      <c r="L220" s="522"/>
      <c r="M220" s="522"/>
      <c r="N220" s="521"/>
      <c r="O220" s="525"/>
      <c r="P220" s="526"/>
      <c r="Q220" s="527"/>
      <c r="S220" s="527"/>
      <c r="T220" s="256"/>
      <c r="U220" s="354"/>
      <c r="V220" s="354">
        <v>3.38</v>
      </c>
      <c r="W220" s="238"/>
      <c r="X220" s="238"/>
      <c r="Y220" s="238"/>
      <c r="Z220" s="238"/>
      <c r="AA220" s="240"/>
      <c r="AB220" s="238">
        <v>5.0982280751234565</v>
      </c>
      <c r="AC220" s="238"/>
      <c r="AD220" s="238"/>
      <c r="AE220" s="238"/>
      <c r="AF220" s="238"/>
      <c r="AG220" s="524"/>
      <c r="AH220" s="238"/>
      <c r="AI220" s="467">
        <v>1.5913953017832698</v>
      </c>
      <c r="AJ220" s="478">
        <v>6.2915655142158106E-2</v>
      </c>
      <c r="AK220" s="478">
        <v>6.1390579237187798E-2</v>
      </c>
      <c r="AL220" s="354">
        <v>0.39512265452295653</v>
      </c>
      <c r="AM220" s="377">
        <v>0.40398094187983691</v>
      </c>
      <c r="AN220" s="238"/>
      <c r="AO220" s="238"/>
      <c r="AP220" s="238"/>
      <c r="AQ220" s="238"/>
      <c r="AR220" s="238"/>
      <c r="AS220" s="238"/>
      <c r="AT220" s="456"/>
      <c r="AU220" s="238"/>
      <c r="AV220" s="238"/>
      <c r="AW220" s="238">
        <v>0</v>
      </c>
      <c r="AX220" s="238"/>
      <c r="AY220" s="238"/>
      <c r="AZ220" s="241"/>
      <c r="BA220" s="241"/>
      <c r="BB220" s="241"/>
      <c r="BC220" s="238"/>
      <c r="BD220" s="238">
        <v>4.1930000000000005</v>
      </c>
      <c r="BE220" s="238">
        <v>3.38</v>
      </c>
      <c r="BF220" s="238"/>
      <c r="BG220" s="238">
        <v>0.6</v>
      </c>
      <c r="BH220" s="238"/>
      <c r="BI220" s="238"/>
      <c r="BJ220" s="238"/>
      <c r="BK220" s="238"/>
      <c r="BL220" s="238"/>
      <c r="BM220" s="238"/>
      <c r="BN220" s="238"/>
      <c r="BO220" s="238"/>
      <c r="BP220" s="238"/>
      <c r="BQ220" s="238"/>
      <c r="BR220" s="238"/>
      <c r="BS220" s="238"/>
      <c r="BT220" s="238"/>
      <c r="BU220" s="238"/>
      <c r="BV220" s="238"/>
      <c r="BW220" s="238"/>
      <c r="BX220" s="238"/>
      <c r="BY220" s="238"/>
      <c r="BZ220" s="238"/>
      <c r="CA220" s="238"/>
      <c r="CB220" s="238"/>
      <c r="CC220" s="238"/>
      <c r="CD220" s="238"/>
      <c r="CE220" s="238"/>
      <c r="CF220" s="238"/>
    </row>
    <row r="221" spans="1:84">
      <c r="A221" s="356">
        <v>42644</v>
      </c>
      <c r="B221" s="461">
        <v>4.2050000000000001</v>
      </c>
      <c r="C221" s="238">
        <v>-0.81299999999999994</v>
      </c>
      <c r="D221" s="238"/>
      <c r="E221" s="238"/>
      <c r="F221" s="238"/>
      <c r="G221" s="520"/>
      <c r="H221" s="520"/>
      <c r="I221" s="520"/>
      <c r="J221" s="521"/>
      <c r="K221" s="520"/>
      <c r="L221" s="522"/>
      <c r="M221" s="522"/>
      <c r="N221" s="521"/>
      <c r="O221" s="525"/>
      <c r="P221" s="526"/>
      <c r="Q221" s="527"/>
      <c r="S221" s="527"/>
      <c r="T221" s="238"/>
      <c r="U221" s="238"/>
      <c r="V221" s="238">
        <v>3.3920000000000003</v>
      </c>
      <c r="W221" s="238"/>
      <c r="X221" s="238"/>
      <c r="Y221" s="238"/>
      <c r="Z221" s="238"/>
      <c r="AA221" s="240"/>
      <c r="AB221" s="238">
        <v>5.1158611884614382</v>
      </c>
      <c r="AC221" s="238"/>
      <c r="AD221" s="238"/>
      <c r="AE221" s="238"/>
      <c r="AF221" s="238"/>
      <c r="AG221" s="524"/>
      <c r="AH221" s="238"/>
      <c r="AI221" s="467">
        <v>1.5912500123978097</v>
      </c>
      <c r="AJ221" s="478">
        <v>6.2939107150512999E-2</v>
      </c>
      <c r="AK221" s="478">
        <v>6.1428565746263902E-2</v>
      </c>
      <c r="AL221" s="354">
        <v>0.39298268650940421</v>
      </c>
      <c r="AM221" s="377">
        <v>0.40175631531012862</v>
      </c>
      <c r="AN221" s="238"/>
      <c r="AO221" s="238"/>
      <c r="AP221" s="238"/>
      <c r="AQ221" s="238"/>
      <c r="AR221" s="238"/>
      <c r="AS221" s="238"/>
      <c r="AT221" s="456"/>
      <c r="AU221" s="238"/>
      <c r="AV221" s="238"/>
      <c r="AW221" s="238">
        <v>0</v>
      </c>
      <c r="AX221" s="238"/>
      <c r="AY221" s="238"/>
      <c r="AZ221" s="241"/>
      <c r="BA221" s="241"/>
      <c r="BB221" s="241"/>
      <c r="BC221" s="238"/>
      <c r="BD221" s="238">
        <v>4.2050000000000001</v>
      </c>
      <c r="BE221" s="238">
        <v>3.3920000000000003</v>
      </c>
      <c r="BF221" s="238"/>
      <c r="BG221" s="238">
        <v>0.65</v>
      </c>
      <c r="BH221" s="238"/>
      <c r="BI221" s="238"/>
      <c r="BJ221" s="238"/>
      <c r="BK221" s="238"/>
      <c r="BL221" s="238"/>
      <c r="BM221" s="238"/>
      <c r="BN221" s="238"/>
      <c r="BO221" s="238"/>
      <c r="BP221" s="238"/>
      <c r="BQ221" s="238"/>
      <c r="BR221" s="238"/>
      <c r="BS221" s="238"/>
      <c r="BT221" s="238"/>
      <c r="BU221" s="238"/>
      <c r="BV221" s="238"/>
      <c r="BW221" s="238"/>
      <c r="BX221" s="238"/>
      <c r="BY221" s="238"/>
      <c r="BZ221" s="238"/>
      <c r="CA221" s="238"/>
      <c r="CB221" s="238"/>
      <c r="CC221" s="238"/>
      <c r="CD221" s="238"/>
      <c r="CE221" s="238"/>
      <c r="CF221" s="238"/>
    </row>
    <row r="222" spans="1:84">
      <c r="A222" s="356">
        <v>42675</v>
      </c>
      <c r="B222" s="461">
        <v>4.3499999999999996</v>
      </c>
      <c r="C222" s="238">
        <v>-0.71299999999999997</v>
      </c>
      <c r="D222" s="238"/>
      <c r="E222" s="238"/>
      <c r="F222" s="238"/>
      <c r="G222" s="520"/>
      <c r="H222" s="520"/>
      <c r="I222" s="520"/>
      <c r="J222" s="521"/>
      <c r="K222" s="520"/>
      <c r="L222" s="522"/>
      <c r="M222" s="522"/>
      <c r="N222" s="521"/>
      <c r="O222" s="525"/>
      <c r="P222" s="526"/>
      <c r="Q222" s="527"/>
      <c r="S222" s="527"/>
      <c r="T222" s="238"/>
      <c r="U222" s="238"/>
      <c r="V222" s="238">
        <v>3.6369999999999996</v>
      </c>
      <c r="W222" s="238"/>
      <c r="X222" s="238"/>
      <c r="Y222" s="238"/>
      <c r="Z222" s="238"/>
      <c r="AA222" s="240"/>
      <c r="AB222" s="238">
        <v>5.4844980282129088</v>
      </c>
      <c r="AC222" s="238"/>
      <c r="AD222" s="238"/>
      <c r="AE222" s="238"/>
      <c r="AF222" s="238"/>
      <c r="AG222" s="524"/>
      <c r="AH222" s="238"/>
      <c r="AI222" s="467">
        <v>1.5909960274001098</v>
      </c>
      <c r="AJ222" s="478">
        <v>6.2959063541838695E-2</v>
      </c>
      <c r="AK222" s="478">
        <v>6.1467818472812102E-2</v>
      </c>
      <c r="AL222" s="354">
        <v>0.39080659190354722</v>
      </c>
      <c r="AM222" s="377">
        <v>0.39946786713801424</v>
      </c>
      <c r="AN222" s="238"/>
      <c r="AO222" s="238"/>
      <c r="AP222" s="238"/>
      <c r="AQ222" s="238"/>
      <c r="AR222" s="238"/>
      <c r="AS222" s="238"/>
      <c r="AT222" s="456"/>
      <c r="AU222" s="238"/>
      <c r="AV222" s="238"/>
      <c r="AW222" s="238">
        <v>0</v>
      </c>
      <c r="AX222" s="238"/>
      <c r="AY222" s="238"/>
      <c r="AZ222" s="241"/>
      <c r="BA222" s="241"/>
      <c r="BB222" s="241"/>
      <c r="BC222" s="238"/>
      <c r="BD222" s="238">
        <v>4.3499999999999996</v>
      </c>
      <c r="BE222" s="238">
        <v>3.6369999999999996</v>
      </c>
      <c r="BF222" s="238"/>
      <c r="BG222" s="238">
        <v>0.8</v>
      </c>
      <c r="BH222" s="238"/>
      <c r="BI222" s="238"/>
      <c r="BJ222" s="238"/>
      <c r="BK222" s="238"/>
      <c r="BL222" s="238"/>
      <c r="BM222" s="238"/>
      <c r="BN222" s="238"/>
      <c r="BO222" s="238"/>
      <c r="BP222" s="238"/>
      <c r="BQ222" s="238"/>
      <c r="BR222" s="238"/>
      <c r="BS222" s="238"/>
      <c r="BT222" s="238"/>
      <c r="BU222" s="238"/>
      <c r="BV222" s="238"/>
      <c r="BW222" s="238"/>
      <c r="BX222" s="238"/>
      <c r="BY222" s="238"/>
      <c r="BZ222" s="238"/>
      <c r="CA222" s="238"/>
      <c r="CB222" s="238"/>
      <c r="CC222" s="238"/>
      <c r="CD222" s="238"/>
      <c r="CE222" s="238"/>
      <c r="CF222" s="238"/>
    </row>
    <row r="223" spans="1:84">
      <c r="A223" s="356">
        <v>42705</v>
      </c>
      <c r="B223" s="461">
        <v>4.5010000000000003</v>
      </c>
      <c r="C223" s="238">
        <v>-0.71299999999999997</v>
      </c>
      <c r="D223" s="238"/>
      <c r="E223" s="238"/>
      <c r="F223" s="238"/>
      <c r="G223" s="520"/>
      <c r="H223" s="520"/>
      <c r="I223" s="520"/>
      <c r="J223" s="521"/>
      <c r="K223" s="520"/>
      <c r="L223" s="522"/>
      <c r="M223" s="522"/>
      <c r="N223" s="521"/>
      <c r="O223" s="525"/>
      <c r="P223" s="526"/>
      <c r="Q223" s="527"/>
      <c r="S223" s="527"/>
      <c r="T223" s="238"/>
      <c r="U223" s="238"/>
      <c r="V223" s="238">
        <v>3.7880000000000003</v>
      </c>
      <c r="W223" s="238"/>
      <c r="X223" s="238"/>
      <c r="Y223" s="238"/>
      <c r="Z223" s="238"/>
      <c r="AA223" s="240"/>
      <c r="AB223" s="238">
        <v>5.7113023754996401</v>
      </c>
      <c r="AC223" s="238"/>
      <c r="AD223" s="238"/>
      <c r="AE223" s="238"/>
      <c r="AF223" s="238"/>
      <c r="AG223" s="524"/>
      <c r="AH223" s="238"/>
      <c r="AI223" s="467">
        <v>1.5907454696634498</v>
      </c>
      <c r="AJ223" s="478">
        <v>6.2978376178731504E-2</v>
      </c>
      <c r="AK223" s="478">
        <v>6.1505804982862101E-2</v>
      </c>
      <c r="AL223" s="354">
        <v>0.3887109532254156</v>
      </c>
      <c r="AM223" s="377">
        <v>0.39726321095528028</v>
      </c>
      <c r="AN223" s="238"/>
      <c r="AO223" s="238"/>
      <c r="AP223" s="238"/>
      <c r="AQ223" s="238"/>
      <c r="AR223" s="238"/>
      <c r="AS223" s="238"/>
      <c r="AT223" s="456"/>
      <c r="AU223" s="238"/>
      <c r="AV223" s="238"/>
      <c r="AW223" s="238">
        <v>0</v>
      </c>
      <c r="AX223" s="238"/>
      <c r="AY223" s="238"/>
      <c r="AZ223" s="241"/>
      <c r="BA223" s="241"/>
      <c r="BB223" s="241"/>
      <c r="BC223" s="238"/>
      <c r="BD223" s="238">
        <v>4.5010000000000003</v>
      </c>
      <c r="BE223" s="238">
        <v>3.7880000000000003</v>
      </c>
      <c r="BF223" s="238"/>
      <c r="BG223" s="238">
        <v>1.1000000000000001</v>
      </c>
      <c r="BH223" s="238"/>
      <c r="BI223" s="238"/>
      <c r="BJ223" s="238"/>
      <c r="BK223" s="238"/>
      <c r="BL223" s="238"/>
      <c r="BM223" s="238"/>
      <c r="BN223" s="238"/>
      <c r="BO223" s="238"/>
      <c r="BP223" s="238"/>
      <c r="BQ223" s="238"/>
      <c r="BR223" s="238"/>
      <c r="BS223" s="238"/>
      <c r="BT223" s="238"/>
      <c r="BU223" s="238"/>
      <c r="BV223" s="238"/>
      <c r="BW223" s="238"/>
      <c r="BX223" s="238"/>
      <c r="BY223" s="238"/>
      <c r="BZ223" s="238"/>
      <c r="CA223" s="238"/>
      <c r="CB223" s="238"/>
      <c r="CC223" s="238"/>
      <c r="CD223" s="238"/>
      <c r="CE223" s="238"/>
      <c r="CF223" s="238"/>
    </row>
    <row r="224" spans="1:84">
      <c r="A224" s="356">
        <v>42736</v>
      </c>
      <c r="B224" s="461">
        <v>4.6020000000000003</v>
      </c>
      <c r="C224" s="238">
        <v>-0.71299999999999997</v>
      </c>
      <c r="D224" s="238"/>
      <c r="E224" s="238"/>
      <c r="F224" s="238"/>
      <c r="G224" s="520"/>
      <c r="H224" s="520"/>
      <c r="I224" s="520"/>
      <c r="J224" s="521"/>
      <c r="K224" s="520"/>
      <c r="L224" s="522"/>
      <c r="M224" s="522"/>
      <c r="N224" s="521"/>
      <c r="O224" s="525"/>
      <c r="P224" s="526"/>
      <c r="Q224" s="527"/>
      <c r="S224" s="527"/>
      <c r="T224" s="238"/>
      <c r="U224" s="238"/>
      <c r="V224" s="238">
        <v>3.8890000000000002</v>
      </c>
      <c r="W224" s="238"/>
      <c r="X224" s="238"/>
      <c r="Y224" s="238"/>
      <c r="Z224" s="238"/>
      <c r="AA224" s="240"/>
      <c r="AB224" s="238">
        <v>5.8626111694110863</v>
      </c>
      <c r="AC224" s="238"/>
      <c r="AD224" s="238"/>
      <c r="AE224" s="238"/>
      <c r="AF224" s="238"/>
      <c r="AG224" s="524"/>
      <c r="AH224" s="238"/>
      <c r="AI224" s="467">
        <v>1.5904816379414199</v>
      </c>
      <c r="AJ224" s="478">
        <v>6.2998332570317409E-2</v>
      </c>
      <c r="AK224" s="478">
        <v>6.1545057710417107E-2</v>
      </c>
      <c r="AL224" s="354">
        <v>0.38655601693389618</v>
      </c>
      <c r="AM224" s="377">
        <v>0.39499534016648324</v>
      </c>
      <c r="AN224" s="238"/>
      <c r="AO224" s="238"/>
      <c r="AP224" s="238"/>
      <c r="AQ224" s="238"/>
      <c r="AR224" s="238"/>
      <c r="AS224" s="238"/>
      <c r="AT224" s="456"/>
      <c r="AU224" s="238"/>
      <c r="AV224" s="238"/>
      <c r="AW224" s="238">
        <v>0</v>
      </c>
      <c r="AX224" s="238"/>
      <c r="AY224" s="238"/>
      <c r="AZ224" s="241"/>
      <c r="BA224" s="241"/>
      <c r="BB224" s="241"/>
      <c r="BC224" s="238"/>
      <c r="BD224" s="238">
        <v>4.6020000000000003</v>
      </c>
      <c r="BE224" s="238">
        <v>3.8890000000000002</v>
      </c>
      <c r="BF224" s="238"/>
      <c r="BG224" s="238">
        <v>1.1000000000000001</v>
      </c>
      <c r="BH224" s="238"/>
      <c r="BI224" s="238"/>
      <c r="BJ224" s="238"/>
      <c r="BK224" s="238"/>
      <c r="BL224" s="238"/>
      <c r="BM224" s="238"/>
      <c r="BN224" s="238"/>
      <c r="BO224" s="238"/>
      <c r="BP224" s="238"/>
      <c r="BQ224" s="238"/>
      <c r="BR224" s="238"/>
      <c r="BS224" s="238"/>
      <c r="BT224" s="238"/>
      <c r="BU224" s="238"/>
      <c r="BV224" s="238"/>
      <c r="BW224" s="238"/>
      <c r="BX224" s="238"/>
      <c r="BY224" s="238"/>
      <c r="BZ224" s="238"/>
      <c r="CA224" s="238"/>
      <c r="CB224" s="238"/>
      <c r="CC224" s="238"/>
      <c r="CD224" s="238"/>
      <c r="CE224" s="238"/>
      <c r="CF224" s="238"/>
    </row>
    <row r="225" spans="1:84">
      <c r="A225" s="356">
        <v>42767</v>
      </c>
      <c r="B225" s="461">
        <v>4.4880000000000004</v>
      </c>
      <c r="C225" s="238">
        <v>-0.71299999999999997</v>
      </c>
      <c r="D225" s="238"/>
      <c r="E225" s="238"/>
      <c r="F225" s="238"/>
      <c r="G225" s="520"/>
      <c r="H225" s="520"/>
      <c r="I225" s="520"/>
      <c r="J225" s="521"/>
      <c r="K225" s="520"/>
      <c r="L225" s="522"/>
      <c r="M225" s="522"/>
      <c r="N225" s="521"/>
      <c r="O225" s="525"/>
      <c r="P225" s="526"/>
      <c r="Q225" s="527"/>
      <c r="S225" s="527"/>
      <c r="T225" s="238"/>
      <c r="U225" s="238"/>
      <c r="V225" s="238">
        <v>3.7749999999999999</v>
      </c>
      <c r="W225" s="238"/>
      <c r="X225" s="238"/>
      <c r="Y225" s="238"/>
      <c r="Z225" s="238"/>
      <c r="AA225" s="240"/>
      <c r="AB225" s="238">
        <v>5.6897959380884879</v>
      </c>
      <c r="AC225" s="238"/>
      <c r="AD225" s="238"/>
      <c r="AE225" s="238"/>
      <c r="AF225" s="238"/>
      <c r="AG225" s="524"/>
      <c r="AH225" s="238"/>
      <c r="AI225" s="467">
        <v>1.5902128061604999</v>
      </c>
      <c r="AJ225" s="478">
        <v>6.3018288962035193E-2</v>
      </c>
      <c r="AK225" s="478">
        <v>6.1584310438483704E-2</v>
      </c>
      <c r="AL225" s="354">
        <v>0.38441176583910364</v>
      </c>
      <c r="AM225" s="377">
        <v>0.39273788170646595</v>
      </c>
      <c r="AN225" s="238"/>
      <c r="AO225" s="238"/>
      <c r="AP225" s="238"/>
      <c r="AQ225" s="238"/>
      <c r="AR225" s="238"/>
      <c r="AS225" s="238"/>
      <c r="AT225" s="456"/>
      <c r="AU225" s="238"/>
      <c r="AV225" s="238"/>
      <c r="AW225" s="238">
        <v>0</v>
      </c>
      <c r="AX225" s="238"/>
      <c r="AY225" s="238"/>
      <c r="AZ225" s="241"/>
      <c r="BA225" s="241"/>
      <c r="BB225" s="241"/>
      <c r="BC225" s="238"/>
      <c r="BD225" s="238">
        <v>4.4880000000000004</v>
      </c>
      <c r="BE225" s="238">
        <v>3.7749999999999999</v>
      </c>
      <c r="BF225" s="238"/>
      <c r="BG225" s="238">
        <v>1.1000000000000001</v>
      </c>
      <c r="BH225" s="238"/>
      <c r="BI225" s="238"/>
      <c r="BJ225" s="238"/>
      <c r="BK225" s="238"/>
      <c r="BL225" s="238"/>
      <c r="BM225" s="238"/>
      <c r="BN225" s="238"/>
      <c r="BO225" s="238"/>
      <c r="BP225" s="238"/>
      <c r="BQ225" s="238"/>
      <c r="BR225" s="238"/>
      <c r="BS225" s="238"/>
      <c r="BT225" s="238"/>
      <c r="BU225" s="238"/>
      <c r="BV225" s="238"/>
      <c r="BW225" s="238"/>
      <c r="BX225" s="238"/>
      <c r="BY225" s="238"/>
      <c r="BZ225" s="238"/>
      <c r="CA225" s="238"/>
      <c r="CB225" s="238"/>
      <c r="CC225" s="238"/>
      <c r="CD225" s="238"/>
      <c r="CE225" s="238"/>
      <c r="CF225" s="238"/>
    </row>
    <row r="226" spans="1:84">
      <c r="A226" s="356">
        <v>42795</v>
      </c>
      <c r="B226" s="461">
        <v>4.3559999999999999</v>
      </c>
      <c r="C226" s="238">
        <v>-0.71299999999999997</v>
      </c>
      <c r="D226" s="238"/>
      <c r="E226" s="238"/>
      <c r="F226" s="238"/>
      <c r="G226" s="520"/>
      <c r="H226" s="520"/>
      <c r="I226" s="520"/>
      <c r="J226" s="521"/>
      <c r="K226" s="520"/>
      <c r="L226" s="522"/>
      <c r="M226" s="522"/>
      <c r="N226" s="521"/>
      <c r="O226" s="525"/>
      <c r="P226" s="526"/>
      <c r="Q226" s="527"/>
      <c r="S226" s="527"/>
      <c r="T226" s="238"/>
      <c r="U226" s="238"/>
      <c r="V226" s="238">
        <v>3.6429999999999998</v>
      </c>
      <c r="W226" s="238"/>
      <c r="X226" s="238"/>
      <c r="Y226" s="238"/>
      <c r="Z226" s="238"/>
      <c r="AA226" s="240"/>
      <c r="AB226" s="238">
        <v>5.4899882346459465</v>
      </c>
      <c r="AC226" s="238"/>
      <c r="AD226" s="238"/>
      <c r="AE226" s="238"/>
      <c r="AF226" s="238"/>
      <c r="AG226" s="524"/>
      <c r="AH226" s="238"/>
      <c r="AI226" s="467">
        <v>1.58996569500209</v>
      </c>
      <c r="AJ226" s="478">
        <v>6.3036314090152396E-2</v>
      </c>
      <c r="AK226" s="478">
        <v>6.1619764515886903E-2</v>
      </c>
      <c r="AL226" s="354">
        <v>0.38248416945190722</v>
      </c>
      <c r="AM226" s="377">
        <v>0.39070781131377824</v>
      </c>
      <c r="AN226" s="238"/>
      <c r="AO226" s="238"/>
      <c r="AP226" s="238"/>
      <c r="AQ226" s="238"/>
      <c r="AR226" s="238"/>
      <c r="AS226" s="238"/>
      <c r="AT226" s="456"/>
      <c r="AU226" s="238"/>
      <c r="AV226" s="238"/>
      <c r="AW226" s="238">
        <v>0</v>
      </c>
      <c r="AX226" s="238"/>
      <c r="AY226" s="238"/>
      <c r="AZ226" s="241"/>
      <c r="BA226" s="241"/>
      <c r="BB226" s="241"/>
      <c r="BC226" s="238"/>
      <c r="BD226" s="238">
        <v>4.3559999999999999</v>
      </c>
      <c r="BE226" s="238">
        <v>3.6429999999999998</v>
      </c>
      <c r="BF226" s="238"/>
      <c r="BG226" s="238">
        <v>0.75</v>
      </c>
      <c r="BH226" s="238"/>
      <c r="BI226" s="238"/>
      <c r="BJ226" s="238"/>
      <c r="BK226" s="238"/>
      <c r="BL226" s="238"/>
      <c r="BM226" s="238"/>
      <c r="BN226" s="238"/>
      <c r="BO226" s="238"/>
      <c r="BP226" s="238"/>
      <c r="BQ226" s="238"/>
      <c r="BR226" s="238"/>
      <c r="BS226" s="238"/>
      <c r="BT226" s="238"/>
      <c r="BU226" s="238"/>
      <c r="BV226" s="238"/>
      <c r="BW226" s="238"/>
      <c r="BX226" s="238"/>
      <c r="BY226" s="238"/>
      <c r="BZ226" s="238"/>
      <c r="CA226" s="238"/>
      <c r="CB226" s="238"/>
      <c r="CC226" s="238"/>
      <c r="CD226" s="238"/>
      <c r="CE226" s="238"/>
      <c r="CF226" s="238"/>
    </row>
    <row r="227" spans="1:84">
      <c r="A227" s="356">
        <v>42826</v>
      </c>
      <c r="B227" s="461">
        <v>4.1580000000000004</v>
      </c>
      <c r="C227" s="238">
        <v>-0.81299999999999994</v>
      </c>
      <c r="D227" s="238"/>
      <c r="E227" s="238"/>
      <c r="F227" s="238"/>
      <c r="G227" s="520"/>
      <c r="H227" s="520"/>
      <c r="I227" s="520"/>
      <c r="J227" s="521"/>
      <c r="K227" s="520"/>
      <c r="L227" s="522"/>
      <c r="M227" s="522"/>
      <c r="N227" s="521"/>
      <c r="O227" s="525"/>
      <c r="P227" s="526"/>
      <c r="Q227" s="527"/>
      <c r="S227" s="527"/>
      <c r="T227" s="238"/>
      <c r="U227" s="238"/>
      <c r="V227" s="238">
        <v>3.3450000000000002</v>
      </c>
      <c r="W227" s="238"/>
      <c r="X227" s="238"/>
      <c r="Y227" s="238"/>
      <c r="Z227" s="238"/>
      <c r="AA227" s="240"/>
      <c r="AB227" s="238">
        <v>5.0400208153438824</v>
      </c>
      <c r="AC227" s="238"/>
      <c r="AD227" s="238"/>
      <c r="AE227" s="238"/>
      <c r="AF227" s="238"/>
      <c r="AG227" s="524"/>
      <c r="AH227" s="238"/>
      <c r="AI227" s="467">
        <v>1.5896873546647099</v>
      </c>
      <c r="AJ227" s="478">
        <v>6.3056270482121604E-2</v>
      </c>
      <c r="AK227" s="478">
        <v>6.1659017244926999E-2</v>
      </c>
      <c r="AL227" s="354">
        <v>0.38036012988716644</v>
      </c>
      <c r="AM227" s="377">
        <v>0.38847008589801252</v>
      </c>
      <c r="AN227" s="238"/>
      <c r="AO227" s="238"/>
      <c r="AP227" s="238"/>
      <c r="AQ227" s="238"/>
      <c r="AR227" s="238"/>
      <c r="AS227" s="238"/>
      <c r="AT227" s="456"/>
      <c r="AU227" s="238"/>
      <c r="AV227" s="238"/>
      <c r="AW227" s="238">
        <v>0</v>
      </c>
      <c r="AX227" s="238"/>
      <c r="AY227" s="238"/>
      <c r="AZ227" s="241"/>
      <c r="BA227" s="241"/>
      <c r="BB227" s="241"/>
      <c r="BC227" s="238"/>
      <c r="BD227" s="238">
        <v>4.1580000000000004</v>
      </c>
      <c r="BE227" s="238">
        <v>3.3450000000000002</v>
      </c>
      <c r="BF227" s="238"/>
      <c r="BG227" s="238">
        <v>0.45</v>
      </c>
      <c r="BH227" s="238"/>
      <c r="BI227" s="238"/>
      <c r="BJ227" s="238"/>
      <c r="BK227" s="238"/>
      <c r="BL227" s="238"/>
      <c r="BM227" s="238"/>
      <c r="BN227" s="238"/>
      <c r="BO227" s="238"/>
      <c r="BP227" s="238"/>
      <c r="BQ227" s="238"/>
      <c r="BR227" s="238"/>
      <c r="BS227" s="238"/>
      <c r="BT227" s="238"/>
      <c r="BU227" s="238"/>
      <c r="BV227" s="238"/>
      <c r="BW227" s="238"/>
      <c r="BX227" s="238"/>
      <c r="BY227" s="238"/>
      <c r="BZ227" s="238"/>
      <c r="CA227" s="238"/>
      <c r="CB227" s="238"/>
      <c r="CC227" s="238"/>
      <c r="CD227" s="238"/>
      <c r="CE227" s="238"/>
      <c r="CF227" s="238"/>
    </row>
    <row r="228" spans="1:84">
      <c r="A228" s="356">
        <v>42856</v>
      </c>
      <c r="B228" s="461">
        <v>4.1539999999999999</v>
      </c>
      <c r="C228" s="238">
        <v>-0.81299999999999994</v>
      </c>
      <c r="D228" s="238"/>
      <c r="E228" s="238"/>
      <c r="F228" s="238"/>
      <c r="G228" s="520"/>
      <c r="H228" s="520"/>
      <c r="I228" s="520"/>
      <c r="J228" s="521"/>
      <c r="K228" s="520"/>
      <c r="L228" s="522"/>
      <c r="M228" s="522"/>
      <c r="N228" s="521"/>
      <c r="O228" s="525"/>
      <c r="P228" s="526"/>
      <c r="Q228" s="527"/>
      <c r="S228" s="527"/>
      <c r="T228" s="238"/>
      <c r="U228" s="238"/>
      <c r="V228" s="238">
        <v>3.3410000000000002</v>
      </c>
      <c r="W228" s="238"/>
      <c r="X228" s="238"/>
      <c r="Y228" s="238"/>
      <c r="Z228" s="238"/>
      <c r="AA228" s="240"/>
      <c r="AB228" s="238">
        <v>5.0331258578427747</v>
      </c>
      <c r="AC228" s="238"/>
      <c r="AD228" s="238"/>
      <c r="AE228" s="238"/>
      <c r="AF228" s="238"/>
      <c r="AG228" s="524"/>
      <c r="AH228" s="238"/>
      <c r="AI228" s="467">
        <v>1.58941324006949</v>
      </c>
      <c r="AJ228" s="478">
        <v>6.3075583119637513E-2</v>
      </c>
      <c r="AK228" s="478">
        <v>6.1697003757388305E-2</v>
      </c>
      <c r="AL228" s="354">
        <v>0.37831465729957148</v>
      </c>
      <c r="AM228" s="377">
        <v>0.38631437534486907</v>
      </c>
      <c r="AN228" s="238"/>
      <c r="AO228" s="238"/>
      <c r="AP228" s="238"/>
      <c r="AQ228" s="238"/>
      <c r="AR228" s="238"/>
      <c r="AS228" s="238"/>
      <c r="AT228" s="456"/>
      <c r="AU228" s="238"/>
      <c r="AV228" s="238"/>
      <c r="AW228" s="238">
        <v>0</v>
      </c>
      <c r="AX228" s="238"/>
      <c r="AY228" s="238"/>
      <c r="AZ228" s="241"/>
      <c r="BA228" s="241"/>
      <c r="BB228" s="241"/>
      <c r="BC228" s="238"/>
      <c r="BD228" s="238">
        <v>4.1539999999999999</v>
      </c>
      <c r="BE228" s="238">
        <v>3.3410000000000002</v>
      </c>
      <c r="BF228" s="238"/>
      <c r="BG228" s="238">
        <v>0.5</v>
      </c>
      <c r="BH228" s="238"/>
      <c r="BI228" s="238"/>
      <c r="BJ228" s="238"/>
      <c r="BK228" s="238"/>
      <c r="BL228" s="238"/>
      <c r="BM228" s="238"/>
      <c r="BN228" s="238"/>
      <c r="BO228" s="238"/>
      <c r="BP228" s="238"/>
      <c r="BQ228" s="238"/>
      <c r="BR228" s="238"/>
      <c r="BS228" s="238"/>
      <c r="BT228" s="238"/>
      <c r="BU228" s="238"/>
      <c r="BV228" s="238"/>
      <c r="BW228" s="238"/>
      <c r="BX228" s="238"/>
      <c r="BY228" s="238"/>
      <c r="BZ228" s="238"/>
      <c r="CA228" s="238"/>
      <c r="CB228" s="238"/>
      <c r="CC228" s="238"/>
      <c r="CD228" s="238"/>
      <c r="CE228" s="238"/>
      <c r="CF228" s="238"/>
    </row>
    <row r="229" spans="1:84">
      <c r="A229" s="356">
        <v>42887</v>
      </c>
      <c r="B229" s="461">
        <v>4.1859999999999999</v>
      </c>
      <c r="C229" s="238">
        <v>-0.81299999999999994</v>
      </c>
      <c r="D229" s="238"/>
      <c r="E229" s="238"/>
      <c r="F229" s="238"/>
      <c r="G229" s="520"/>
      <c r="H229" s="520"/>
      <c r="I229" s="520"/>
      <c r="J229" s="521"/>
      <c r="K229" s="520"/>
      <c r="L229" s="522"/>
      <c r="M229" s="522"/>
      <c r="N229" s="521"/>
      <c r="O229" s="525"/>
      <c r="P229" s="526"/>
      <c r="Q229" s="527"/>
      <c r="S229" s="527"/>
      <c r="T229" s="238"/>
      <c r="U229" s="238"/>
      <c r="V229" s="238">
        <v>3.3730000000000002</v>
      </c>
      <c r="W229" s="238"/>
      <c r="X229" s="238"/>
      <c r="Y229" s="238"/>
      <c r="Z229" s="238"/>
      <c r="AA229" s="240"/>
      <c r="AB229" s="238">
        <v>5.0804117449188153</v>
      </c>
      <c r="AC229" s="238"/>
      <c r="AD229" s="238"/>
      <c r="AE229" s="238"/>
      <c r="AF229" s="238"/>
      <c r="AG229" s="524"/>
      <c r="AH229" s="238"/>
      <c r="AI229" s="467">
        <v>1.5891250797352698</v>
      </c>
      <c r="AJ229" s="478">
        <v>6.3095539511866902E-2</v>
      </c>
      <c r="AK229" s="478">
        <v>6.1736256487435102E-2</v>
      </c>
      <c r="AL229" s="354">
        <v>0.37621134324705591</v>
      </c>
      <c r="AM229" s="377">
        <v>0.38409693596838734</v>
      </c>
      <c r="AN229" s="238"/>
      <c r="AO229" s="238"/>
      <c r="AP229" s="238"/>
      <c r="AQ229" s="238"/>
      <c r="AR229" s="238"/>
      <c r="AS229" s="238"/>
      <c r="AT229" s="456"/>
      <c r="AU229" s="238"/>
      <c r="AV229" s="238"/>
      <c r="AW229" s="238">
        <v>0</v>
      </c>
      <c r="AX229" s="238"/>
      <c r="AY229" s="238"/>
      <c r="AZ229" s="241"/>
      <c r="BA229" s="241"/>
      <c r="BB229" s="241"/>
      <c r="BC229" s="238"/>
      <c r="BD229" s="238">
        <v>4.1859999999999999</v>
      </c>
      <c r="BE229" s="238">
        <v>3.3730000000000002</v>
      </c>
      <c r="BF229" s="238"/>
      <c r="BG229" s="238">
        <v>0.5</v>
      </c>
      <c r="BH229" s="238"/>
      <c r="BI229" s="238"/>
      <c r="BJ229" s="238"/>
      <c r="BK229" s="238"/>
      <c r="BL229" s="238"/>
      <c r="BM229" s="238"/>
      <c r="BN229" s="238"/>
      <c r="BO229" s="238"/>
      <c r="BP229" s="238"/>
      <c r="BQ229" s="238"/>
      <c r="BR229" s="238"/>
      <c r="BS229" s="238"/>
      <c r="BT229" s="238"/>
      <c r="BU229" s="238"/>
      <c r="BV229" s="238"/>
      <c r="BW229" s="238"/>
      <c r="BX229" s="238"/>
      <c r="BY229" s="238"/>
      <c r="BZ229" s="238"/>
      <c r="CA229" s="238"/>
      <c r="CB229" s="238"/>
      <c r="CC229" s="238"/>
      <c r="CD229" s="238"/>
      <c r="CE229" s="238"/>
      <c r="CF229" s="238"/>
    </row>
    <row r="230" spans="1:84">
      <c r="A230" s="356">
        <v>42917</v>
      </c>
      <c r="B230" s="461">
        <v>4.2359999999999998</v>
      </c>
      <c r="C230" s="238">
        <v>-0.81299999999999994</v>
      </c>
      <c r="D230" s="238"/>
      <c r="E230" s="238"/>
      <c r="F230" s="238"/>
      <c r="G230" s="520"/>
      <c r="H230" s="520"/>
      <c r="I230" s="520"/>
      <c r="J230" s="521"/>
      <c r="K230" s="520"/>
      <c r="L230" s="522"/>
      <c r="M230" s="522"/>
      <c r="N230" s="521"/>
      <c r="O230" s="525"/>
      <c r="P230" s="526"/>
      <c r="Q230" s="527"/>
      <c r="S230" s="527"/>
      <c r="T230" s="238"/>
      <c r="U230" s="238"/>
      <c r="V230" s="238">
        <v>3.423</v>
      </c>
      <c r="W230" s="238"/>
      <c r="X230" s="238"/>
      <c r="Y230" s="238"/>
      <c r="Z230" s="238"/>
      <c r="AA230" s="240"/>
      <c r="AB230" s="238">
        <v>5.1548015867459345</v>
      </c>
      <c r="AC230" s="238"/>
      <c r="AD230" s="238"/>
      <c r="AE230" s="238"/>
      <c r="AF230" s="238"/>
      <c r="AG230" s="524"/>
      <c r="AH230" s="238"/>
      <c r="AI230" s="467">
        <v>1.5888414673987199</v>
      </c>
      <c r="AJ230" s="478">
        <v>6.3114852149634096E-2</v>
      </c>
      <c r="AK230" s="478">
        <v>6.1774243000870803E-2</v>
      </c>
      <c r="AL230" s="354">
        <v>0.37418584380613112</v>
      </c>
      <c r="AM230" s="377">
        <v>0.3819607999696511</v>
      </c>
      <c r="AN230" s="238"/>
      <c r="AO230" s="238"/>
      <c r="AP230" s="238"/>
      <c r="AQ230" s="238"/>
      <c r="AR230" s="238"/>
      <c r="AS230" s="238"/>
      <c r="AT230" s="456"/>
      <c r="AU230" s="238"/>
      <c r="AV230" s="238"/>
      <c r="AW230" s="238">
        <v>0</v>
      </c>
      <c r="AX230" s="238"/>
      <c r="AY230" s="238"/>
      <c r="AZ230" s="241"/>
      <c r="BA230" s="241"/>
      <c r="BB230" s="241"/>
      <c r="BC230" s="238"/>
      <c r="BD230" s="238">
        <v>4.2359999999999998</v>
      </c>
      <c r="BE230" s="238">
        <v>3.423</v>
      </c>
      <c r="BF230" s="238"/>
      <c r="BG230" s="238">
        <v>0.55000000000000004</v>
      </c>
      <c r="BH230" s="238"/>
      <c r="BI230" s="238"/>
      <c r="BJ230" s="238"/>
      <c r="BK230" s="238"/>
      <c r="BL230" s="238"/>
      <c r="BM230" s="238"/>
      <c r="BN230" s="238"/>
      <c r="BO230" s="238"/>
      <c r="BP230" s="238"/>
      <c r="BQ230" s="238"/>
      <c r="BR230" s="238"/>
      <c r="BS230" s="238"/>
      <c r="BT230" s="238"/>
      <c r="BU230" s="238"/>
      <c r="BV230" s="238"/>
      <c r="BW230" s="238"/>
      <c r="BX230" s="238"/>
      <c r="BY230" s="238"/>
      <c r="BZ230" s="238"/>
      <c r="CA230" s="238"/>
      <c r="CB230" s="238"/>
      <c r="CC230" s="238"/>
      <c r="CD230" s="238"/>
      <c r="CE230" s="238"/>
      <c r="CF230" s="238"/>
    </row>
    <row r="231" spans="1:84">
      <c r="A231" s="356">
        <v>42948</v>
      </c>
      <c r="B231" s="461">
        <v>4.2699999999999996</v>
      </c>
      <c r="C231" s="238">
        <v>-0.81299999999999994</v>
      </c>
      <c r="D231" s="238"/>
      <c r="E231" s="238"/>
      <c r="F231" s="238"/>
      <c r="G231" s="520"/>
      <c r="H231" s="520"/>
      <c r="I231" s="520"/>
      <c r="J231" s="521"/>
      <c r="K231" s="520"/>
      <c r="L231" s="522"/>
      <c r="M231" s="522"/>
      <c r="N231" s="521"/>
      <c r="O231" s="525"/>
      <c r="P231" s="526"/>
      <c r="Q231" s="527"/>
      <c r="S231" s="527"/>
      <c r="T231" s="238"/>
      <c r="U231" s="238"/>
      <c r="V231" s="238">
        <v>3.4569999999999999</v>
      </c>
      <c r="W231" s="238"/>
      <c r="X231" s="238"/>
      <c r="Y231" s="238"/>
      <c r="Z231" s="238"/>
      <c r="AA231" s="240"/>
      <c r="AB231" s="238">
        <v>5.205026912566395</v>
      </c>
      <c r="AC231" s="238"/>
      <c r="AD231" s="238"/>
      <c r="AE231" s="238"/>
      <c r="AF231" s="238"/>
      <c r="AG231" s="524"/>
      <c r="AH231" s="238"/>
      <c r="AI231" s="467">
        <v>1.58854349848558</v>
      </c>
      <c r="AJ231" s="478">
        <v>6.3134808542123708E-2</v>
      </c>
      <c r="AK231" s="478">
        <v>6.1813495731923795E-2</v>
      </c>
      <c r="AL231" s="354">
        <v>0.37210308235635631</v>
      </c>
      <c r="AM231" s="377">
        <v>0.37976352858569318</v>
      </c>
      <c r="AN231" s="238"/>
      <c r="AO231" s="238"/>
      <c r="AP231" s="238"/>
      <c r="AQ231" s="238"/>
      <c r="AR231" s="238"/>
      <c r="AS231" s="238"/>
      <c r="AT231" s="456"/>
      <c r="AU231" s="238"/>
      <c r="AV231" s="238"/>
      <c r="AW231" s="238">
        <v>0</v>
      </c>
      <c r="AX231" s="238"/>
      <c r="AY231" s="238"/>
      <c r="AZ231" s="241"/>
      <c r="BA231" s="241"/>
      <c r="BB231" s="241"/>
      <c r="BC231" s="238"/>
      <c r="BD231" s="238">
        <v>4.2699999999999996</v>
      </c>
      <c r="BE231" s="238">
        <v>3.4569999999999999</v>
      </c>
      <c r="BF231" s="238"/>
      <c r="BG231" s="238">
        <v>0.6</v>
      </c>
      <c r="BH231" s="238"/>
      <c r="BI231" s="238"/>
      <c r="BJ231" s="238"/>
      <c r="BK231" s="238"/>
      <c r="BL231" s="238"/>
      <c r="BM231" s="238"/>
      <c r="BN231" s="238"/>
      <c r="BO231" s="238"/>
      <c r="BP231" s="238"/>
      <c r="BQ231" s="238"/>
      <c r="BR231" s="238"/>
      <c r="BS231" s="238"/>
      <c r="BT231" s="238"/>
      <c r="BU231" s="238"/>
      <c r="BV231" s="238"/>
      <c r="BW231" s="238"/>
      <c r="BX231" s="238"/>
      <c r="BY231" s="238"/>
      <c r="BZ231" s="238"/>
      <c r="CA231" s="238"/>
      <c r="CB231" s="238"/>
      <c r="CC231" s="238"/>
      <c r="CD231" s="238"/>
      <c r="CE231" s="238"/>
      <c r="CF231" s="238"/>
    </row>
    <row r="232" spans="1:84">
      <c r="A232" s="356">
        <v>42979</v>
      </c>
      <c r="B232" s="461">
        <v>4.2830000000000004</v>
      </c>
      <c r="C232" s="238">
        <v>-0.81299999999999994</v>
      </c>
      <c r="D232" s="238"/>
      <c r="E232" s="238"/>
      <c r="F232" s="238"/>
      <c r="G232" s="520"/>
      <c r="H232" s="520"/>
      <c r="I232" s="520"/>
      <c r="J232" s="521"/>
      <c r="K232" s="520"/>
      <c r="L232" s="522"/>
      <c r="M232" s="522"/>
      <c r="N232" s="521"/>
      <c r="O232" s="525"/>
      <c r="P232" s="526"/>
      <c r="Q232" s="527"/>
      <c r="S232" s="527"/>
      <c r="T232" s="238"/>
      <c r="U232" s="238"/>
      <c r="V232" s="238">
        <v>3.47</v>
      </c>
      <c r="W232" s="238"/>
      <c r="X232" s="238"/>
      <c r="Y232" s="238"/>
      <c r="Z232" s="238"/>
      <c r="AA232" s="240"/>
      <c r="AB232" s="238">
        <v>5.2236039663578566</v>
      </c>
      <c r="AC232" s="238"/>
      <c r="AD232" s="238"/>
      <c r="AE232" s="238"/>
      <c r="AF232" s="238"/>
      <c r="AG232" s="524"/>
      <c r="AH232" s="238"/>
      <c r="AI232" s="467">
        <v>1.58824054937454</v>
      </c>
      <c r="AJ232" s="478">
        <v>6.3154764934745311E-2</v>
      </c>
      <c r="AK232" s="478">
        <v>6.1852748463488504E-2</v>
      </c>
      <c r="AL232" s="354">
        <v>0.37003069976236902</v>
      </c>
      <c r="AM232" s="377">
        <v>0.37757646121171456</v>
      </c>
      <c r="AN232" s="238"/>
      <c r="AO232" s="238"/>
      <c r="AP232" s="238"/>
      <c r="AQ232" s="238"/>
      <c r="AR232" s="238"/>
      <c r="AS232" s="238"/>
      <c r="AT232" s="456"/>
      <c r="AU232" s="238"/>
      <c r="AV232" s="238"/>
      <c r="AW232" s="238">
        <v>0</v>
      </c>
      <c r="AX232" s="238"/>
      <c r="AY232" s="238"/>
      <c r="AZ232" s="241"/>
      <c r="BA232" s="241"/>
      <c r="BB232" s="241"/>
      <c r="BC232" s="238"/>
      <c r="BD232" s="238">
        <v>4.2830000000000004</v>
      </c>
      <c r="BE232" s="238">
        <v>3.47</v>
      </c>
      <c r="BF232" s="238"/>
      <c r="BG232" s="238">
        <v>0.6</v>
      </c>
      <c r="BH232" s="238"/>
      <c r="BI232" s="238"/>
      <c r="BJ232" s="238"/>
      <c r="BK232" s="238"/>
      <c r="BL232" s="238"/>
      <c r="BM232" s="238"/>
      <c r="BN232" s="238"/>
      <c r="BO232" s="238"/>
      <c r="BP232" s="238"/>
      <c r="BQ232" s="238"/>
      <c r="BR232" s="238"/>
      <c r="BS232" s="238"/>
      <c r="BT232" s="238"/>
      <c r="BU232" s="238"/>
      <c r="BV232" s="238"/>
      <c r="BW232" s="238"/>
      <c r="BX232" s="238"/>
      <c r="BY232" s="238"/>
      <c r="BZ232" s="238"/>
      <c r="CA232" s="238"/>
      <c r="CB232" s="238"/>
      <c r="CC232" s="238"/>
      <c r="CD232" s="238"/>
      <c r="CE232" s="238"/>
      <c r="CF232" s="238"/>
    </row>
    <row r="233" spans="1:84">
      <c r="A233" s="356">
        <v>43009</v>
      </c>
      <c r="B233" s="461">
        <v>4.2949999999999999</v>
      </c>
      <c r="C233" s="238">
        <v>-0.81299999999999994</v>
      </c>
      <c r="D233" s="238"/>
      <c r="E233" s="238"/>
      <c r="F233" s="238"/>
      <c r="G233" s="520"/>
      <c r="H233" s="520"/>
      <c r="I233" s="520"/>
      <c r="J233" s="521"/>
      <c r="K233" s="520"/>
      <c r="L233" s="522"/>
      <c r="M233" s="522"/>
      <c r="N233" s="521"/>
      <c r="O233" s="525"/>
      <c r="P233" s="526"/>
      <c r="Q233" s="527"/>
      <c r="S233" s="527"/>
      <c r="T233" s="238"/>
      <c r="U233" s="238"/>
      <c r="V233" s="238">
        <v>3.4820000000000002</v>
      </c>
      <c r="W233" s="238"/>
      <c r="X233" s="238"/>
      <c r="Y233" s="238"/>
      <c r="Z233" s="238"/>
      <c r="AA233" s="240"/>
      <c r="AB233" s="238">
        <v>5.2406850928100583</v>
      </c>
      <c r="AC233" s="238"/>
      <c r="AD233" s="238"/>
      <c r="AE233" s="238"/>
      <c r="AF233" s="238"/>
      <c r="AG233" s="524"/>
      <c r="AH233" s="238"/>
      <c r="AI233" s="467">
        <v>1.5879426339114899</v>
      </c>
      <c r="AJ233" s="478">
        <v>6.3174077572892201E-2</v>
      </c>
      <c r="AK233" s="478">
        <v>6.18907349783933E-2</v>
      </c>
      <c r="AL233" s="354">
        <v>0.36803500861591942</v>
      </c>
      <c r="AM233" s="377">
        <v>0.37546963119383442</v>
      </c>
      <c r="AN233" s="238"/>
      <c r="AO233" s="238"/>
      <c r="AP233" s="238"/>
      <c r="AQ233" s="238"/>
      <c r="AR233" s="238"/>
      <c r="AS233" s="238"/>
      <c r="AT233" s="456"/>
      <c r="AU233" s="238"/>
      <c r="AV233" s="238"/>
      <c r="AW233" s="238">
        <v>0</v>
      </c>
      <c r="AX233" s="238"/>
      <c r="AY233" s="238"/>
      <c r="AZ233" s="241"/>
      <c r="BA233" s="241"/>
      <c r="BB233" s="241"/>
      <c r="BC233" s="238"/>
      <c r="BD233" s="238">
        <v>4.2949999999999999</v>
      </c>
      <c r="BE233" s="238">
        <v>3.4820000000000002</v>
      </c>
      <c r="BF233" s="238"/>
      <c r="BG233" s="238">
        <v>0.65</v>
      </c>
      <c r="BH233" s="238"/>
      <c r="BI233" s="238"/>
      <c r="BJ233" s="238"/>
      <c r="BK233" s="238"/>
      <c r="BL233" s="238"/>
      <c r="BM233" s="238"/>
      <c r="BN233" s="238"/>
      <c r="BO233" s="238"/>
      <c r="BP233" s="238"/>
      <c r="BQ233" s="238"/>
      <c r="BR233" s="238"/>
      <c r="BS233" s="238"/>
      <c r="BT233" s="238"/>
      <c r="BU233" s="238"/>
      <c r="BV233" s="238"/>
      <c r="BW233" s="238"/>
      <c r="BX233" s="238"/>
      <c r="BY233" s="238"/>
      <c r="BZ233" s="238"/>
      <c r="CA233" s="238"/>
      <c r="CB233" s="238"/>
      <c r="CC233" s="238"/>
      <c r="CD233" s="238"/>
      <c r="CE233" s="238"/>
      <c r="CF233" s="238"/>
    </row>
    <row r="234" spans="1:84">
      <c r="A234" s="356">
        <v>43040</v>
      </c>
      <c r="B234" s="461">
        <v>4.4400000000000004</v>
      </c>
      <c r="C234" s="238">
        <v>-0.71299999999999997</v>
      </c>
      <c r="D234" s="238"/>
      <c r="E234" s="238"/>
      <c r="F234" s="238"/>
      <c r="G234" s="520"/>
      <c r="H234" s="520"/>
      <c r="I234" s="520"/>
      <c r="J234" s="521"/>
      <c r="K234" s="520"/>
      <c r="L234" s="522"/>
      <c r="M234" s="522"/>
      <c r="N234" s="521"/>
      <c r="O234" s="525"/>
      <c r="P234" s="526"/>
      <c r="Q234" s="527"/>
      <c r="S234" s="527"/>
      <c r="T234" s="238"/>
      <c r="U234" s="238"/>
      <c r="V234" s="238">
        <v>3.7270000000000003</v>
      </c>
      <c r="W234" s="238"/>
      <c r="X234" s="238"/>
      <c r="Y234" s="238"/>
      <c r="Z234" s="238"/>
      <c r="AA234" s="240"/>
      <c r="AB234" s="238">
        <v>5.6083246911701741</v>
      </c>
      <c r="AC234" s="238"/>
      <c r="AD234" s="238"/>
      <c r="AE234" s="238"/>
      <c r="AF234" s="238"/>
      <c r="AG234" s="524"/>
      <c r="AH234" s="238"/>
      <c r="AI234" s="467">
        <v>1.5876298941151699</v>
      </c>
      <c r="AJ234" s="478">
        <v>6.31940339657735E-2</v>
      </c>
      <c r="AK234" s="478">
        <v>6.1929987710964203E-2</v>
      </c>
      <c r="AL234" s="354">
        <v>0.36598291993467469</v>
      </c>
      <c r="AM234" s="377">
        <v>0.37330255343645979</v>
      </c>
      <c r="AN234" s="238"/>
      <c r="AO234" s="238"/>
      <c r="AP234" s="238"/>
      <c r="AQ234" s="238"/>
      <c r="AR234" s="238"/>
      <c r="AS234" s="238"/>
      <c r="AT234" s="456"/>
      <c r="AU234" s="238"/>
      <c r="AV234" s="238"/>
      <c r="AW234" s="238" t="e">
        <v>#N/A</v>
      </c>
      <c r="AX234" s="238"/>
      <c r="AY234" s="238"/>
      <c r="AZ234" s="241"/>
      <c r="BA234" s="241"/>
      <c r="BB234" s="241"/>
      <c r="BC234" s="238"/>
      <c r="BD234" s="238" t="e">
        <v>#N/A</v>
      </c>
      <c r="BE234" s="238">
        <v>3.7270000000000003</v>
      </c>
      <c r="BF234" s="238"/>
      <c r="BG234" s="238">
        <v>0.8</v>
      </c>
      <c r="BH234" s="238"/>
      <c r="BI234" s="238"/>
      <c r="BJ234" s="238"/>
      <c r="BK234" s="238"/>
      <c r="BL234" s="238"/>
      <c r="BM234" s="238"/>
      <c r="BN234" s="238"/>
      <c r="BO234" s="238"/>
      <c r="BP234" s="238"/>
      <c r="BQ234" s="238"/>
      <c r="BR234" s="238"/>
      <c r="BS234" s="238"/>
      <c r="BT234" s="238"/>
      <c r="BU234" s="238"/>
      <c r="BV234" s="238"/>
      <c r="BW234" s="238"/>
      <c r="BX234" s="238"/>
      <c r="BY234" s="238"/>
      <c r="BZ234" s="238"/>
      <c r="CA234" s="238"/>
      <c r="CB234" s="238"/>
      <c r="CC234" s="238"/>
      <c r="CD234" s="238"/>
      <c r="CE234" s="238"/>
      <c r="CF234" s="238"/>
    </row>
    <row r="235" spans="1:84">
      <c r="A235" s="356">
        <v>43070</v>
      </c>
      <c r="B235" s="461">
        <v>4.5910000000000002</v>
      </c>
      <c r="C235" s="238">
        <v>-0.71299999999999997</v>
      </c>
      <c r="D235" s="238"/>
      <c r="E235" s="238"/>
      <c r="F235" s="238"/>
      <c r="G235" s="520"/>
      <c r="H235" s="520"/>
      <c r="I235" s="520"/>
      <c r="J235" s="521"/>
      <c r="K235" s="520"/>
      <c r="L235" s="522"/>
      <c r="M235" s="522"/>
      <c r="N235" s="521"/>
      <c r="O235" s="525"/>
      <c r="P235" s="526"/>
      <c r="Q235" s="527"/>
      <c r="S235" s="527"/>
      <c r="T235" s="238"/>
      <c r="U235" s="238"/>
      <c r="V235" s="238">
        <v>3.8780000000000001</v>
      </c>
      <c r="W235" s="238"/>
      <c r="X235" s="238"/>
      <c r="Y235" s="238"/>
      <c r="Z235" s="238"/>
      <c r="AA235" s="240"/>
      <c r="AB235" s="238">
        <v>5.8344170287164721</v>
      </c>
      <c r="AC235" s="238"/>
      <c r="AD235" s="238"/>
      <c r="AE235" s="238"/>
      <c r="AF235" s="238"/>
      <c r="AG235" s="524"/>
      <c r="AH235" s="238"/>
      <c r="AI235" s="467">
        <v>1.58732250970848</v>
      </c>
      <c r="AJ235" s="478">
        <v>6.3213346604171813E-2</v>
      </c>
      <c r="AK235" s="478">
        <v>6.1967974226842908E-2</v>
      </c>
      <c r="AL235" s="354">
        <v>0.36400678559864452</v>
      </c>
      <c r="AM235" s="377">
        <v>0.37121501090096859</v>
      </c>
      <c r="AN235" s="238"/>
      <c r="AO235" s="238"/>
      <c r="AP235" s="238"/>
      <c r="AQ235" s="238"/>
      <c r="AR235" s="238"/>
      <c r="AS235" s="238"/>
      <c r="AT235" s="456"/>
      <c r="AU235" s="238"/>
      <c r="AV235" s="238"/>
      <c r="AW235" s="238" t="e">
        <v>#N/A</v>
      </c>
      <c r="AX235" s="238"/>
      <c r="AY235" s="238"/>
      <c r="AZ235" s="241"/>
      <c r="BA235" s="241"/>
      <c r="BB235" s="241"/>
      <c r="BC235" s="238"/>
      <c r="BD235" s="238" t="e">
        <v>#N/A</v>
      </c>
      <c r="BE235" s="238">
        <v>3.8780000000000001</v>
      </c>
      <c r="BF235" s="238"/>
      <c r="BG235" s="238">
        <v>1.1000000000000001</v>
      </c>
      <c r="BH235" s="238"/>
      <c r="BI235" s="238"/>
      <c r="BJ235" s="238"/>
      <c r="BK235" s="238"/>
      <c r="BL235" s="238"/>
      <c r="BM235" s="238"/>
      <c r="BN235" s="238"/>
      <c r="BO235" s="238"/>
      <c r="BP235" s="238"/>
      <c r="BQ235" s="238"/>
      <c r="BR235" s="238"/>
      <c r="BS235" s="238"/>
      <c r="BT235" s="238"/>
      <c r="BU235" s="238"/>
      <c r="BV235" s="238"/>
      <c r="BW235" s="238"/>
      <c r="BX235" s="238"/>
      <c r="BY235" s="238"/>
      <c r="BZ235" s="238"/>
      <c r="CA235" s="238"/>
      <c r="CB235" s="238"/>
      <c r="CC235" s="238"/>
      <c r="CD235" s="238"/>
      <c r="CE235" s="238"/>
      <c r="CF235" s="238"/>
    </row>
    <row r="236" spans="1:84">
      <c r="A236" s="356">
        <v>43101</v>
      </c>
      <c r="B236" s="461">
        <v>4.6920000000000002</v>
      </c>
      <c r="C236" s="238">
        <v>-0.71299999999999997</v>
      </c>
      <c r="D236" s="238"/>
      <c r="E236" s="238"/>
      <c r="F236" s="238"/>
      <c r="G236" s="520"/>
      <c r="H236" s="520"/>
      <c r="I236" s="520"/>
      <c r="J236" s="521"/>
      <c r="K236" s="520"/>
      <c r="L236" s="522"/>
      <c r="M236" s="522"/>
      <c r="N236" s="521"/>
      <c r="O236" s="525"/>
      <c r="P236" s="526"/>
      <c r="Q236" s="527"/>
      <c r="S236" s="527"/>
      <c r="T236" s="238"/>
      <c r="U236" s="238"/>
      <c r="V236" s="238">
        <v>3.9790000000000001</v>
      </c>
      <c r="W236" s="238"/>
      <c r="X236" s="238"/>
      <c r="Y236" s="238"/>
      <c r="Z236" s="238"/>
      <c r="AA236" s="240"/>
      <c r="AB236" s="238">
        <v>5.9851543105989204</v>
      </c>
      <c r="AC236" s="238"/>
      <c r="AD236" s="238"/>
      <c r="AE236" s="238"/>
      <c r="AF236" s="238"/>
      <c r="AG236" s="524"/>
      <c r="AH236" s="238"/>
      <c r="AI236" s="467">
        <v>1.5869999915363797</v>
      </c>
      <c r="AJ236" s="478">
        <v>6.3233302997312904E-2</v>
      </c>
      <c r="AK236" s="478">
        <v>6.2007226960420603E-2</v>
      </c>
      <c r="AL236" s="354">
        <v>0.36197482068925396</v>
      </c>
      <c r="AM236" s="377">
        <v>0.36906780428540131</v>
      </c>
      <c r="AN236" s="238"/>
      <c r="AO236" s="238"/>
      <c r="AP236" s="238"/>
      <c r="AQ236" s="238"/>
      <c r="AR236" s="238"/>
      <c r="AS236" s="238"/>
      <c r="AT236" s="456"/>
      <c r="AU236" s="238"/>
      <c r="AV236" s="238"/>
      <c r="AW236" s="238" t="e">
        <v>#N/A</v>
      </c>
      <c r="AX236" s="238"/>
      <c r="AY236" s="238"/>
      <c r="AZ236" s="241"/>
      <c r="BA236" s="241"/>
      <c r="BB236" s="241"/>
      <c r="BC236" s="238"/>
      <c r="BD236" s="238" t="e">
        <v>#N/A</v>
      </c>
      <c r="BE236" s="238">
        <v>3.9790000000000001</v>
      </c>
      <c r="BF236" s="238"/>
      <c r="BG236" s="238">
        <v>1.1000000000000001</v>
      </c>
      <c r="BH236" s="238"/>
      <c r="BI236" s="238"/>
      <c r="BJ236" s="238"/>
      <c r="BK236" s="238"/>
      <c r="BL236" s="238"/>
      <c r="BM236" s="238"/>
      <c r="BN236" s="238"/>
      <c r="BO236" s="238"/>
      <c r="BP236" s="238"/>
      <c r="BQ236" s="238"/>
      <c r="BR236" s="238"/>
      <c r="BS236" s="238"/>
      <c r="BT236" s="238"/>
      <c r="BU236" s="238"/>
      <c r="BV236" s="238"/>
      <c r="BW236" s="238"/>
      <c r="BX236" s="238"/>
      <c r="BY236" s="238"/>
      <c r="BZ236" s="238"/>
      <c r="CA236" s="238"/>
      <c r="CB236" s="238"/>
      <c r="CC236" s="238"/>
      <c r="CD236" s="238"/>
      <c r="CE236" s="238"/>
      <c r="CF236" s="238"/>
    </row>
    <row r="237" spans="1:84">
      <c r="A237" s="356">
        <v>43132</v>
      </c>
      <c r="B237" s="461">
        <v>4.5780000000000003</v>
      </c>
      <c r="C237" s="238">
        <v>-0.71299999999999997</v>
      </c>
      <c r="D237" s="238"/>
      <c r="E237" s="238"/>
      <c r="F237" s="238"/>
      <c r="G237" s="520"/>
      <c r="H237" s="520"/>
      <c r="I237" s="520"/>
      <c r="J237" s="521"/>
      <c r="K237" s="520"/>
      <c r="L237" s="522"/>
      <c r="M237" s="522"/>
      <c r="N237" s="521"/>
      <c r="O237" s="525"/>
      <c r="P237" s="526"/>
      <c r="Q237" s="527"/>
      <c r="S237" s="527"/>
      <c r="T237" s="238"/>
      <c r="U237" s="238"/>
      <c r="V237" s="238">
        <v>3.8650000000000002</v>
      </c>
      <c r="W237" s="238"/>
      <c r="X237" s="238"/>
      <c r="Y237" s="238"/>
      <c r="Z237" s="238"/>
      <c r="AA237" s="240"/>
      <c r="AB237" s="238">
        <v>5.8124774862481505</v>
      </c>
      <c r="AC237" s="238"/>
      <c r="AD237" s="238"/>
      <c r="AE237" s="238"/>
      <c r="AF237" s="238"/>
      <c r="AG237" s="524"/>
      <c r="AH237" s="238"/>
      <c r="AI237" s="467">
        <v>1.5866725088566698</v>
      </c>
      <c r="AJ237" s="478">
        <v>6.3253259390586791E-2</v>
      </c>
      <c r="AK237" s="478">
        <v>6.20464796945095E-2</v>
      </c>
      <c r="AL237" s="354">
        <v>0.35995301776348859</v>
      </c>
      <c r="AM237" s="377">
        <v>0.36693065066837133</v>
      </c>
      <c r="AN237" s="238"/>
      <c r="AO237" s="238"/>
      <c r="AP237" s="238"/>
      <c r="AQ237" s="238"/>
      <c r="AR237" s="238"/>
      <c r="AS237" s="238"/>
      <c r="AT237" s="456"/>
      <c r="AU237" s="238"/>
      <c r="AV237" s="238"/>
      <c r="AW237" s="238" t="e">
        <v>#N/A</v>
      </c>
      <c r="AX237" s="238"/>
      <c r="AY237" s="238"/>
      <c r="AZ237" s="241"/>
      <c r="BA237" s="241"/>
      <c r="BB237" s="241"/>
      <c r="BC237" s="238"/>
      <c r="BD237" s="238" t="e">
        <v>#N/A</v>
      </c>
      <c r="BE237" s="238">
        <v>3.8650000000000002</v>
      </c>
      <c r="BF237" s="238"/>
      <c r="BG237" s="238" t="e">
        <v>#N/A</v>
      </c>
      <c r="BH237" s="238"/>
      <c r="BI237" s="238"/>
      <c r="BJ237" s="238"/>
      <c r="BK237" s="238"/>
      <c r="BL237" s="238"/>
      <c r="BM237" s="238"/>
      <c r="BN237" s="238"/>
      <c r="BO237" s="238"/>
      <c r="BP237" s="238"/>
      <c r="BQ237" s="238"/>
      <c r="BR237" s="238"/>
      <c r="BS237" s="238"/>
      <c r="BT237" s="238"/>
      <c r="BU237" s="238"/>
      <c r="BV237" s="238"/>
      <c r="BW237" s="238"/>
      <c r="BX237" s="238"/>
      <c r="BY237" s="238"/>
      <c r="BZ237" s="238"/>
      <c r="CA237" s="238"/>
      <c r="CB237" s="238"/>
      <c r="CC237" s="238"/>
      <c r="CD237" s="238"/>
      <c r="CE237" s="238"/>
      <c r="CF237" s="238"/>
    </row>
    <row r="238" spans="1:84">
      <c r="A238" s="356">
        <v>43160</v>
      </c>
      <c r="B238" s="461">
        <v>4.4460000000000006</v>
      </c>
      <c r="C238" s="238">
        <v>-0.71299999999999997</v>
      </c>
      <c r="D238" s="238"/>
      <c r="E238" s="238"/>
      <c r="F238" s="238"/>
      <c r="G238" s="520"/>
      <c r="H238" s="520"/>
      <c r="I238" s="520"/>
      <c r="J238" s="521"/>
      <c r="K238" s="520"/>
      <c r="L238" s="522"/>
      <c r="M238" s="522"/>
      <c r="N238" s="521"/>
      <c r="O238" s="525"/>
      <c r="P238" s="526"/>
      <c r="Q238" s="527"/>
      <c r="S238" s="527"/>
      <c r="T238" s="238"/>
      <c r="U238" s="238"/>
      <c r="V238" s="238">
        <v>3.7330000000000005</v>
      </c>
      <c r="W238" s="238"/>
      <c r="X238" s="238"/>
      <c r="Y238" s="238"/>
      <c r="Z238" s="238"/>
      <c r="AA238" s="240"/>
      <c r="AB238" s="238">
        <v>5.6129043099972469</v>
      </c>
      <c r="AC238" s="238"/>
      <c r="AD238" s="238"/>
      <c r="AE238" s="238"/>
      <c r="AF238" s="238"/>
      <c r="AG238" s="524"/>
      <c r="AH238" s="238"/>
      <c r="AI238" s="467">
        <v>1.5863724537070598</v>
      </c>
      <c r="AJ238" s="478">
        <v>6.3271284520109106E-2</v>
      </c>
      <c r="AK238" s="478">
        <v>6.2081933777351897E-2</v>
      </c>
      <c r="AL238" s="354">
        <v>0.35813557142955382</v>
      </c>
      <c r="AM238" s="377">
        <v>0.36500893363860137</v>
      </c>
      <c r="AN238" s="238"/>
      <c r="AO238" s="238"/>
      <c r="AP238" s="238"/>
      <c r="AQ238" s="238"/>
      <c r="AR238" s="238"/>
      <c r="AS238" s="238"/>
      <c r="AT238" s="456"/>
      <c r="AU238" s="238"/>
      <c r="AV238" s="238"/>
      <c r="AW238" s="238" t="e">
        <v>#N/A</v>
      </c>
      <c r="AX238" s="238"/>
      <c r="AY238" s="238"/>
      <c r="AZ238" s="241"/>
      <c r="BA238" s="241"/>
      <c r="BB238" s="241"/>
      <c r="BC238" s="238"/>
      <c r="BD238" s="238" t="e">
        <v>#N/A</v>
      </c>
      <c r="BE238" s="238">
        <v>3.7330000000000005</v>
      </c>
      <c r="BF238" s="238"/>
      <c r="BG238" s="238" t="e">
        <v>#N/A</v>
      </c>
      <c r="BH238" s="238"/>
      <c r="BI238" s="238"/>
      <c r="BJ238" s="238"/>
      <c r="BK238" s="238"/>
      <c r="BL238" s="238"/>
      <c r="BM238" s="238"/>
      <c r="BN238" s="238"/>
      <c r="BO238" s="238"/>
      <c r="BP238" s="238"/>
      <c r="BQ238" s="238"/>
      <c r="BR238" s="238"/>
      <c r="BS238" s="238"/>
      <c r="BT238" s="238"/>
      <c r="BU238" s="238"/>
      <c r="BV238" s="238"/>
      <c r="BW238" s="238"/>
      <c r="BX238" s="238"/>
      <c r="BY238" s="238"/>
      <c r="BZ238" s="238"/>
      <c r="CA238" s="238"/>
      <c r="CB238" s="238"/>
      <c r="CC238" s="238"/>
      <c r="CD238" s="238"/>
      <c r="CE238" s="238"/>
      <c r="CF238" s="238"/>
    </row>
    <row r="239" spans="1:84">
      <c r="A239" s="356">
        <v>43191</v>
      </c>
      <c r="B239" s="461">
        <v>4.2480000000000002</v>
      </c>
      <c r="C239" s="238">
        <v>-0.81299999999999994</v>
      </c>
      <c r="D239" s="238"/>
      <c r="E239" s="238"/>
      <c r="F239" s="238"/>
      <c r="G239" s="520"/>
      <c r="H239" s="520"/>
      <c r="I239" s="520"/>
      <c r="J239" s="521"/>
      <c r="K239" s="520"/>
      <c r="L239" s="522"/>
      <c r="M239" s="522"/>
      <c r="N239" s="521"/>
      <c r="O239" s="525"/>
      <c r="P239" s="526"/>
      <c r="Q239" s="527"/>
      <c r="S239" s="527"/>
      <c r="T239" s="238"/>
      <c r="U239" s="238"/>
      <c r="V239" s="238">
        <v>3.4350000000000001</v>
      </c>
      <c r="W239" s="238"/>
      <c r="X239" s="238"/>
      <c r="Y239" s="238"/>
      <c r="Z239" s="238"/>
      <c r="AA239" s="240"/>
      <c r="AB239" s="238">
        <v>5.1637373288435828</v>
      </c>
      <c r="AC239" s="238"/>
      <c r="AD239" s="238"/>
      <c r="AE239" s="238"/>
      <c r="AF239" s="238"/>
      <c r="AG239" s="524"/>
      <c r="AH239" s="238"/>
      <c r="AI239" s="467">
        <v>1.5860355316507699</v>
      </c>
      <c r="AJ239" s="478">
        <v>6.3291240913633903E-2</v>
      </c>
      <c r="AK239" s="478">
        <v>6.2121186512414696E-2</v>
      </c>
      <c r="AL239" s="354">
        <v>0.35613298895475992</v>
      </c>
      <c r="AM239" s="377">
        <v>0.36289082844538195</v>
      </c>
      <c r="AN239" s="238"/>
      <c r="AO239" s="238"/>
      <c r="AP239" s="238"/>
      <c r="AQ239" s="238"/>
      <c r="AR239" s="238"/>
      <c r="AS239" s="238"/>
      <c r="AT239" s="456"/>
      <c r="AU239" s="238"/>
      <c r="AV239" s="238"/>
      <c r="AW239" s="238" t="e">
        <v>#N/A</v>
      </c>
      <c r="AX239" s="238"/>
      <c r="AY239" s="238"/>
      <c r="AZ239" s="241"/>
      <c r="BA239" s="241"/>
      <c r="BB239" s="241"/>
      <c r="BC239" s="238"/>
      <c r="BD239" s="238" t="e">
        <v>#N/A</v>
      </c>
      <c r="BE239" s="238">
        <v>3.4350000000000001</v>
      </c>
      <c r="BF239" s="238"/>
      <c r="BG239" s="238" t="e">
        <v>#N/A</v>
      </c>
      <c r="BH239" s="238"/>
      <c r="BI239" s="238"/>
      <c r="BJ239" s="238"/>
      <c r="BK239" s="238"/>
      <c r="BL239" s="238"/>
      <c r="BM239" s="238"/>
      <c r="BN239" s="238"/>
      <c r="BO239" s="238"/>
      <c r="BP239" s="238"/>
      <c r="BQ239" s="238"/>
      <c r="BR239" s="238"/>
      <c r="BS239" s="238"/>
      <c r="BT239" s="238"/>
      <c r="BU239" s="238"/>
      <c r="BV239" s="238"/>
      <c r="BW239" s="238"/>
      <c r="BX239" s="238"/>
      <c r="BY239" s="238"/>
      <c r="BZ239" s="238"/>
      <c r="CA239" s="238"/>
      <c r="CB239" s="238"/>
      <c r="CC239" s="238"/>
      <c r="CD239" s="238"/>
      <c r="CE239" s="238"/>
      <c r="CF239" s="238"/>
    </row>
    <row r="240" spans="1:84">
      <c r="A240" s="356">
        <v>43221</v>
      </c>
      <c r="B240" s="461">
        <v>4.2439999999999998</v>
      </c>
      <c r="C240" s="238">
        <v>-0.81299999999999994</v>
      </c>
      <c r="D240" s="238"/>
      <c r="E240" s="238"/>
      <c r="F240" s="238"/>
      <c r="G240" s="520"/>
      <c r="H240" s="520"/>
      <c r="I240" s="520"/>
      <c r="J240" s="521"/>
      <c r="K240" s="520"/>
      <c r="L240" s="522"/>
      <c r="M240" s="522"/>
      <c r="N240" s="521"/>
      <c r="O240" s="525"/>
      <c r="P240" s="526"/>
      <c r="Q240" s="527"/>
      <c r="S240" s="527"/>
      <c r="T240" s="238"/>
      <c r="U240" s="238"/>
      <c r="V240" s="238">
        <v>3.431</v>
      </c>
      <c r="W240" s="238"/>
      <c r="X240" s="238"/>
      <c r="Y240" s="238"/>
      <c r="Z240" s="238"/>
      <c r="AA240" s="240"/>
      <c r="AB240" s="238">
        <v>5.1566485883580517</v>
      </c>
      <c r="AC240" s="238"/>
      <c r="AD240" s="238"/>
      <c r="AE240" s="238"/>
      <c r="AF240" s="238"/>
      <c r="AG240" s="524"/>
      <c r="AH240" s="238"/>
      <c r="AI240" s="467">
        <v>1.58570476043098</v>
      </c>
      <c r="AJ240" s="478">
        <v>6.3310553552655205E-2</v>
      </c>
      <c r="AK240" s="478">
        <v>6.2159173030704298E-2</v>
      </c>
      <c r="AL240" s="354">
        <v>0.35420456201190426</v>
      </c>
      <c r="AM240" s="377">
        <v>0.36085053655550586</v>
      </c>
      <c r="AN240" s="238"/>
      <c r="AO240" s="238"/>
      <c r="AP240" s="238"/>
      <c r="AQ240" s="238"/>
      <c r="AR240" s="238"/>
      <c r="AS240" s="238"/>
      <c r="AT240" s="456"/>
      <c r="AU240" s="238"/>
      <c r="AV240" s="238"/>
      <c r="AW240" s="238" t="e">
        <v>#N/A</v>
      </c>
      <c r="AX240" s="238"/>
      <c r="AY240" s="238"/>
      <c r="AZ240" s="241"/>
      <c r="BA240" s="241"/>
      <c r="BB240" s="241"/>
      <c r="BC240" s="238"/>
      <c r="BD240" s="238" t="e">
        <v>#N/A</v>
      </c>
      <c r="BE240" s="238">
        <v>3.431</v>
      </c>
      <c r="BF240" s="238"/>
      <c r="BG240" s="238" t="e">
        <v>#N/A</v>
      </c>
      <c r="BH240" s="238"/>
      <c r="BI240" s="238"/>
      <c r="BJ240" s="238"/>
      <c r="BK240" s="238"/>
      <c r="BL240" s="238"/>
      <c r="BM240" s="238"/>
      <c r="BN240" s="238"/>
      <c r="BO240" s="238"/>
      <c r="BP240" s="238"/>
      <c r="BQ240" s="238"/>
      <c r="BR240" s="238"/>
      <c r="BS240" s="238"/>
      <c r="BT240" s="238"/>
      <c r="BU240" s="238"/>
      <c r="BV240" s="238"/>
      <c r="BW240" s="238"/>
      <c r="BX240" s="238"/>
      <c r="BY240" s="238"/>
      <c r="BZ240" s="238"/>
      <c r="CA240" s="238"/>
      <c r="CB240" s="238"/>
      <c r="CC240" s="238"/>
      <c r="CD240" s="238"/>
      <c r="CE240" s="238"/>
      <c r="CF240" s="238"/>
    </row>
    <row r="241" spans="1:84">
      <c r="A241" s="356">
        <v>43252</v>
      </c>
      <c r="B241" s="461">
        <v>4.2759999999999998</v>
      </c>
      <c r="C241" s="238">
        <v>-0.81299999999999994</v>
      </c>
      <c r="D241" s="238"/>
      <c r="E241" s="238"/>
      <c r="F241" s="238"/>
      <c r="G241" s="520"/>
      <c r="H241" s="520"/>
      <c r="I241" s="520"/>
      <c r="J241" s="522"/>
      <c r="K241" s="520"/>
      <c r="L241" s="522"/>
      <c r="M241" s="522"/>
      <c r="N241" s="522"/>
      <c r="O241" s="525"/>
      <c r="P241" s="238"/>
      <c r="Q241" s="242"/>
      <c r="S241" s="242"/>
      <c r="T241" s="238"/>
      <c r="U241" s="238"/>
      <c r="V241" s="238">
        <v>3.4630000000000001</v>
      </c>
      <c r="W241" s="238"/>
      <c r="X241" s="238"/>
      <c r="Y241" s="238"/>
      <c r="Z241" s="238"/>
      <c r="AA241" s="240"/>
      <c r="AB241" s="238">
        <v>5.2036053750383813</v>
      </c>
      <c r="AC241" s="238"/>
      <c r="AD241" s="238"/>
      <c r="AE241" s="238"/>
      <c r="AF241" s="238"/>
      <c r="AG241" s="524"/>
      <c r="AH241" s="238"/>
      <c r="AI241" s="467">
        <v>1.5853580919914798</v>
      </c>
      <c r="AJ241" s="478">
        <v>6.3330509946440294E-2</v>
      </c>
      <c r="AK241" s="478">
        <v>6.2198425766772501E-2</v>
      </c>
      <c r="AL241" s="354">
        <v>0.35222168685576766</v>
      </c>
      <c r="AM241" s="377">
        <v>0.35875200862941464</v>
      </c>
      <c r="AN241" s="238"/>
      <c r="AO241" s="238"/>
      <c r="AP241" s="238"/>
      <c r="AQ241" s="238"/>
      <c r="AR241" s="238"/>
      <c r="AS241" s="238"/>
      <c r="AT241" s="456"/>
      <c r="AU241" s="238"/>
      <c r="AV241" s="238"/>
      <c r="AW241" s="238" t="e">
        <v>#N/A</v>
      </c>
      <c r="AX241" s="238"/>
      <c r="AY241" s="238"/>
      <c r="AZ241" s="241"/>
      <c r="BA241" s="241"/>
      <c r="BB241" s="241"/>
      <c r="BC241" s="238"/>
      <c r="BD241" s="238" t="e">
        <v>#N/A</v>
      </c>
      <c r="BE241" s="238">
        <v>3.4630000000000001</v>
      </c>
      <c r="BF241" s="238"/>
      <c r="BG241" s="238" t="e">
        <v>#N/A</v>
      </c>
      <c r="BH241" s="238"/>
      <c r="BI241" s="238"/>
      <c r="BJ241" s="238"/>
      <c r="BK241" s="238"/>
      <c r="BL241" s="238"/>
      <c r="BM241" s="238"/>
      <c r="BN241" s="238"/>
      <c r="BO241" s="238"/>
      <c r="BP241" s="238"/>
      <c r="BQ241" s="238"/>
      <c r="BR241" s="238"/>
      <c r="BS241" s="238"/>
      <c r="BT241" s="238"/>
      <c r="BU241" s="238"/>
      <c r="BV241" s="238"/>
      <c r="BW241" s="238"/>
      <c r="BX241" s="238"/>
      <c r="BY241" s="238"/>
      <c r="BZ241" s="238"/>
      <c r="CA241" s="238"/>
      <c r="CB241" s="238"/>
      <c r="CC241" s="238"/>
      <c r="CD241" s="238"/>
      <c r="CE241" s="238"/>
      <c r="CF241" s="238"/>
    </row>
    <row r="242" spans="1:84">
      <c r="A242" s="356">
        <v>43282</v>
      </c>
      <c r="B242" s="461">
        <v>4.3260000000000005</v>
      </c>
      <c r="C242" s="238">
        <v>-0.81299999999999994</v>
      </c>
      <c r="D242" s="238"/>
      <c r="E242" s="238"/>
      <c r="F242" s="238"/>
      <c r="G242" s="520"/>
      <c r="H242" s="520"/>
      <c r="I242" s="520"/>
      <c r="J242" s="522"/>
      <c r="K242" s="520"/>
      <c r="L242" s="522"/>
      <c r="M242" s="522"/>
      <c r="N242" s="522"/>
      <c r="O242" s="525"/>
      <c r="P242" s="238"/>
      <c r="Q242" s="242"/>
      <c r="S242" s="242"/>
      <c r="T242" s="238"/>
      <c r="U242" s="238"/>
      <c r="V242" s="238">
        <v>3.5130000000000008</v>
      </c>
      <c r="W242" s="238"/>
      <c r="X242" s="238"/>
      <c r="Y242" s="238"/>
      <c r="Z242" s="238"/>
      <c r="AA242" s="240"/>
      <c r="AB242" s="238">
        <v>5.2776040951114096</v>
      </c>
      <c r="AC242" s="238"/>
      <c r="AD242" s="238"/>
      <c r="AE242" s="238"/>
      <c r="AF242" s="238"/>
      <c r="AG242" s="524"/>
      <c r="AH242" s="238"/>
      <c r="AI242" s="467">
        <v>1.5850178952951499</v>
      </c>
      <c r="AJ242" s="478">
        <v>6.3349822585713006E-2</v>
      </c>
      <c r="AK242" s="478">
        <v>6.2236412286035901E-2</v>
      </c>
      <c r="AL242" s="354">
        <v>0.35031225089214069</v>
      </c>
      <c r="AM242" s="377">
        <v>0.35673060495031517</v>
      </c>
      <c r="AN242" s="238"/>
      <c r="AO242" s="238"/>
      <c r="AP242" s="238"/>
      <c r="AQ242" s="238"/>
      <c r="AR242" s="238"/>
      <c r="AS242" s="238"/>
      <c r="AT242" s="456"/>
      <c r="AU242" s="238"/>
      <c r="AV242" s="238"/>
      <c r="AW242" s="238" t="e">
        <v>#N/A</v>
      </c>
      <c r="AX242" s="238"/>
      <c r="AY242" s="238"/>
      <c r="AZ242" s="241"/>
      <c r="BA242" s="241"/>
      <c r="BB242" s="241"/>
      <c r="BC242" s="238"/>
      <c r="BD242" s="238" t="e">
        <v>#N/A</v>
      </c>
      <c r="BE242" s="238">
        <v>3.5130000000000008</v>
      </c>
      <c r="BF242" s="238"/>
      <c r="BG242" s="238" t="e">
        <v>#N/A</v>
      </c>
      <c r="BH242" s="238"/>
      <c r="BI242" s="238"/>
      <c r="BJ242" s="238"/>
      <c r="BK242" s="238"/>
      <c r="BL242" s="238"/>
      <c r="BM242" s="238"/>
      <c r="BN242" s="238"/>
      <c r="BO242" s="238"/>
      <c r="BP242" s="238"/>
      <c r="BQ242" s="238"/>
      <c r="BR242" s="238"/>
      <c r="BS242" s="238"/>
      <c r="BT242" s="238"/>
      <c r="BU242" s="238"/>
      <c r="BV242" s="238"/>
      <c r="BW242" s="238"/>
      <c r="BX242" s="238"/>
      <c r="BY242" s="238"/>
      <c r="BZ242" s="238"/>
      <c r="CA242" s="238"/>
      <c r="CB242" s="238"/>
      <c r="CC242" s="238"/>
      <c r="CD242" s="238"/>
      <c r="CE242" s="238"/>
      <c r="CF242" s="238"/>
    </row>
    <row r="243" spans="1:84">
      <c r="A243" s="356">
        <v>43313</v>
      </c>
      <c r="B243" s="461">
        <v>4.3600000000000003</v>
      </c>
      <c r="C243" s="238">
        <v>-0.81299999999999994</v>
      </c>
      <c r="D243" s="238"/>
      <c r="E243" s="238"/>
      <c r="F243" s="238"/>
      <c r="G243" s="520"/>
      <c r="H243" s="520"/>
      <c r="I243" s="520"/>
      <c r="J243" s="522"/>
      <c r="K243" s="520"/>
      <c r="L243" s="522"/>
      <c r="M243" s="522"/>
      <c r="N243" s="522"/>
      <c r="O243" s="525"/>
      <c r="P243" s="238"/>
      <c r="Q243" s="242"/>
      <c r="S243" s="242"/>
      <c r="T243" s="238"/>
      <c r="U243" s="238"/>
      <c r="V243" s="238">
        <v>3.5470000000000006</v>
      </c>
      <c r="W243" s="238"/>
      <c r="X243" s="238"/>
      <c r="Y243" s="238"/>
      <c r="Z243" s="238"/>
      <c r="AA243" s="240"/>
      <c r="AB243" s="238">
        <v>5.3274843413524922</v>
      </c>
      <c r="AC243" s="238"/>
      <c r="AD243" s="238"/>
      <c r="AE243" s="238"/>
      <c r="AF243" s="238"/>
      <c r="AG243" s="524"/>
      <c r="AH243" s="238"/>
      <c r="AI243" s="467">
        <v>1.5846614940090198</v>
      </c>
      <c r="AJ243" s="478">
        <v>6.3369778979757804E-2</v>
      </c>
      <c r="AK243" s="478">
        <v>6.2275665023110903E-2</v>
      </c>
      <c r="AL243" s="354">
        <v>0.34834891671445339</v>
      </c>
      <c r="AM243" s="377">
        <v>0.35465153536598193</v>
      </c>
      <c r="AN243" s="238"/>
      <c r="AO243" s="238"/>
      <c r="AP243" s="238"/>
      <c r="AQ243" s="238"/>
      <c r="AR243" s="238"/>
      <c r="AS243" s="238"/>
      <c r="AT243" s="456"/>
      <c r="AU243" s="238"/>
      <c r="AV243" s="238"/>
      <c r="AW243" s="238" t="e">
        <v>#N/A</v>
      </c>
      <c r="AX243" s="238"/>
      <c r="AY243" s="238"/>
      <c r="AZ243" s="241"/>
      <c r="BA243" s="241"/>
      <c r="BB243" s="241"/>
      <c r="BC243" s="238"/>
      <c r="BD243" s="238" t="e">
        <v>#N/A</v>
      </c>
      <c r="BE243" s="238">
        <v>3.5470000000000006</v>
      </c>
      <c r="BF243" s="238"/>
      <c r="BG243" s="238" t="e">
        <v>#N/A</v>
      </c>
      <c r="BH243" s="238"/>
      <c r="BI243" s="238"/>
      <c r="BJ243" s="238"/>
      <c r="BK243" s="238"/>
      <c r="BL243" s="238"/>
      <c r="BM243" s="238"/>
      <c r="BN243" s="238"/>
      <c r="BO243" s="238"/>
      <c r="BP243" s="238"/>
      <c r="BQ243" s="238"/>
      <c r="BR243" s="238"/>
      <c r="BS243" s="238"/>
      <c r="BT243" s="238"/>
      <c r="BU243" s="238"/>
      <c r="BV243" s="238"/>
      <c r="BW243" s="238"/>
      <c r="BX243" s="238"/>
      <c r="BY243" s="238"/>
      <c r="BZ243" s="238"/>
      <c r="CA243" s="238"/>
      <c r="CB243" s="238"/>
      <c r="CC243" s="238"/>
      <c r="CD243" s="238"/>
      <c r="CE243" s="238"/>
      <c r="CF243" s="238"/>
    </row>
    <row r="244" spans="1:84">
      <c r="A244" s="356">
        <v>43344</v>
      </c>
      <c r="B244" s="461">
        <v>4.3730000000000002</v>
      </c>
      <c r="C244" s="238">
        <v>-0.81299999999999994</v>
      </c>
      <c r="D244" s="238"/>
      <c r="E244" s="238"/>
      <c r="F244" s="238"/>
      <c r="G244" s="520"/>
      <c r="H244" s="520"/>
      <c r="I244" s="520"/>
      <c r="J244" s="522"/>
      <c r="K244" s="520"/>
      <c r="L244" s="522"/>
      <c r="M244" s="522"/>
      <c r="N244" s="522"/>
      <c r="O244" s="525"/>
      <c r="P244" s="238"/>
      <c r="Q244" s="242"/>
      <c r="S244" s="242"/>
      <c r="T244" s="238"/>
      <c r="U244" s="238"/>
      <c r="V244" s="238">
        <v>3.56</v>
      </c>
      <c r="W244" s="238"/>
      <c r="X244" s="238"/>
      <c r="Y244" s="238"/>
      <c r="Z244" s="238"/>
      <c r="AA244" s="240"/>
      <c r="AB244" s="238">
        <v>5.3457906883497808</v>
      </c>
      <c r="AC244" s="238"/>
      <c r="AD244" s="238"/>
      <c r="AE244" s="238"/>
      <c r="AF244" s="238"/>
      <c r="AG244" s="524"/>
      <c r="AH244" s="238"/>
      <c r="AI244" s="467">
        <v>1.5843001518223498</v>
      </c>
      <c r="AJ244" s="478">
        <v>6.3389735373935011E-2</v>
      </c>
      <c r="AK244" s="478">
        <v>6.2314917760697398E-2</v>
      </c>
      <c r="AL244" s="354">
        <v>0.34639544979935993</v>
      </c>
      <c r="AM244" s="377">
        <v>0.35258230883886493</v>
      </c>
      <c r="AN244" s="238"/>
      <c r="AO244" s="238"/>
      <c r="AP244" s="238"/>
      <c r="AQ244" s="238"/>
      <c r="AR244" s="238"/>
      <c r="AS244" s="238"/>
      <c r="AT244" s="456"/>
      <c r="AU244" s="238"/>
      <c r="AV244" s="238"/>
      <c r="AW244" s="238" t="e">
        <v>#N/A</v>
      </c>
      <c r="AX244" s="238"/>
      <c r="AY244" s="238"/>
      <c r="AZ244" s="241"/>
      <c r="BA244" s="241"/>
      <c r="BB244" s="241"/>
      <c r="BC244" s="238"/>
      <c r="BD244" s="238" t="e">
        <v>#N/A</v>
      </c>
      <c r="BE244" s="238">
        <v>3.56</v>
      </c>
      <c r="BF244" s="238"/>
      <c r="BG244" s="238" t="e">
        <v>#N/A</v>
      </c>
      <c r="BH244" s="238"/>
      <c r="BI244" s="238"/>
      <c r="BJ244" s="238"/>
      <c r="BK244" s="238"/>
      <c r="BL244" s="238"/>
      <c r="BM244" s="238"/>
      <c r="BN244" s="238"/>
      <c r="BO244" s="238"/>
      <c r="BP244" s="238"/>
      <c r="BQ244" s="238"/>
      <c r="BR244" s="238"/>
      <c r="BS244" s="238"/>
      <c r="BT244" s="238"/>
      <c r="BU244" s="238"/>
      <c r="BV244" s="238"/>
      <c r="BW244" s="238"/>
      <c r="BX244" s="238"/>
      <c r="BY244" s="238"/>
      <c r="BZ244" s="238"/>
      <c r="CA244" s="238"/>
      <c r="CB244" s="238"/>
      <c r="CC244" s="238"/>
      <c r="CD244" s="238"/>
      <c r="CE244" s="238"/>
      <c r="CF244" s="238"/>
    </row>
    <row r="245" spans="1:84">
      <c r="A245" s="356">
        <v>43374</v>
      </c>
      <c r="B245" s="461">
        <v>4.3849999999999998</v>
      </c>
      <c r="C245" s="238">
        <v>-0.81299999999999994</v>
      </c>
      <c r="D245" s="238"/>
      <c r="E245" s="238"/>
      <c r="F245" s="238"/>
      <c r="G245" s="520"/>
      <c r="H245" s="520"/>
      <c r="I245" s="520"/>
      <c r="J245" s="522"/>
      <c r="K245" s="520"/>
      <c r="L245" s="522"/>
      <c r="M245" s="522"/>
      <c r="N245" s="522"/>
      <c r="O245" s="525"/>
      <c r="P245" s="238"/>
      <c r="Q245" s="242"/>
      <c r="S245" s="242"/>
      <c r="T245" s="238"/>
      <c r="U245" s="238"/>
      <c r="V245" s="238">
        <v>3.5720000000000001</v>
      </c>
      <c r="W245" s="238"/>
      <c r="X245" s="238"/>
      <c r="Y245" s="238"/>
      <c r="Z245" s="238"/>
      <c r="AA245" s="240"/>
      <c r="AB245" s="238">
        <v>5.3626103942196224</v>
      </c>
      <c r="AC245" s="238"/>
      <c r="AD245" s="238"/>
      <c r="AE245" s="238"/>
      <c r="AF245" s="238"/>
      <c r="AG245" s="524"/>
      <c r="AH245" s="238"/>
      <c r="AI245" s="467">
        <v>1.58394576486108</v>
      </c>
      <c r="AJ245" s="478">
        <v>6.3409048013586905E-2</v>
      </c>
      <c r="AK245" s="478">
        <v>6.2352904281429006E-2</v>
      </c>
      <c r="AL245" s="354">
        <v>0.34451435282778486</v>
      </c>
      <c r="AM245" s="377">
        <v>0.35058917449111804</v>
      </c>
      <c r="AN245" s="238"/>
      <c r="AO245" s="238"/>
      <c r="AP245" s="238"/>
      <c r="AQ245" s="238"/>
      <c r="AR245" s="238"/>
      <c r="AS245" s="238"/>
      <c r="AT245" s="456"/>
      <c r="AU245" s="238"/>
      <c r="AV245" s="238"/>
      <c r="AW245" s="238" t="e">
        <v>#N/A</v>
      </c>
      <c r="AX245" s="238"/>
      <c r="AY245" s="238"/>
      <c r="AZ245" s="241"/>
      <c r="BA245" s="241"/>
      <c r="BB245" s="241"/>
      <c r="BC245" s="238"/>
      <c r="BD245" s="238" t="e">
        <v>#N/A</v>
      </c>
      <c r="BE245" s="238">
        <v>3.5720000000000001</v>
      </c>
      <c r="BF245" s="238"/>
      <c r="BG245" s="238" t="e">
        <v>#N/A</v>
      </c>
      <c r="BH245" s="238"/>
      <c r="BI245" s="238"/>
      <c r="BJ245" s="238"/>
      <c r="BK245" s="238"/>
      <c r="BL245" s="238"/>
      <c r="BM245" s="238"/>
      <c r="BN245" s="238"/>
      <c r="BO245" s="238"/>
      <c r="BP245" s="238"/>
      <c r="BQ245" s="238"/>
      <c r="BR245" s="238"/>
      <c r="BS245" s="238"/>
      <c r="BT245" s="238"/>
      <c r="BU245" s="238"/>
      <c r="BV245" s="238"/>
      <c r="BW245" s="238"/>
      <c r="BX245" s="238"/>
      <c r="BY245" s="238"/>
      <c r="BZ245" s="238"/>
      <c r="CA245" s="238"/>
      <c r="CB245" s="238"/>
      <c r="CC245" s="238"/>
      <c r="CD245" s="238"/>
      <c r="CE245" s="238"/>
      <c r="CF245" s="238"/>
    </row>
    <row r="246" spans="1:84">
      <c r="A246" s="356">
        <v>43405</v>
      </c>
      <c r="B246" s="461">
        <v>4.53</v>
      </c>
      <c r="C246" s="238">
        <v>-0.71299999999999997</v>
      </c>
      <c r="D246" s="238"/>
      <c r="E246" s="238"/>
      <c r="F246" s="238"/>
      <c r="G246" s="520"/>
      <c r="H246" s="520"/>
      <c r="I246" s="520"/>
      <c r="J246" s="522"/>
      <c r="K246" s="520"/>
      <c r="L246" s="522"/>
      <c r="M246" s="522"/>
      <c r="N246" s="522"/>
      <c r="O246" s="525"/>
      <c r="P246" s="238"/>
      <c r="Q246" s="242"/>
      <c r="S246" s="242"/>
      <c r="T246" s="238"/>
      <c r="U246" s="238"/>
      <c r="V246" s="238">
        <v>3.8170000000000002</v>
      </c>
      <c r="W246" s="238"/>
      <c r="X246" s="238"/>
      <c r="Y246" s="238"/>
      <c r="Z246" s="238"/>
      <c r="AA246" s="240"/>
      <c r="AB246" s="238">
        <v>5.7290842112019913</v>
      </c>
      <c r="AC246" s="238"/>
      <c r="AD246" s="238"/>
      <c r="AE246" s="238"/>
      <c r="AF246" s="238"/>
      <c r="AG246" s="524"/>
      <c r="AH246" s="238"/>
      <c r="AI246" s="467">
        <v>1.5835747109075</v>
      </c>
      <c r="AJ246" s="478">
        <v>6.3429004408024403E-2</v>
      </c>
      <c r="AK246" s="478">
        <v>6.2392157020021898E-2</v>
      </c>
      <c r="AL246" s="354">
        <v>0.3425801780699036</v>
      </c>
      <c r="AM246" s="377">
        <v>0.34853922675855414</v>
      </c>
      <c r="AN246" s="238"/>
      <c r="AO246" s="238"/>
      <c r="AP246" s="238"/>
      <c r="AQ246" s="238"/>
      <c r="AR246" s="238"/>
      <c r="AS246" s="238"/>
      <c r="AT246" s="456"/>
      <c r="AU246" s="238"/>
      <c r="AV246" s="238"/>
      <c r="AW246" s="238" t="e">
        <v>#N/A</v>
      </c>
      <c r="AX246" s="238"/>
      <c r="AY246" s="238"/>
      <c r="AZ246" s="241"/>
      <c r="BA246" s="241"/>
      <c r="BB246" s="241"/>
      <c r="BC246" s="238"/>
      <c r="BD246" s="238" t="e">
        <v>#N/A</v>
      </c>
      <c r="BE246" s="238">
        <v>3.8170000000000002</v>
      </c>
      <c r="BF246" s="238"/>
      <c r="BG246" s="238" t="e">
        <v>#N/A</v>
      </c>
      <c r="BH246" s="238"/>
      <c r="BI246" s="238"/>
      <c r="BJ246" s="238"/>
      <c r="BK246" s="238"/>
      <c r="BL246" s="238"/>
      <c r="BM246" s="238"/>
      <c r="BN246" s="238"/>
      <c r="BO246" s="238"/>
      <c r="BP246" s="238"/>
      <c r="BQ246" s="238"/>
      <c r="BR246" s="238"/>
      <c r="BS246" s="238"/>
      <c r="BT246" s="238"/>
      <c r="BU246" s="238"/>
      <c r="BV246" s="238"/>
      <c r="BW246" s="238"/>
      <c r="BX246" s="238"/>
      <c r="BY246" s="238"/>
      <c r="BZ246" s="238"/>
      <c r="CA246" s="238"/>
      <c r="CB246" s="238"/>
      <c r="CC246" s="238"/>
      <c r="CD246" s="238"/>
      <c r="CE246" s="238"/>
      <c r="CF246" s="238"/>
    </row>
    <row r="247" spans="1:84">
      <c r="A247" s="356">
        <v>43435</v>
      </c>
      <c r="B247" s="461">
        <v>4.681</v>
      </c>
      <c r="C247" s="238">
        <v>-0.71299999999999997</v>
      </c>
      <c r="D247" s="238"/>
      <c r="E247" s="238"/>
      <c r="F247" s="238"/>
      <c r="G247" s="520"/>
      <c r="H247" s="520"/>
      <c r="I247" s="520"/>
      <c r="J247" s="522"/>
      <c r="K247" s="520"/>
      <c r="L247" s="522"/>
      <c r="M247" s="522"/>
      <c r="N247" s="522"/>
      <c r="O247" s="525"/>
      <c r="P247" s="238"/>
      <c r="Q247" s="242"/>
      <c r="S247" s="242"/>
      <c r="T247" s="238"/>
      <c r="U247" s="238"/>
      <c r="V247" s="238">
        <v>3.968</v>
      </c>
      <c r="W247" s="238"/>
      <c r="X247" s="238"/>
      <c r="Y247" s="238"/>
      <c r="Z247" s="238"/>
      <c r="AA247" s="240"/>
      <c r="AB247" s="238">
        <v>5.954357853747366</v>
      </c>
      <c r="AC247" s="238"/>
      <c r="AD247" s="238"/>
      <c r="AE247" s="238"/>
      <c r="AF247" s="238"/>
      <c r="AG247" s="524"/>
      <c r="AH247" s="238"/>
      <c r="AI247" s="467">
        <v>1.5832109323949799</v>
      </c>
      <c r="AJ247" s="478">
        <v>6.344831704792811E-2</v>
      </c>
      <c r="AK247" s="478">
        <v>6.2430143541727399E-2</v>
      </c>
      <c r="AL247" s="354">
        <v>0.34071767162398836</v>
      </c>
      <c r="AM247" s="377">
        <v>0.3465646916641571</v>
      </c>
      <c r="AN247" s="238"/>
      <c r="AO247" s="238"/>
      <c r="AP247" s="238"/>
      <c r="AQ247" s="238"/>
      <c r="AR247" s="238"/>
      <c r="AS247" s="238"/>
      <c r="AT247" s="456"/>
      <c r="AU247" s="238"/>
      <c r="AV247" s="238"/>
      <c r="AW247" s="238" t="e">
        <v>#N/A</v>
      </c>
      <c r="AX247" s="238"/>
      <c r="AY247" s="238"/>
      <c r="AZ247" s="241"/>
      <c r="BA247" s="241"/>
      <c r="BB247" s="241"/>
      <c r="BC247" s="238"/>
      <c r="BD247" s="238" t="e">
        <v>#N/A</v>
      </c>
      <c r="BE247" s="238">
        <v>3.968</v>
      </c>
      <c r="BF247" s="238"/>
      <c r="BG247" s="238" t="e">
        <v>#N/A</v>
      </c>
      <c r="BH247" s="238"/>
      <c r="BI247" s="238"/>
      <c r="BJ247" s="238"/>
      <c r="BK247" s="238"/>
      <c r="BL247" s="238"/>
      <c r="BM247" s="238"/>
      <c r="BN247" s="238"/>
      <c r="BO247" s="238"/>
      <c r="BP247" s="238"/>
      <c r="BQ247" s="238"/>
      <c r="BR247" s="238"/>
      <c r="BS247" s="238"/>
      <c r="BT247" s="238"/>
      <c r="BU247" s="238"/>
      <c r="BV247" s="238"/>
      <c r="BW247" s="238"/>
      <c r="BX247" s="238"/>
      <c r="BY247" s="238"/>
      <c r="BZ247" s="238"/>
      <c r="CA247" s="238"/>
      <c r="CB247" s="238"/>
      <c r="CC247" s="238"/>
      <c r="CD247" s="238"/>
      <c r="CE247" s="238"/>
      <c r="CF247" s="238"/>
    </row>
    <row r="248" spans="1:84">
      <c r="A248" s="356">
        <v>43466</v>
      </c>
      <c r="B248" s="461">
        <v>4.782</v>
      </c>
      <c r="C248" s="238">
        <v>-0.71299999999999997</v>
      </c>
      <c r="D248" s="256"/>
      <c r="E248" s="256"/>
      <c r="F248" s="256"/>
      <c r="G248" s="520"/>
      <c r="H248" s="520"/>
      <c r="I248" s="520"/>
      <c r="J248" s="522"/>
      <c r="K248" s="520"/>
      <c r="L248" s="522"/>
      <c r="M248" s="522"/>
      <c r="N248" s="522"/>
      <c r="O248" s="525"/>
      <c r="P248" s="238"/>
      <c r="Q248" s="242"/>
      <c r="S248" s="242"/>
      <c r="T248" s="238"/>
      <c r="U248" s="238"/>
      <c r="V248" s="238">
        <v>4.069</v>
      </c>
      <c r="W248" s="238"/>
      <c r="X248" s="238"/>
      <c r="Y248" s="238"/>
      <c r="Z248" s="238"/>
      <c r="AA248" s="240"/>
      <c r="AB248" s="238">
        <v>6.1044494385660855</v>
      </c>
      <c r="AC248" s="238"/>
      <c r="AD248" s="238"/>
      <c r="AE248" s="238"/>
      <c r="AF248" s="238"/>
      <c r="AG248" s="524"/>
      <c r="AH248" s="238"/>
      <c r="AI248" s="467">
        <v>1.58283018109014</v>
      </c>
      <c r="AJ248" s="478">
        <v>6.3468273442624804E-2</v>
      </c>
      <c r="AK248" s="478">
        <v>6.24693962813265E-2</v>
      </c>
      <c r="AL248" s="354">
        <v>0.33880262539972417</v>
      </c>
      <c r="AM248" s="377">
        <v>0.34453390357549418</v>
      </c>
      <c r="AN248" s="238"/>
      <c r="AO248" s="238"/>
      <c r="AP248" s="238"/>
      <c r="AQ248" s="238"/>
      <c r="AR248" s="238"/>
      <c r="AS248" s="238"/>
      <c r="AT248" s="456"/>
      <c r="AU248" s="238"/>
      <c r="AV248" s="238"/>
      <c r="AW248" s="238" t="e">
        <v>#N/A</v>
      </c>
      <c r="AX248" s="238"/>
      <c r="AY248" s="238"/>
      <c r="AZ248" s="241"/>
      <c r="BA248" s="241"/>
      <c r="BB248" s="241"/>
      <c r="BC248" s="238"/>
      <c r="BD248" s="238" t="e">
        <v>#N/A</v>
      </c>
      <c r="BE248" s="238">
        <v>4.069</v>
      </c>
      <c r="BF248" s="238"/>
      <c r="BG248" s="238" t="e">
        <v>#N/A</v>
      </c>
      <c r="BH248" s="238"/>
      <c r="BI248" s="238"/>
      <c r="BJ248" s="238"/>
      <c r="BK248" s="238"/>
      <c r="BL248" s="238"/>
      <c r="BM248" s="238"/>
      <c r="BN248" s="238"/>
      <c r="BO248" s="238"/>
      <c r="BP248" s="238"/>
      <c r="BQ248" s="238"/>
      <c r="BR248" s="238"/>
      <c r="BS248" s="238"/>
      <c r="BT248" s="238"/>
      <c r="BU248" s="238"/>
      <c r="BV248" s="238"/>
      <c r="BW248" s="238"/>
      <c r="BX248" s="238"/>
      <c r="BY248" s="238"/>
      <c r="BZ248" s="238"/>
      <c r="CA248" s="238"/>
      <c r="CB248" s="238"/>
      <c r="CC248" s="238"/>
      <c r="CD248" s="238"/>
      <c r="CE248" s="238"/>
      <c r="CF248" s="238"/>
    </row>
    <row r="249" spans="1:84">
      <c r="A249" s="356">
        <v>43497</v>
      </c>
      <c r="B249" s="461">
        <v>4.6680000000000001</v>
      </c>
      <c r="C249" s="238">
        <v>-0.71299999999999997</v>
      </c>
      <c r="D249" s="256"/>
      <c r="E249" s="256"/>
      <c r="F249" s="256"/>
      <c r="G249" s="520"/>
      <c r="H249" s="520"/>
      <c r="I249" s="520"/>
      <c r="J249" s="522"/>
      <c r="K249" s="520"/>
      <c r="L249" s="522"/>
      <c r="M249" s="522"/>
      <c r="N249" s="522"/>
      <c r="O249" s="525"/>
      <c r="P249" s="238"/>
      <c r="Q249" s="238"/>
      <c r="S249" s="238"/>
      <c r="T249" s="238"/>
      <c r="U249" s="238"/>
      <c r="V249" s="238">
        <v>3.9550000000000001</v>
      </c>
      <c r="W249" s="238"/>
      <c r="X249" s="238"/>
      <c r="Y249" s="238"/>
      <c r="Z249" s="238"/>
      <c r="AA249" s="240"/>
      <c r="AB249" s="238">
        <v>5.9319770952550019</v>
      </c>
      <c r="AC249" s="238"/>
      <c r="AD249" s="238"/>
      <c r="AE249" s="238"/>
      <c r="AF249" s="238"/>
      <c r="AG249" s="524"/>
      <c r="AH249" s="238"/>
      <c r="AI249" s="467">
        <v>1.5824445072595099</v>
      </c>
      <c r="AJ249" s="478">
        <v>6.3488229837454405E-2</v>
      </c>
      <c r="AK249" s="478">
        <v>6.250864902143681E-2</v>
      </c>
      <c r="AL249" s="354">
        <v>0.33689723787315801</v>
      </c>
      <c r="AM249" s="377">
        <v>0.34251280667091549</v>
      </c>
      <c r="AN249" s="238"/>
      <c r="AO249" s="238"/>
      <c r="AP249" s="238"/>
      <c r="AQ249" s="238"/>
      <c r="AR249" s="238"/>
      <c r="AS249" s="238"/>
      <c r="AT249" s="456"/>
      <c r="AU249" s="238"/>
      <c r="AV249" s="238"/>
      <c r="AW249" s="238" t="e">
        <v>#N/A</v>
      </c>
      <c r="AX249" s="238"/>
      <c r="AY249" s="238"/>
      <c r="AZ249" s="241"/>
      <c r="BA249" s="241"/>
      <c r="BB249" s="241"/>
      <c r="BC249" s="238"/>
      <c r="BD249" s="238" t="e">
        <v>#N/A</v>
      </c>
      <c r="BE249" s="238">
        <v>3.9550000000000001</v>
      </c>
      <c r="BF249" s="238"/>
      <c r="BG249" s="238" t="e">
        <v>#N/A</v>
      </c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</row>
    <row r="250" spans="1:84">
      <c r="A250" s="356">
        <v>43525</v>
      </c>
      <c r="B250" s="461">
        <v>4.5360000000000005</v>
      </c>
      <c r="C250" s="238">
        <v>-0.71299999999999997</v>
      </c>
      <c r="D250" s="256"/>
      <c r="E250" s="256"/>
      <c r="F250" s="256"/>
      <c r="G250" s="520"/>
      <c r="H250" s="520"/>
      <c r="I250" s="520"/>
      <c r="J250" s="522"/>
      <c r="K250" s="520"/>
      <c r="L250" s="522"/>
      <c r="M250" s="522"/>
      <c r="N250" s="522"/>
      <c r="O250" s="525"/>
      <c r="P250" s="238"/>
      <c r="Q250" s="238"/>
      <c r="S250" s="238"/>
      <c r="T250" s="238"/>
      <c r="U250" s="238"/>
      <c r="V250" s="238">
        <v>3.8230000000000004</v>
      </c>
      <c r="W250" s="238"/>
      <c r="X250" s="238"/>
      <c r="Y250" s="238"/>
      <c r="Z250" s="238"/>
      <c r="AA250" s="240"/>
      <c r="AB250" s="238">
        <v>5.732716978215767</v>
      </c>
      <c r="AC250" s="238"/>
      <c r="AD250" s="238"/>
      <c r="AE250" s="238"/>
      <c r="AF250" s="238"/>
      <c r="AG250" s="524"/>
      <c r="AH250" s="238"/>
      <c r="AI250" s="467">
        <v>1.5820919288957398</v>
      </c>
      <c r="AJ250" s="478">
        <v>6.3506254968380901E-2</v>
      </c>
      <c r="AK250" s="478">
        <v>6.25441031097176E-2</v>
      </c>
      <c r="AL250" s="354">
        <v>0.33518450974034508</v>
      </c>
      <c r="AM250" s="377">
        <v>0.34069560395186221</v>
      </c>
      <c r="AN250" s="238"/>
      <c r="AO250" s="238"/>
      <c r="AP250" s="238"/>
      <c r="AQ250" s="238"/>
      <c r="AR250" s="238"/>
      <c r="AS250" s="238"/>
      <c r="AT250" s="456"/>
      <c r="AU250" s="238"/>
      <c r="AV250" s="238"/>
      <c r="AW250" s="238" t="e">
        <v>#N/A</v>
      </c>
      <c r="AX250" s="238"/>
      <c r="AY250" s="238"/>
      <c r="AZ250" s="241"/>
      <c r="BA250" s="241"/>
      <c r="BB250" s="241"/>
      <c r="BC250" s="238"/>
      <c r="BD250" s="238" t="e">
        <v>#N/A</v>
      </c>
      <c r="BE250" s="238">
        <v>3.8230000000000004</v>
      </c>
      <c r="BF250" s="238"/>
      <c r="BG250" s="238" t="e">
        <v>#N/A</v>
      </c>
      <c r="BH250" s="238"/>
      <c r="BI250" s="238"/>
      <c r="BJ250" s="238"/>
      <c r="BK250" s="238"/>
      <c r="BL250" s="238"/>
      <c r="BM250" s="238"/>
      <c r="BN250" s="238"/>
      <c r="BO250" s="238"/>
      <c r="BP250" s="238"/>
      <c r="BQ250" s="238"/>
      <c r="BR250" s="238"/>
      <c r="BS250" s="238"/>
      <c r="BT250" s="238"/>
      <c r="BU250" s="238"/>
      <c r="BV250" s="238"/>
      <c r="BW250" s="238"/>
      <c r="BX250" s="238"/>
      <c r="BY250" s="238"/>
      <c r="BZ250" s="238"/>
      <c r="CA250" s="238"/>
      <c r="CB250" s="238"/>
      <c r="CC250" s="238"/>
      <c r="CD250" s="238"/>
      <c r="CE250" s="238"/>
      <c r="CF250" s="238"/>
    </row>
    <row r="251" spans="1:84">
      <c r="A251" s="356">
        <v>43556</v>
      </c>
      <c r="B251" s="461">
        <v>4.3380000000000001</v>
      </c>
      <c r="C251" s="238">
        <v>-0.81299999999999994</v>
      </c>
      <c r="D251" s="256"/>
      <c r="E251" s="256"/>
      <c r="F251" s="256"/>
      <c r="G251" s="520"/>
      <c r="H251" s="520"/>
      <c r="I251" s="520"/>
      <c r="J251" s="522"/>
      <c r="K251" s="520"/>
      <c r="L251" s="522"/>
      <c r="M251" s="522"/>
      <c r="N251" s="522"/>
      <c r="O251" s="525"/>
      <c r="P251" s="238"/>
      <c r="Q251" s="238"/>
      <c r="S251" s="238"/>
      <c r="T251" s="238"/>
      <c r="U251" s="238"/>
      <c r="V251" s="238">
        <v>3.5249999999999999</v>
      </c>
      <c r="W251" s="238"/>
      <c r="X251" s="238"/>
      <c r="Y251" s="238"/>
      <c r="Z251" s="238"/>
      <c r="AA251" s="240"/>
      <c r="AB251" s="238">
        <v>5.2845361404778934</v>
      </c>
      <c r="AC251" s="238"/>
      <c r="AD251" s="238"/>
      <c r="AE251" s="238"/>
      <c r="AF251" s="238"/>
      <c r="AG251" s="524"/>
      <c r="AH251" s="238"/>
      <c r="AI251" s="467">
        <v>1.5816968970859699</v>
      </c>
      <c r="AJ251" s="478">
        <v>6.3526211363461801E-2</v>
      </c>
      <c r="AK251" s="478">
        <v>6.2583355850800895E-2</v>
      </c>
      <c r="AL251" s="354">
        <v>0.33329738942316017</v>
      </c>
      <c r="AM251" s="377">
        <v>0.33869286646801522</v>
      </c>
      <c r="AN251" s="238"/>
      <c r="AO251" s="238"/>
      <c r="AP251" s="238"/>
      <c r="AQ251" s="238"/>
      <c r="AR251" s="238"/>
      <c r="AS251" s="238"/>
      <c r="AT251" s="456"/>
      <c r="AU251" s="238"/>
      <c r="AV251" s="238"/>
      <c r="AW251" s="238" t="e">
        <v>#N/A</v>
      </c>
      <c r="AX251" s="238"/>
      <c r="AY251" s="238"/>
      <c r="AZ251" s="241"/>
      <c r="BA251" s="241"/>
      <c r="BB251" s="241"/>
      <c r="BC251" s="238"/>
      <c r="BD251" s="238" t="e">
        <v>#N/A</v>
      </c>
      <c r="BE251" s="238">
        <v>3.5249999999999999</v>
      </c>
      <c r="BF251" s="238"/>
      <c r="BG251" s="238" t="e">
        <v>#N/A</v>
      </c>
      <c r="BH251" s="238"/>
      <c r="BI251" s="238"/>
      <c r="BJ251" s="238"/>
      <c r="BK251" s="238"/>
      <c r="BL251" s="238"/>
      <c r="BM251" s="238"/>
      <c r="BN251" s="238"/>
      <c r="BO251" s="238"/>
      <c r="BP251" s="238"/>
      <c r="BQ251" s="238"/>
      <c r="BR251" s="238"/>
      <c r="BS251" s="238"/>
      <c r="BT251" s="238"/>
      <c r="BU251" s="238"/>
      <c r="BV251" s="238"/>
      <c r="BW251" s="238"/>
      <c r="BX251" s="238"/>
      <c r="BY251" s="238"/>
      <c r="BZ251" s="238"/>
      <c r="CA251" s="238"/>
      <c r="CB251" s="238"/>
      <c r="CC251" s="238"/>
      <c r="CD251" s="238"/>
      <c r="CE251" s="238"/>
      <c r="CF251" s="238"/>
    </row>
    <row r="252" spans="1:84">
      <c r="A252" s="356">
        <v>43586</v>
      </c>
      <c r="B252" s="461">
        <v>4.3340000000000005</v>
      </c>
      <c r="C252" s="238">
        <v>-0.81299999999999994</v>
      </c>
      <c r="D252" s="256"/>
      <c r="E252" s="256"/>
      <c r="F252" s="256"/>
      <c r="G252" s="520"/>
      <c r="H252" s="520"/>
      <c r="I252" s="520"/>
      <c r="J252" s="522"/>
      <c r="K252" s="520"/>
      <c r="L252" s="522"/>
      <c r="M252" s="522"/>
      <c r="N252" s="522"/>
      <c r="O252" s="525"/>
      <c r="P252" s="238"/>
      <c r="Q252" s="238"/>
      <c r="S252" s="238"/>
      <c r="T252" s="238"/>
      <c r="U252" s="238"/>
      <c r="V252" s="238">
        <v>3.5210000000000008</v>
      </c>
      <c r="W252" s="238"/>
      <c r="X252" s="238"/>
      <c r="Y252" s="238"/>
      <c r="Z252" s="238"/>
      <c r="AA252" s="240"/>
      <c r="AB252" s="238">
        <v>5.2772480995004702</v>
      </c>
      <c r="AC252" s="238"/>
      <c r="AD252" s="238"/>
      <c r="AE252" s="238"/>
      <c r="AF252" s="238"/>
      <c r="AG252" s="524"/>
      <c r="AH252" s="238"/>
      <c r="AI252" s="467">
        <v>1.5813099320836599</v>
      </c>
      <c r="AJ252" s="478">
        <v>6.3545524003988205E-2</v>
      </c>
      <c r="AK252" s="478">
        <v>6.26213423749169E-2</v>
      </c>
      <c r="AL252" s="354">
        <v>0.3314802254625514</v>
      </c>
      <c r="AM252" s="377">
        <v>0.3367638758838834</v>
      </c>
      <c r="AN252" s="238"/>
      <c r="AO252" s="238"/>
      <c r="AP252" s="238"/>
      <c r="AQ252" s="238"/>
      <c r="AR252" s="238"/>
      <c r="AS252" s="238"/>
      <c r="AT252" s="456"/>
      <c r="AU252" s="238"/>
      <c r="AV252" s="238"/>
      <c r="AW252" s="238" t="e">
        <v>#N/A</v>
      </c>
      <c r="AX252" s="238"/>
      <c r="AY252" s="238"/>
      <c r="AZ252" s="241"/>
      <c r="BA252" s="241"/>
      <c r="BB252" s="241"/>
      <c r="BC252" s="238"/>
      <c r="BD252" s="238" t="e">
        <v>#N/A</v>
      </c>
      <c r="BE252" s="238">
        <v>3.5210000000000008</v>
      </c>
      <c r="BF252" s="238"/>
      <c r="BG252" s="238" t="e">
        <v>#N/A</v>
      </c>
      <c r="BH252" s="238"/>
      <c r="BI252" s="238"/>
      <c r="BJ252" s="238"/>
      <c r="BK252" s="238"/>
      <c r="BL252" s="238"/>
      <c r="BM252" s="238"/>
      <c r="BN252" s="238"/>
      <c r="BO252" s="238"/>
      <c r="BP252" s="238"/>
      <c r="BQ252" s="238"/>
      <c r="BR252" s="238"/>
      <c r="BS252" s="238"/>
      <c r="BT252" s="238"/>
      <c r="BU252" s="238"/>
      <c r="BV252" s="238"/>
      <c r="BW252" s="238"/>
      <c r="BX252" s="238"/>
      <c r="BY252" s="238"/>
      <c r="BZ252" s="238"/>
      <c r="CA252" s="238"/>
      <c r="CB252" s="238"/>
      <c r="CC252" s="238"/>
      <c r="CD252" s="238"/>
      <c r="CE252" s="238"/>
      <c r="CF252" s="238"/>
    </row>
    <row r="253" spans="1:84">
      <c r="A253" s="356">
        <v>43617</v>
      </c>
      <c r="B253" s="461">
        <v>4.3660000000000005</v>
      </c>
      <c r="C253" s="238">
        <v>-0.81299999999999994</v>
      </c>
      <c r="D253" s="256"/>
      <c r="E253" s="256"/>
      <c r="F253" s="256"/>
      <c r="G253" s="520"/>
      <c r="H253" s="520"/>
      <c r="I253" s="520"/>
      <c r="J253" s="522"/>
      <c r="K253" s="520"/>
      <c r="L253" s="522"/>
      <c r="M253" s="522"/>
      <c r="N253" s="522"/>
      <c r="O253" s="525"/>
      <c r="P253" s="238"/>
      <c r="Q253" s="238"/>
      <c r="S253" s="238"/>
      <c r="T253" s="238"/>
      <c r="U253" s="238"/>
      <c r="V253" s="238">
        <v>3.5530000000000008</v>
      </c>
      <c r="W253" s="238"/>
      <c r="X253" s="238"/>
      <c r="Y253" s="238"/>
      <c r="Z253" s="238"/>
      <c r="AA253" s="240"/>
      <c r="AB253" s="238">
        <v>5.3238466186591866</v>
      </c>
      <c r="AC253" s="238"/>
      <c r="AD253" s="238"/>
      <c r="AE253" s="238"/>
      <c r="AF253" s="238"/>
      <c r="AG253" s="524"/>
      <c r="AH253" s="238"/>
      <c r="AI253" s="467">
        <v>1.5809052401058501</v>
      </c>
      <c r="AJ253" s="478">
        <v>6.3565480399328911E-2</v>
      </c>
      <c r="AK253" s="478">
        <v>6.2660595117006501E-2</v>
      </c>
      <c r="AL253" s="354">
        <v>0.32961183326778781</v>
      </c>
      <c r="AM253" s="377">
        <v>0.33478000283581166</v>
      </c>
      <c r="AN253" s="238"/>
      <c r="AO253" s="238"/>
      <c r="AP253" s="238"/>
      <c r="AQ253" s="238"/>
      <c r="AR253" s="238"/>
      <c r="AS253" s="238"/>
      <c r="AT253" s="456"/>
      <c r="AU253" s="238"/>
      <c r="AV253" s="238"/>
      <c r="AW253" s="238" t="e">
        <v>#N/A</v>
      </c>
      <c r="AX253" s="238"/>
      <c r="AY253" s="238"/>
      <c r="AZ253" s="241"/>
      <c r="BA253" s="241"/>
      <c r="BB253" s="241"/>
      <c r="BC253" s="238"/>
      <c r="BD253" s="238" t="e">
        <v>#N/A</v>
      </c>
      <c r="BE253" s="238">
        <v>3.5530000000000008</v>
      </c>
      <c r="BF253" s="238"/>
      <c r="BG253" s="238" t="e">
        <v>#N/A</v>
      </c>
      <c r="BH253" s="238"/>
      <c r="BI253" s="238"/>
      <c r="BJ253" s="238"/>
      <c r="BK253" s="238"/>
      <c r="BL253" s="238"/>
      <c r="BM253" s="238"/>
      <c r="BN253" s="238"/>
      <c r="BO253" s="238"/>
      <c r="BP253" s="238"/>
      <c r="BQ253" s="238"/>
      <c r="BR253" s="238"/>
      <c r="BS253" s="238"/>
      <c r="BT253" s="238"/>
      <c r="BU253" s="238"/>
      <c r="BV253" s="238"/>
      <c r="BW253" s="238"/>
      <c r="BX253" s="238"/>
      <c r="BY253" s="238"/>
      <c r="BZ253" s="238"/>
      <c r="CA253" s="238"/>
      <c r="CB253" s="238"/>
      <c r="CC253" s="238"/>
      <c r="CD253" s="238"/>
      <c r="CE253" s="238"/>
      <c r="CF253" s="238"/>
    </row>
    <row r="254" spans="1:84">
      <c r="A254" s="356">
        <v>43647</v>
      </c>
      <c r="B254" s="461">
        <v>4.4160000000000004</v>
      </c>
      <c r="C254" s="238">
        <v>-0.81299999999999994</v>
      </c>
      <c r="D254" s="256"/>
      <c r="E254" s="256"/>
      <c r="F254" s="256"/>
      <c r="G254" s="520"/>
      <c r="H254" s="520"/>
      <c r="I254" s="520"/>
      <c r="J254" s="522"/>
      <c r="K254" s="520"/>
      <c r="L254" s="522"/>
      <c r="M254" s="522"/>
      <c r="N254" s="522"/>
      <c r="O254" s="525"/>
      <c r="P254" s="238"/>
      <c r="Q254" s="238"/>
      <c r="S254" s="238"/>
      <c r="T254" s="238"/>
      <c r="U254" s="238"/>
      <c r="V254" s="238">
        <v>3.6030000000000006</v>
      </c>
      <c r="W254" s="238"/>
      <c r="X254" s="238"/>
      <c r="Y254" s="238"/>
      <c r="Z254" s="238"/>
      <c r="AA254" s="240"/>
      <c r="AB254" s="238">
        <v>5.397413681795511</v>
      </c>
      <c r="AC254" s="238"/>
      <c r="AD254" s="238"/>
      <c r="AE254" s="238"/>
      <c r="AF254" s="238"/>
      <c r="AG254" s="524"/>
      <c r="AH254" s="238"/>
      <c r="AI254" s="467">
        <v>1.58050893407173</v>
      </c>
      <c r="AJ254" s="478">
        <v>6.3584793040107002E-2</v>
      </c>
      <c r="AK254" s="478">
        <v>6.2698581642095505E-2</v>
      </c>
      <c r="AL254" s="354">
        <v>0.32781271579750931</v>
      </c>
      <c r="AM254" s="377">
        <v>0.33286921042099832</v>
      </c>
      <c r="AN254" s="238"/>
      <c r="AO254" s="238"/>
      <c r="AP254" s="238"/>
      <c r="AQ254" s="238"/>
      <c r="AR254" s="238"/>
      <c r="AS254" s="238"/>
      <c r="AT254" s="456"/>
      <c r="AU254" s="238"/>
      <c r="AV254" s="238"/>
      <c r="AW254" s="238" t="e">
        <v>#N/A</v>
      </c>
      <c r="AX254" s="238"/>
      <c r="AY254" s="238"/>
      <c r="AZ254" s="241"/>
      <c r="BA254" s="241"/>
      <c r="BB254" s="241"/>
      <c r="BC254" s="238"/>
      <c r="BD254" s="238" t="e">
        <v>#N/A</v>
      </c>
      <c r="BE254" s="238">
        <v>3.6030000000000006</v>
      </c>
      <c r="BF254" s="238"/>
      <c r="BG254" s="238" t="e">
        <v>#N/A</v>
      </c>
      <c r="BH254" s="238"/>
      <c r="BI254" s="238"/>
      <c r="BJ254" s="238"/>
      <c r="BK254" s="238"/>
      <c r="BL254" s="238"/>
      <c r="BM254" s="238"/>
      <c r="BN254" s="238"/>
      <c r="BO254" s="238"/>
      <c r="BP254" s="238"/>
      <c r="BQ254" s="238"/>
      <c r="BR254" s="238"/>
      <c r="BS254" s="238"/>
      <c r="BT254" s="238"/>
      <c r="BU254" s="238"/>
      <c r="BV254" s="238"/>
      <c r="BW254" s="238"/>
      <c r="BX254" s="238"/>
      <c r="BY254" s="238"/>
      <c r="BZ254" s="238"/>
      <c r="CA254" s="238"/>
      <c r="CB254" s="238"/>
      <c r="CC254" s="238"/>
      <c r="CD254" s="238"/>
      <c r="CE254" s="238"/>
      <c r="CF254" s="238"/>
    </row>
    <row r="255" spans="1:84">
      <c r="A255" s="356">
        <v>43678</v>
      </c>
      <c r="B255" s="461">
        <v>4.45</v>
      </c>
      <c r="C255" s="238">
        <v>-0.81299999999999994</v>
      </c>
      <c r="D255" s="256"/>
      <c r="E255" s="256"/>
      <c r="F255" s="256"/>
      <c r="G255" s="520"/>
      <c r="H255" s="520"/>
      <c r="I255" s="520"/>
      <c r="J255" s="522"/>
      <c r="K255" s="520"/>
      <c r="L255" s="522"/>
      <c r="M255" s="522"/>
      <c r="N255" s="522"/>
      <c r="O255" s="525"/>
      <c r="P255" s="238"/>
      <c r="Q255" s="238"/>
      <c r="S255" s="238"/>
      <c r="T255" s="238"/>
      <c r="U255" s="238"/>
      <c r="V255" s="238">
        <v>3.6370000000000005</v>
      </c>
      <c r="W255" s="238"/>
      <c r="X255" s="238"/>
      <c r="Y255" s="238"/>
      <c r="Z255" s="238"/>
      <c r="AA255" s="240"/>
      <c r="AB255" s="238">
        <v>5.4469185060211238</v>
      </c>
      <c r="AC255" s="238"/>
      <c r="AD255" s="238"/>
      <c r="AE255" s="238"/>
      <c r="AF255" s="238"/>
      <c r="AG255" s="524"/>
      <c r="AH255" s="238"/>
      <c r="AI255" s="467">
        <v>1.5800945975498</v>
      </c>
      <c r="AJ255" s="478">
        <v>6.3604749435707E-2</v>
      </c>
      <c r="AK255" s="478">
        <v>6.2737834385191399E-2</v>
      </c>
      <c r="AL255" s="354">
        <v>0.32596289182829136</v>
      </c>
      <c r="AM255" s="377">
        <v>0.33090408247966108</v>
      </c>
      <c r="AN255" s="238"/>
      <c r="AO255" s="238"/>
      <c r="AP255" s="238"/>
      <c r="AQ255" s="238"/>
      <c r="AR255" s="238"/>
      <c r="AS255" s="238"/>
      <c r="AT255" s="456"/>
      <c r="AU255" s="238"/>
      <c r="AV255" s="238"/>
      <c r="AW255" s="238" t="e">
        <v>#N/A</v>
      </c>
      <c r="AX255" s="238"/>
      <c r="AY255" s="238"/>
      <c r="AZ255" s="241"/>
      <c r="BA255" s="241"/>
      <c r="BB255" s="241"/>
      <c r="BC255" s="238"/>
      <c r="BD255" s="238" t="e">
        <v>#N/A</v>
      </c>
      <c r="BE255" s="238">
        <v>3.6370000000000005</v>
      </c>
      <c r="BF255" s="238"/>
      <c r="BG255" s="238" t="e">
        <v>#N/A</v>
      </c>
      <c r="BH255" s="238"/>
      <c r="BI255" s="238"/>
      <c r="BJ255" s="238"/>
      <c r="BK255" s="238"/>
      <c r="BL255" s="238"/>
      <c r="BM255" s="238"/>
      <c r="BN255" s="238"/>
      <c r="BO255" s="238"/>
      <c r="BP255" s="238"/>
      <c r="BQ255" s="238"/>
      <c r="BR255" s="238"/>
      <c r="BS255" s="238"/>
      <c r="BT255" s="238"/>
      <c r="BU255" s="238"/>
      <c r="BV255" s="238"/>
      <c r="BW255" s="238"/>
      <c r="BX255" s="238"/>
      <c r="BY255" s="238"/>
      <c r="BZ255" s="238"/>
      <c r="CA255" s="238"/>
      <c r="CB255" s="238"/>
      <c r="CC255" s="238"/>
      <c r="CD255" s="238"/>
      <c r="CE255" s="238"/>
      <c r="CF255" s="238"/>
    </row>
    <row r="256" spans="1:84">
      <c r="A256" s="356">
        <v>43709</v>
      </c>
      <c r="B256" s="461">
        <v>4.4630000000000001</v>
      </c>
      <c r="C256" s="238">
        <v>-0.81299999999999994</v>
      </c>
      <c r="D256" s="256"/>
      <c r="E256" s="256"/>
      <c r="F256" s="256"/>
      <c r="G256" s="520"/>
      <c r="H256" s="520"/>
      <c r="I256" s="520"/>
      <c r="J256" s="522"/>
      <c r="K256" s="520"/>
      <c r="L256" s="522"/>
      <c r="M256" s="522"/>
      <c r="N256" s="522"/>
      <c r="O256" s="525"/>
      <c r="P256" s="238"/>
      <c r="Q256" s="238"/>
      <c r="S256" s="238"/>
      <c r="T256" s="238"/>
      <c r="U256" s="238"/>
      <c r="V256" s="238">
        <v>3.65</v>
      </c>
      <c r="W256" s="238"/>
      <c r="X256" s="238"/>
      <c r="Y256" s="238"/>
      <c r="Z256" s="238"/>
      <c r="AA256" s="240"/>
      <c r="AB256" s="238">
        <v>5.4649374868934206</v>
      </c>
      <c r="AC256" s="238"/>
      <c r="AD256" s="238"/>
      <c r="AE256" s="238"/>
      <c r="AF256" s="238"/>
      <c r="AG256" s="524"/>
      <c r="AH256" s="238"/>
      <c r="AI256" s="467">
        <v>1.5796753658004998</v>
      </c>
      <c r="AJ256" s="478">
        <v>6.3624705831439907E-2</v>
      </c>
      <c r="AK256" s="478">
        <v>6.2777087128797995E-2</v>
      </c>
      <c r="AL256" s="354">
        <v>0.32412244323416983</v>
      </c>
      <c r="AM256" s="377">
        <v>0.32894843500166154</v>
      </c>
      <c r="AN256" s="238"/>
      <c r="AO256" s="238"/>
      <c r="AP256" s="238"/>
      <c r="AQ256" s="238"/>
      <c r="AR256" s="238"/>
      <c r="AS256" s="238"/>
      <c r="AT256" s="456"/>
      <c r="AU256" s="238"/>
      <c r="AV256" s="238"/>
      <c r="AW256" s="238" t="e">
        <v>#N/A</v>
      </c>
      <c r="AX256" s="238"/>
      <c r="AY256" s="238"/>
      <c r="AZ256" s="241"/>
      <c r="BA256" s="241"/>
      <c r="BB256" s="241"/>
      <c r="BC256" s="238"/>
      <c r="BD256" s="238" t="e">
        <v>#N/A</v>
      </c>
      <c r="BE256" s="238">
        <v>3.65</v>
      </c>
      <c r="BF256" s="238"/>
      <c r="BG256" s="238" t="e">
        <v>#N/A</v>
      </c>
      <c r="BH256" s="238"/>
      <c r="BI256" s="238"/>
      <c r="BJ256" s="238"/>
      <c r="BK256" s="238"/>
      <c r="BL256" s="238"/>
      <c r="BM256" s="238"/>
      <c r="BN256" s="238"/>
      <c r="BO256" s="238"/>
      <c r="BP256" s="238"/>
      <c r="BQ256" s="238"/>
      <c r="BR256" s="238"/>
      <c r="BS256" s="238"/>
      <c r="BT256" s="238"/>
      <c r="BU256" s="238"/>
      <c r="BV256" s="238"/>
      <c r="BW256" s="238"/>
      <c r="BX256" s="238"/>
      <c r="BY256" s="238"/>
      <c r="BZ256" s="238"/>
      <c r="CA256" s="238"/>
      <c r="CB256" s="238"/>
      <c r="CC256" s="238"/>
      <c r="CD256" s="238"/>
      <c r="CE256" s="238"/>
      <c r="CF256" s="238"/>
    </row>
    <row r="257" spans="1:84">
      <c r="A257" s="356">
        <v>43739</v>
      </c>
      <c r="B257" s="461">
        <v>4.4749999999999996</v>
      </c>
      <c r="C257" s="238">
        <v>-0.81299999999999994</v>
      </c>
      <c r="D257" s="256"/>
      <c r="E257" s="256"/>
      <c r="F257" s="256"/>
      <c r="G257" s="520"/>
      <c r="H257" s="520"/>
      <c r="I257" s="520"/>
      <c r="J257" s="522"/>
      <c r="K257" s="520"/>
      <c r="L257" s="522"/>
      <c r="M257" s="522"/>
      <c r="N257" s="522"/>
      <c r="O257" s="525"/>
      <c r="P257" s="238"/>
      <c r="Q257" s="238"/>
      <c r="S257" s="238"/>
      <c r="T257" s="238"/>
      <c r="U257" s="238"/>
      <c r="V257" s="238">
        <v>3.6619999999999999</v>
      </c>
      <c r="W257" s="238"/>
      <c r="X257" s="238"/>
      <c r="Y257" s="238"/>
      <c r="Z257" s="238"/>
      <c r="AA257" s="240"/>
      <c r="AB257" s="238">
        <v>5.4814800659583938</v>
      </c>
      <c r="AC257" s="238"/>
      <c r="AD257" s="238"/>
      <c r="AE257" s="238"/>
      <c r="AF257" s="238"/>
      <c r="AG257" s="524"/>
      <c r="AH257" s="238"/>
      <c r="AI257" s="467">
        <v>1.57926500067444</v>
      </c>
      <c r="AJ257" s="478">
        <v>6.3644018472596806E-2</v>
      </c>
      <c r="AK257" s="478">
        <v>6.2815073655355699E-2</v>
      </c>
      <c r="AL257" s="354">
        <v>0.32235025204831347</v>
      </c>
      <c r="AM257" s="377">
        <v>0.32706487055476297</v>
      </c>
      <c r="AN257" s="238"/>
      <c r="AO257" s="238"/>
      <c r="AP257" s="238"/>
      <c r="AQ257" s="238"/>
      <c r="AR257" s="238"/>
      <c r="AS257" s="238"/>
      <c r="AT257" s="456"/>
      <c r="AU257" s="238"/>
      <c r="AV257" s="238"/>
      <c r="AW257" s="238" t="e">
        <v>#N/A</v>
      </c>
      <c r="AX257" s="238"/>
      <c r="AY257" s="238"/>
      <c r="AZ257" s="241"/>
      <c r="BA257" s="241"/>
      <c r="BB257" s="241"/>
      <c r="BC257" s="238"/>
      <c r="BD257" s="238" t="e">
        <v>#N/A</v>
      </c>
      <c r="BE257" s="238">
        <v>3.6619999999999999</v>
      </c>
      <c r="BF257" s="238"/>
      <c r="BG257" s="238" t="e">
        <v>#N/A</v>
      </c>
      <c r="BH257" s="238"/>
      <c r="BI257" s="238"/>
      <c r="BJ257" s="238"/>
      <c r="BK257" s="238"/>
      <c r="BL257" s="238"/>
      <c r="BM257" s="238"/>
      <c r="BN257" s="238"/>
      <c r="BO257" s="238"/>
      <c r="BP257" s="238"/>
      <c r="BQ257" s="238"/>
      <c r="BR257" s="238"/>
      <c r="BS257" s="238"/>
      <c r="BT257" s="238"/>
      <c r="BU257" s="238"/>
      <c r="BV257" s="238"/>
      <c r="BW257" s="238"/>
      <c r="BX257" s="238"/>
      <c r="BY257" s="238"/>
      <c r="BZ257" s="238"/>
      <c r="CA257" s="238"/>
      <c r="CB257" s="238"/>
      <c r="CC257" s="238"/>
      <c r="CD257" s="238"/>
      <c r="CE257" s="238"/>
      <c r="CF257" s="238"/>
    </row>
    <row r="258" spans="1:84">
      <c r="A258" s="356">
        <v>43770</v>
      </c>
      <c r="B258" s="461">
        <v>4.62</v>
      </c>
      <c r="C258" s="238">
        <v>-0.71299999999999997</v>
      </c>
      <c r="D258" s="256"/>
      <c r="E258" s="256"/>
      <c r="F258" s="256"/>
      <c r="G258" s="520"/>
      <c r="H258" s="520"/>
      <c r="I258" s="520"/>
      <c r="J258" s="522"/>
      <c r="K258" s="520"/>
      <c r="L258" s="522"/>
      <c r="M258" s="522"/>
      <c r="N258" s="522"/>
      <c r="O258" s="525"/>
      <c r="P258" s="238"/>
      <c r="Q258" s="238"/>
      <c r="S258" s="238"/>
      <c r="T258" s="238"/>
      <c r="U258" s="238"/>
      <c r="V258" s="238">
        <v>3.907</v>
      </c>
      <c r="W258" s="238"/>
      <c r="X258" s="238"/>
      <c r="Y258" s="238"/>
      <c r="Z258" s="238"/>
      <c r="AA258" s="240"/>
      <c r="AB258" s="238">
        <v>5.8466212528744803</v>
      </c>
      <c r="AC258" s="238"/>
      <c r="AD258" s="238"/>
      <c r="AE258" s="238"/>
      <c r="AF258" s="238"/>
      <c r="AG258" s="524"/>
      <c r="AH258" s="238"/>
      <c r="AI258" s="467">
        <v>1.57883614859809</v>
      </c>
      <c r="AJ258" s="478">
        <v>6.3663974868589407E-2</v>
      </c>
      <c r="AK258" s="478">
        <v>6.2854326399969004E-2</v>
      </c>
      <c r="AL258" s="354">
        <v>0.32052813253526347</v>
      </c>
      <c r="AM258" s="377">
        <v>0.32512778817173815</v>
      </c>
      <c r="AN258" s="238"/>
      <c r="AO258" s="238"/>
      <c r="AP258" s="238"/>
      <c r="AQ258" s="238"/>
      <c r="AR258" s="238"/>
      <c r="AS258" s="238"/>
      <c r="AT258" s="456"/>
      <c r="AU258" s="238"/>
      <c r="AV258" s="238"/>
      <c r="AW258" s="238" t="e">
        <v>#N/A</v>
      </c>
      <c r="AX258" s="238"/>
      <c r="AY258" s="238"/>
      <c r="AZ258" s="241"/>
      <c r="BA258" s="241"/>
      <c r="BB258" s="241"/>
      <c r="BC258" s="238"/>
      <c r="BD258" s="238" t="e">
        <v>#N/A</v>
      </c>
      <c r="BE258" s="238">
        <v>3.907</v>
      </c>
      <c r="BF258" s="238"/>
      <c r="BG258" s="238" t="e">
        <v>#N/A</v>
      </c>
      <c r="BH258" s="238"/>
      <c r="BI258" s="238"/>
      <c r="BJ258" s="238"/>
      <c r="BK258" s="238"/>
      <c r="BL258" s="238"/>
      <c r="BM258" s="238"/>
      <c r="BN258" s="238"/>
      <c r="BO258" s="238"/>
      <c r="BP258" s="238"/>
      <c r="BQ258" s="238"/>
      <c r="BR258" s="238"/>
      <c r="BS258" s="238"/>
      <c r="BT258" s="238"/>
      <c r="BU258" s="238"/>
      <c r="BV258" s="238"/>
      <c r="BW258" s="238"/>
      <c r="BX258" s="238"/>
      <c r="BY258" s="238"/>
      <c r="BZ258" s="238"/>
      <c r="CA258" s="238"/>
      <c r="CB258" s="238"/>
      <c r="CC258" s="238"/>
      <c r="CD258" s="238"/>
      <c r="CE258" s="238"/>
      <c r="CF258" s="238"/>
    </row>
    <row r="259" spans="1:84">
      <c r="A259" s="356">
        <v>43800</v>
      </c>
      <c r="B259" s="461">
        <v>4.7709999999999999</v>
      </c>
      <c r="C259" s="238">
        <v>-0.71299999999999997</v>
      </c>
      <c r="D259" s="256"/>
      <c r="E259" s="256"/>
      <c r="F259" s="256"/>
      <c r="G259" s="520"/>
      <c r="H259" s="520"/>
      <c r="I259" s="520"/>
      <c r="J259" s="522"/>
      <c r="K259" s="520"/>
      <c r="L259" s="522"/>
      <c r="M259" s="522"/>
      <c r="N259" s="522"/>
      <c r="O259" s="525"/>
      <c r="P259" s="238"/>
      <c r="Q259" s="238"/>
      <c r="S259" s="238"/>
      <c r="T259" s="238"/>
      <c r="U259" s="238"/>
      <c r="V259" s="238">
        <v>4.0579999999999998</v>
      </c>
      <c r="W259" s="238"/>
      <c r="X259" s="238"/>
      <c r="Y259" s="238"/>
      <c r="Z259" s="238"/>
      <c r="AA259" s="240"/>
      <c r="AB259" s="238">
        <v>6.0709707177445837</v>
      </c>
      <c r="AC259" s="238"/>
      <c r="AD259" s="238"/>
      <c r="AE259" s="238"/>
      <c r="AF259" s="238"/>
      <c r="AG259" s="524"/>
      <c r="AH259" s="238"/>
      <c r="AI259" s="467">
        <v>1.5784164814146697</v>
      </c>
      <c r="AJ259" s="478">
        <v>6.3683287509998202E-2</v>
      </c>
      <c r="AK259" s="478">
        <v>6.2892312927500513E-2</v>
      </c>
      <c r="AL259" s="354">
        <v>0.3187736029598553</v>
      </c>
      <c r="AM259" s="377">
        <v>0.32326213218873806</v>
      </c>
      <c r="AN259" s="238"/>
      <c r="AO259" s="238"/>
      <c r="AP259" s="238"/>
      <c r="AQ259" s="238"/>
      <c r="AR259" s="238"/>
      <c r="AS259" s="238"/>
      <c r="AT259" s="456"/>
      <c r="AU259" s="238"/>
      <c r="AV259" s="238"/>
      <c r="AW259" s="238" t="e">
        <v>#N/A</v>
      </c>
      <c r="AX259" s="238"/>
      <c r="AY259" s="238"/>
      <c r="AZ259" s="241"/>
      <c r="BA259" s="241"/>
      <c r="BB259" s="241"/>
      <c r="BC259" s="238"/>
      <c r="BD259" s="238" t="e">
        <v>#N/A</v>
      </c>
      <c r="BE259" s="238">
        <v>4.0579999999999998</v>
      </c>
      <c r="BF259" s="238"/>
      <c r="BG259" s="238" t="e">
        <v>#N/A</v>
      </c>
      <c r="BH259" s="238"/>
      <c r="BI259" s="238"/>
      <c r="BJ259" s="238"/>
      <c r="BK259" s="238"/>
      <c r="BL259" s="238"/>
      <c r="BM259" s="238"/>
      <c r="BN259" s="238"/>
      <c r="BO259" s="238"/>
      <c r="BP259" s="238"/>
      <c r="BQ259" s="238"/>
      <c r="BR259" s="238"/>
      <c r="BS259" s="238"/>
      <c r="BT259" s="238"/>
      <c r="BU259" s="238"/>
      <c r="BV259" s="238"/>
      <c r="BW259" s="238"/>
      <c r="BX259" s="238"/>
      <c r="BY259" s="238"/>
      <c r="BZ259" s="238"/>
      <c r="CA259" s="238"/>
      <c r="CB259" s="238"/>
      <c r="CC259" s="238"/>
      <c r="CD259" s="238"/>
      <c r="CE259" s="238"/>
      <c r="CF259" s="238"/>
    </row>
    <row r="260" spans="1:84">
      <c r="A260" s="356">
        <v>43831</v>
      </c>
      <c r="B260" s="461">
        <v>4.8719999999999999</v>
      </c>
      <c r="C260" s="238">
        <v>-0.71299999999999997</v>
      </c>
      <c r="D260" s="256"/>
      <c r="E260" s="256"/>
      <c r="F260" s="256"/>
      <c r="G260" s="520"/>
      <c r="H260" s="520"/>
      <c r="I260" s="520"/>
      <c r="J260" s="522"/>
      <c r="K260" s="520"/>
      <c r="L260" s="522"/>
      <c r="M260" s="522"/>
      <c r="N260" s="522"/>
      <c r="O260" s="525"/>
      <c r="P260" s="238"/>
      <c r="Q260" s="238"/>
      <c r="S260" s="238"/>
      <c r="T260" s="238"/>
      <c r="U260" s="238"/>
      <c r="V260" s="238">
        <v>4.1589999999999998</v>
      </c>
      <c r="W260" s="238"/>
      <c r="X260" s="238"/>
      <c r="Y260" s="238"/>
      <c r="Z260" s="238"/>
      <c r="AA260" s="240"/>
      <c r="AB260" s="238">
        <v>6.2203433827717447</v>
      </c>
      <c r="AC260" s="238"/>
      <c r="AD260" s="238"/>
      <c r="AE260" s="238"/>
      <c r="AF260" s="238"/>
      <c r="AG260" s="524"/>
      <c r="AH260" s="238"/>
      <c r="AI260" s="467">
        <v>1.5779780254997899</v>
      </c>
      <c r="AJ260" s="478">
        <v>6.3703243906250609E-2</v>
      </c>
      <c r="AK260" s="478">
        <v>6.2931565673118903E-2</v>
      </c>
      <c r="AL260" s="354">
        <v>0.31696965529292581</v>
      </c>
      <c r="AM260" s="377">
        <v>0.32134349553644576</v>
      </c>
      <c r="AN260" s="238"/>
      <c r="AO260" s="238"/>
      <c r="AP260" s="238"/>
      <c r="AQ260" s="238"/>
      <c r="AR260" s="238"/>
      <c r="AS260" s="238"/>
      <c r="AT260" s="456"/>
      <c r="AU260" s="238"/>
      <c r="AV260" s="238"/>
      <c r="AW260" s="238" t="e">
        <v>#N/A</v>
      </c>
      <c r="AX260" s="238"/>
      <c r="AY260" s="238"/>
      <c r="AZ260" s="241"/>
      <c r="BA260" s="241"/>
      <c r="BB260" s="241"/>
      <c r="BC260" s="238"/>
      <c r="BD260" s="238" t="e">
        <v>#N/A</v>
      </c>
      <c r="BE260" s="238">
        <v>4.1589999999999998</v>
      </c>
      <c r="BF260" s="238"/>
      <c r="BG260" s="238" t="e">
        <v>#N/A</v>
      </c>
      <c r="BH260" s="238"/>
      <c r="BI260" s="238"/>
      <c r="BJ260" s="238"/>
      <c r="BK260" s="238"/>
      <c r="BL260" s="238"/>
      <c r="BM260" s="238"/>
      <c r="BN260" s="238"/>
      <c r="BO260" s="238"/>
      <c r="BP260" s="238"/>
      <c r="BQ260" s="238"/>
      <c r="BR260" s="238"/>
      <c r="BS260" s="238"/>
      <c r="BT260" s="238"/>
      <c r="BU260" s="238"/>
      <c r="BV260" s="238"/>
      <c r="BW260" s="238"/>
      <c r="BX260" s="238"/>
      <c r="BY260" s="238"/>
      <c r="BZ260" s="238"/>
      <c r="CA260" s="238"/>
      <c r="CB260" s="238"/>
      <c r="CC260" s="238"/>
      <c r="CD260" s="238"/>
      <c r="CE260" s="238"/>
      <c r="CF260" s="238"/>
    </row>
    <row r="261" spans="1:84">
      <c r="A261" s="356">
        <v>43862</v>
      </c>
      <c r="B261" s="461">
        <v>4.758</v>
      </c>
      <c r="C261" s="238">
        <v>-0.71299999999999997</v>
      </c>
      <c r="D261" s="256"/>
      <c r="E261" s="256"/>
      <c r="F261" s="256"/>
      <c r="G261" s="520"/>
      <c r="H261" s="520"/>
      <c r="I261" s="520"/>
      <c r="J261" s="522"/>
      <c r="K261" s="520"/>
      <c r="L261" s="522"/>
      <c r="M261" s="522"/>
      <c r="N261" s="522"/>
      <c r="O261" s="525"/>
      <c r="P261" s="238"/>
      <c r="Q261" s="238"/>
      <c r="S261" s="238"/>
      <c r="T261" s="238"/>
      <c r="U261" s="238"/>
      <c r="V261" s="238">
        <v>4.0449999999999999</v>
      </c>
      <c r="W261" s="238"/>
      <c r="X261" s="238"/>
      <c r="Y261" s="238"/>
      <c r="Z261" s="238"/>
      <c r="AA261" s="240"/>
      <c r="AB261" s="238">
        <v>6.0481413714433057</v>
      </c>
      <c r="AC261" s="238"/>
      <c r="AD261" s="238"/>
      <c r="AE261" s="238"/>
      <c r="AF261" s="238"/>
      <c r="AG261" s="524"/>
      <c r="AH261" s="238"/>
      <c r="AI261" s="467">
        <v>1.57753469537441</v>
      </c>
      <c r="AJ261" s="478">
        <v>6.3723200302634911E-2</v>
      </c>
      <c r="AK261" s="478">
        <v>6.2970818419249203E-2</v>
      </c>
      <c r="AL261" s="354">
        <v>0.3151748825795026</v>
      </c>
      <c r="AM261" s="377">
        <v>0.31943418720187566</v>
      </c>
      <c r="AN261" s="238"/>
      <c r="AO261" s="238"/>
      <c r="AP261" s="238"/>
      <c r="AQ261" s="238"/>
      <c r="AR261" s="238"/>
      <c r="AS261" s="238"/>
      <c r="AT261" s="456"/>
      <c r="AU261" s="238"/>
      <c r="AV261" s="238"/>
      <c r="AW261" s="238" t="e">
        <v>#N/A</v>
      </c>
      <c r="AX261" s="238"/>
      <c r="AY261" s="238"/>
      <c r="AZ261" s="241"/>
      <c r="BA261" s="241"/>
      <c r="BB261" s="241"/>
      <c r="BC261" s="238"/>
      <c r="BD261" s="238" t="e">
        <v>#N/A</v>
      </c>
      <c r="BE261" s="238">
        <v>4.0449999999999999</v>
      </c>
      <c r="BF261" s="238"/>
      <c r="BG261" s="238" t="e">
        <v>#N/A</v>
      </c>
      <c r="BH261" s="238"/>
      <c r="BI261" s="238"/>
      <c r="BJ261" s="238"/>
      <c r="BK261" s="238"/>
      <c r="BL261" s="238"/>
      <c r="BM261" s="238"/>
      <c r="BN261" s="238"/>
      <c r="BO261" s="238"/>
      <c r="BP261" s="238"/>
      <c r="BQ261" s="238"/>
      <c r="BR261" s="238"/>
      <c r="BS261" s="238"/>
      <c r="BT261" s="238"/>
      <c r="BU261" s="238"/>
      <c r="BV261" s="238"/>
      <c r="BW261" s="238"/>
      <c r="BX261" s="238"/>
      <c r="BY261" s="238"/>
      <c r="BZ261" s="238"/>
      <c r="CA261" s="238"/>
      <c r="CB261" s="238"/>
      <c r="CC261" s="238"/>
      <c r="CD261" s="238"/>
      <c r="CE261" s="238"/>
      <c r="CF261" s="238"/>
    </row>
    <row r="262" spans="1:84">
      <c r="A262" s="356">
        <v>43891</v>
      </c>
      <c r="B262" s="461">
        <v>4.6260000000000003</v>
      </c>
      <c r="C262" s="238">
        <v>-0.71299999999999997</v>
      </c>
      <c r="D262" s="256"/>
      <c r="E262" s="256"/>
      <c r="F262" s="256"/>
      <c r="G262" s="520"/>
      <c r="H262" s="520"/>
      <c r="I262" s="520"/>
      <c r="J262" s="522"/>
      <c r="K262" s="520"/>
      <c r="L262" s="522"/>
      <c r="M262" s="522"/>
      <c r="N262" s="522"/>
      <c r="O262" s="525"/>
      <c r="P262" s="238"/>
      <c r="Q262" s="238"/>
      <c r="S262" s="238"/>
      <c r="T262" s="238"/>
      <c r="U262" s="238"/>
      <c r="V262" s="238">
        <v>3.9130000000000003</v>
      </c>
      <c r="W262" s="238"/>
      <c r="X262" s="238"/>
      <c r="Y262" s="238"/>
      <c r="Z262" s="238"/>
      <c r="AA262" s="240"/>
      <c r="AB262" s="238">
        <v>5.84921860083245</v>
      </c>
      <c r="AC262" s="238"/>
      <c r="AD262" s="238"/>
      <c r="AE262" s="238"/>
      <c r="AF262" s="238"/>
      <c r="AG262" s="524"/>
      <c r="AH262" s="238"/>
      <c r="AI262" s="467">
        <v>1.5771155584257299</v>
      </c>
      <c r="AJ262" s="478">
        <v>6.3741869189695197E-2</v>
      </c>
      <c r="AK262" s="478">
        <v>6.3007538730607507E-2</v>
      </c>
      <c r="AL262" s="354">
        <v>0.31350417219288368</v>
      </c>
      <c r="AM262" s="377">
        <v>0.31765647773644684</v>
      </c>
      <c r="AN262" s="238"/>
      <c r="AO262" s="238"/>
      <c r="AP262" s="238"/>
      <c r="AQ262" s="238"/>
      <c r="AR262" s="238"/>
      <c r="AS262" s="238"/>
      <c r="AT262" s="456"/>
      <c r="AU262" s="238"/>
      <c r="AV262" s="238"/>
      <c r="AW262" s="238" t="e">
        <v>#N/A</v>
      </c>
      <c r="AX262" s="238"/>
      <c r="AY262" s="238"/>
      <c r="AZ262" s="241"/>
      <c r="BA262" s="241"/>
      <c r="BB262" s="241"/>
      <c r="BC262" s="238"/>
      <c r="BD262" s="238" t="e">
        <v>#N/A</v>
      </c>
      <c r="BE262" s="238">
        <v>3.9130000000000003</v>
      </c>
      <c r="BF262" s="238"/>
      <c r="BG262" s="238" t="e">
        <v>#N/A</v>
      </c>
      <c r="BH262" s="238"/>
      <c r="BI262" s="238"/>
      <c r="BJ262" s="238"/>
      <c r="BK262" s="238"/>
      <c r="BL262" s="238"/>
      <c r="BM262" s="238"/>
      <c r="BN262" s="238"/>
      <c r="BO262" s="238"/>
      <c r="BP262" s="238"/>
      <c r="BQ262" s="238"/>
      <c r="BR262" s="238"/>
      <c r="BS262" s="238"/>
      <c r="BT262" s="238"/>
      <c r="BU262" s="238"/>
      <c r="BV262" s="238"/>
      <c r="BW262" s="238"/>
      <c r="BX262" s="238"/>
      <c r="BY262" s="238"/>
      <c r="BZ262" s="238"/>
      <c r="CA262" s="238"/>
      <c r="CB262" s="238"/>
      <c r="CC262" s="238"/>
      <c r="CD262" s="238"/>
      <c r="CE262" s="238"/>
      <c r="CF262" s="238"/>
    </row>
    <row r="263" spans="1:84">
      <c r="A263" s="356">
        <v>43922</v>
      </c>
      <c r="B263" s="461">
        <v>4.4279999999999999</v>
      </c>
      <c r="C263" s="238">
        <v>-0.81299999999999994</v>
      </c>
      <c r="D263" s="256"/>
      <c r="E263" s="256"/>
      <c r="F263" s="256"/>
      <c r="G263" s="520"/>
      <c r="H263" s="520"/>
      <c r="I263" s="520"/>
      <c r="J263" s="522"/>
      <c r="K263" s="520"/>
      <c r="L263" s="522"/>
      <c r="M263" s="522"/>
      <c r="N263" s="522"/>
      <c r="O263" s="525"/>
      <c r="P263" s="238"/>
      <c r="Q263" s="238"/>
      <c r="S263" s="238"/>
      <c r="T263" s="238"/>
      <c r="U263" s="238"/>
      <c r="V263" s="238">
        <v>3.6150000000000002</v>
      </c>
      <c r="W263" s="238"/>
      <c r="X263" s="238"/>
      <c r="Y263" s="238"/>
      <c r="Z263" s="238"/>
      <c r="AA263" s="240"/>
      <c r="AB263" s="238">
        <v>5.4022118700820831</v>
      </c>
      <c r="AC263" s="238"/>
      <c r="AD263" s="238"/>
      <c r="AE263" s="238"/>
      <c r="AF263" s="238"/>
      <c r="AG263" s="524"/>
      <c r="AH263" s="238"/>
      <c r="AI263" s="467">
        <v>1.5766628068606701</v>
      </c>
      <c r="AJ263" s="478">
        <v>6.3761825586335197E-2</v>
      </c>
      <c r="AK263" s="478">
        <v>6.3046791477726807E-2</v>
      </c>
      <c r="AL263" s="354">
        <v>0.3117270433830891</v>
      </c>
      <c r="AM263" s="377">
        <v>0.31576513664937866</v>
      </c>
      <c r="AN263" s="238"/>
      <c r="AO263" s="238"/>
      <c r="AP263" s="238"/>
      <c r="AQ263" s="238"/>
      <c r="AR263" s="238"/>
      <c r="AS263" s="238"/>
      <c r="AT263" s="456"/>
      <c r="AU263" s="238"/>
      <c r="AV263" s="238"/>
      <c r="AW263" s="238" t="e">
        <v>#N/A</v>
      </c>
      <c r="AX263" s="238"/>
      <c r="AY263" s="238"/>
      <c r="AZ263" s="241"/>
      <c r="BA263" s="241"/>
      <c r="BB263" s="241"/>
      <c r="BC263" s="238"/>
      <c r="BD263" s="238" t="e">
        <v>#N/A</v>
      </c>
      <c r="BE263" s="238">
        <v>3.6150000000000002</v>
      </c>
      <c r="BF263" s="238"/>
      <c r="BG263" s="238" t="e">
        <v>#N/A</v>
      </c>
      <c r="BH263" s="238"/>
      <c r="BI263" s="238"/>
      <c r="BJ263" s="238"/>
      <c r="BK263" s="238"/>
      <c r="BL263" s="238"/>
      <c r="BM263" s="238"/>
      <c r="BN263" s="238"/>
      <c r="BO263" s="238"/>
      <c r="BP263" s="238"/>
      <c r="BQ263" s="238"/>
      <c r="BR263" s="238"/>
      <c r="BS263" s="238"/>
      <c r="BT263" s="238"/>
      <c r="BU263" s="238"/>
      <c r="BV263" s="238"/>
      <c r="BW263" s="238"/>
      <c r="BX263" s="238"/>
      <c r="BY263" s="238"/>
      <c r="BZ263" s="238"/>
      <c r="CA263" s="238"/>
      <c r="CB263" s="238"/>
      <c r="CC263" s="238"/>
      <c r="CD263" s="238"/>
      <c r="CE263" s="238"/>
      <c r="CF263" s="238"/>
    </row>
    <row r="264" spans="1:84">
      <c r="A264" s="356">
        <v>43952</v>
      </c>
      <c r="B264" s="461">
        <v>4.4240000000000004</v>
      </c>
      <c r="C264" s="238">
        <v>-0.81299999999999994</v>
      </c>
      <c r="D264" s="256"/>
      <c r="E264" s="256"/>
      <c r="F264" s="256"/>
      <c r="G264" s="520"/>
      <c r="H264" s="520"/>
      <c r="I264" s="520"/>
      <c r="J264" s="522"/>
      <c r="K264" s="520"/>
      <c r="L264" s="522"/>
      <c r="M264" s="522"/>
      <c r="N264" s="522"/>
      <c r="O264" s="525"/>
      <c r="P264" s="238"/>
      <c r="Q264" s="238"/>
      <c r="S264" s="238"/>
      <c r="T264" s="238"/>
      <c r="U264" s="238"/>
      <c r="V264" s="238">
        <v>3.6110000000000007</v>
      </c>
      <c r="W264" s="238"/>
      <c r="X264" s="238"/>
      <c r="Y264" s="238"/>
      <c r="Z264" s="238"/>
      <c r="AA264" s="240"/>
      <c r="AB264" s="238">
        <v>5.3947188909804016</v>
      </c>
      <c r="AC264" s="238"/>
      <c r="AD264" s="238"/>
      <c r="AE264" s="238"/>
      <c r="AF264" s="238"/>
      <c r="AG264" s="524"/>
      <c r="AH264" s="238"/>
      <c r="AI264" s="467">
        <v>1.5762200316372799</v>
      </c>
      <c r="AJ264" s="478">
        <v>6.3781138228370601E-2</v>
      </c>
      <c r="AK264" s="478">
        <v>6.3084778007684E-2</v>
      </c>
      <c r="AL264" s="354">
        <v>0.31001586551602528</v>
      </c>
      <c r="AM264" s="377">
        <v>0.31394360253885412</v>
      </c>
      <c r="AN264" s="238"/>
      <c r="AO264" s="238"/>
      <c r="AP264" s="238"/>
      <c r="AQ264" s="238"/>
      <c r="AR264" s="238"/>
      <c r="AS264" s="238"/>
      <c r="AT264" s="456"/>
      <c r="AU264" s="238"/>
      <c r="AV264" s="238"/>
      <c r="AW264" s="238" t="e">
        <v>#N/A</v>
      </c>
      <c r="AX264" s="238"/>
      <c r="AY264" s="238"/>
      <c r="AZ264" s="241"/>
      <c r="BA264" s="241"/>
      <c r="BB264" s="241"/>
      <c r="BC264" s="238"/>
      <c r="BD264" s="238" t="e">
        <v>#N/A</v>
      </c>
      <c r="BE264" s="238">
        <v>3.6110000000000007</v>
      </c>
      <c r="BF264" s="238"/>
      <c r="BG264" s="238" t="e">
        <v>#N/A</v>
      </c>
      <c r="BH264" s="238"/>
      <c r="BI264" s="238"/>
      <c r="BJ264" s="238"/>
      <c r="BK264" s="238"/>
      <c r="BL264" s="238"/>
      <c r="BM264" s="238"/>
      <c r="BN264" s="238"/>
      <c r="BO264" s="238"/>
      <c r="BP264" s="238"/>
      <c r="BQ264" s="238"/>
      <c r="BR264" s="238"/>
      <c r="BS264" s="238"/>
      <c r="BT264" s="238"/>
      <c r="BU264" s="238"/>
      <c r="BV264" s="238"/>
      <c r="BW264" s="238"/>
      <c r="BX264" s="238"/>
      <c r="BY264" s="238"/>
      <c r="BZ264" s="238"/>
      <c r="CA264" s="238"/>
      <c r="CB264" s="238"/>
      <c r="CC264" s="238"/>
      <c r="CD264" s="238"/>
      <c r="CE264" s="238"/>
      <c r="CF264" s="238"/>
    </row>
    <row r="265" spans="1:84">
      <c r="A265" s="356">
        <v>43983</v>
      </c>
      <c r="B265" s="461">
        <v>4.4560000000000004</v>
      </c>
      <c r="C265" s="238">
        <v>-0.81299999999999994</v>
      </c>
      <c r="D265" s="256"/>
      <c r="E265" s="256"/>
      <c r="F265" s="256"/>
      <c r="G265" s="520"/>
      <c r="H265" s="520"/>
      <c r="I265" s="520"/>
      <c r="J265" s="522"/>
      <c r="K265" s="520"/>
      <c r="L265" s="522"/>
      <c r="M265" s="522"/>
      <c r="N265" s="522"/>
      <c r="O265" s="525"/>
      <c r="P265" s="238"/>
      <c r="Q265" s="238"/>
      <c r="S265" s="238"/>
      <c r="T265" s="238"/>
      <c r="U265" s="238"/>
      <c r="V265" s="238">
        <v>3.6430000000000007</v>
      </c>
      <c r="W265" s="238"/>
      <c r="X265" s="238"/>
      <c r="Y265" s="238"/>
      <c r="Z265" s="238"/>
      <c r="AA265" s="240"/>
      <c r="AB265" s="238">
        <v>5.4409295521957528</v>
      </c>
      <c r="AC265" s="238"/>
      <c r="AD265" s="238"/>
      <c r="AE265" s="238"/>
      <c r="AF265" s="238"/>
      <c r="AG265" s="524"/>
      <c r="AH265" s="238"/>
      <c r="AI265" s="467">
        <v>1.5757577188090699</v>
      </c>
      <c r="AJ265" s="478">
        <v>6.3801094625271004E-2</v>
      </c>
      <c r="AK265" s="478">
        <v>6.3124030755809593E-2</v>
      </c>
      <c r="AL265" s="354">
        <v>0.30825652133408737</v>
      </c>
      <c r="AM265" s="377">
        <v>0.31207040980752826</v>
      </c>
      <c r="AN265" s="238"/>
      <c r="AO265" s="238"/>
      <c r="AP265" s="238"/>
      <c r="AQ265" s="238"/>
      <c r="AR265" s="238"/>
      <c r="AS265" s="238"/>
      <c r="AT265" s="456"/>
      <c r="AU265" s="238"/>
      <c r="AV265" s="238"/>
      <c r="AW265" s="238" t="e">
        <v>#N/A</v>
      </c>
      <c r="AX265" s="238"/>
      <c r="AY265" s="238"/>
      <c r="AZ265" s="241"/>
      <c r="BA265" s="241"/>
      <c r="BB265" s="241"/>
      <c r="BC265" s="238"/>
      <c r="BD265" s="238" t="e">
        <v>#N/A</v>
      </c>
      <c r="BE265" s="238">
        <v>3.6430000000000007</v>
      </c>
      <c r="BF265" s="238"/>
      <c r="BG265" s="238" t="e">
        <v>#N/A</v>
      </c>
      <c r="BH265" s="238"/>
      <c r="BI265" s="238"/>
      <c r="BJ265" s="238"/>
      <c r="BK265" s="238"/>
      <c r="BL265" s="238"/>
      <c r="BM265" s="238"/>
      <c r="BN265" s="238"/>
      <c r="BO265" s="238"/>
      <c r="BP265" s="238"/>
      <c r="BQ265" s="238"/>
      <c r="BR265" s="238"/>
      <c r="BS265" s="238"/>
      <c r="BT265" s="238"/>
      <c r="BU265" s="238"/>
      <c r="BV265" s="238"/>
      <c r="BW265" s="238"/>
      <c r="BX265" s="238"/>
      <c r="BY265" s="238"/>
      <c r="BZ265" s="238"/>
      <c r="CA265" s="238"/>
      <c r="CB265" s="238"/>
      <c r="CC265" s="238"/>
      <c r="CD265" s="238"/>
      <c r="CE265" s="238"/>
      <c r="CF265" s="238"/>
    </row>
    <row r="266" spans="1:84">
      <c r="A266" s="356">
        <v>44013</v>
      </c>
      <c r="B266" s="461">
        <v>4.5060000000000002</v>
      </c>
      <c r="C266" s="238">
        <v>-0.81299999999999994</v>
      </c>
      <c r="D266" s="256"/>
      <c r="E266" s="256"/>
      <c r="F266" s="256"/>
      <c r="G266" s="520"/>
      <c r="H266" s="520"/>
      <c r="I266" s="520"/>
      <c r="J266" s="522"/>
      <c r="K266" s="520"/>
      <c r="L266" s="522"/>
      <c r="M266" s="522"/>
      <c r="N266" s="522"/>
      <c r="O266" s="525"/>
      <c r="P266" s="238"/>
      <c r="Q266" s="238"/>
      <c r="S266" s="238"/>
      <c r="T266" s="238"/>
      <c r="U266" s="238"/>
      <c r="V266" s="238">
        <v>3.6930000000000005</v>
      </c>
      <c r="W266" s="238"/>
      <c r="X266" s="238"/>
      <c r="Y266" s="238"/>
      <c r="Z266" s="238"/>
      <c r="AA266" s="240"/>
      <c r="AB266" s="238">
        <v>5.5140238502823582</v>
      </c>
      <c r="AC266" s="238"/>
      <c r="AD266" s="238"/>
      <c r="AE266" s="238"/>
      <c r="AF266" s="238"/>
      <c r="AG266" s="524"/>
      <c r="AH266" s="238"/>
      <c r="AI266" s="467">
        <v>1.5753056992644199</v>
      </c>
      <c r="AJ266" s="478">
        <v>6.3820407267558096E-2</v>
      </c>
      <c r="AK266" s="478">
        <v>6.3162017286739799E-2</v>
      </c>
      <c r="AL266" s="354">
        <v>0.30656247996292491</v>
      </c>
      <c r="AM266" s="377">
        <v>0.31026638089703207</v>
      </c>
      <c r="AN266" s="238"/>
      <c r="AO266" s="238"/>
      <c r="AP266" s="238"/>
      <c r="AQ266" s="238"/>
      <c r="AR266" s="238"/>
      <c r="AS266" s="238"/>
      <c r="AT266" s="456"/>
      <c r="AU266" s="238"/>
      <c r="AV266" s="238"/>
      <c r="AW266" s="238" t="e">
        <v>#N/A</v>
      </c>
      <c r="AX266" s="238"/>
      <c r="AY266" s="238"/>
      <c r="AZ266" s="241"/>
      <c r="BA266" s="241"/>
      <c r="BB266" s="241"/>
      <c r="BC266" s="238"/>
      <c r="BD266" s="238" t="e">
        <v>#N/A</v>
      </c>
      <c r="BE266" s="238">
        <v>3.6930000000000005</v>
      </c>
      <c r="BF266" s="238"/>
      <c r="BG266" s="238" t="e">
        <v>#N/A</v>
      </c>
      <c r="BH266" s="238"/>
      <c r="BI266" s="238"/>
      <c r="BJ266" s="238"/>
      <c r="BK266" s="238"/>
      <c r="BL266" s="238"/>
      <c r="BM266" s="238"/>
      <c r="BN266" s="238"/>
      <c r="BO266" s="238"/>
      <c r="BP266" s="238"/>
      <c r="BQ266" s="238"/>
      <c r="BR266" s="238"/>
      <c r="BS266" s="238"/>
      <c r="BT266" s="238"/>
      <c r="BU266" s="238"/>
      <c r="BV266" s="238"/>
      <c r="BW266" s="238"/>
      <c r="BX266" s="238"/>
      <c r="BY266" s="238"/>
      <c r="BZ266" s="238"/>
      <c r="CA266" s="238"/>
      <c r="CB266" s="238"/>
      <c r="CC266" s="238"/>
      <c r="CD266" s="238"/>
      <c r="CE266" s="238"/>
      <c r="CF266" s="238"/>
    </row>
    <row r="267" spans="1:84">
      <c r="A267" s="356">
        <v>44044</v>
      </c>
      <c r="B267" s="461">
        <v>4.54</v>
      </c>
      <c r="C267" s="238">
        <v>-0.81299999999999994</v>
      </c>
      <c r="D267" s="256"/>
      <c r="E267" s="256"/>
      <c r="F267" s="256"/>
      <c r="G267" s="520"/>
      <c r="H267" s="520"/>
      <c r="I267" s="520"/>
      <c r="J267" s="522"/>
      <c r="K267" s="520"/>
      <c r="L267" s="522"/>
      <c r="M267" s="522"/>
      <c r="N267" s="522"/>
      <c r="O267" s="525"/>
      <c r="P267" s="238"/>
      <c r="Q267" s="238"/>
      <c r="S267" s="238"/>
      <c r="T267" s="238"/>
      <c r="U267" s="238"/>
      <c r="V267" s="238">
        <v>3.7270000000000003</v>
      </c>
      <c r="W267" s="238"/>
      <c r="X267" s="238"/>
      <c r="Y267" s="238"/>
      <c r="Z267" s="238"/>
      <c r="AA267" s="240"/>
      <c r="AB267" s="238">
        <v>5.5631224620467483</v>
      </c>
      <c r="AC267" s="238"/>
      <c r="AD267" s="238"/>
      <c r="AE267" s="238"/>
      <c r="AF267" s="238"/>
      <c r="AG267" s="524"/>
      <c r="AH267" s="238"/>
      <c r="AI267" s="467">
        <v>1.57483384285409</v>
      </c>
      <c r="AJ267" s="478">
        <v>6.3840363664718194E-2</v>
      </c>
      <c r="AK267" s="478">
        <v>6.320127003587081E-2</v>
      </c>
      <c r="AL267" s="354">
        <v>0.30482076684025156</v>
      </c>
      <c r="AM267" s="377">
        <v>0.30841121723402931</v>
      </c>
      <c r="AN267" s="238"/>
      <c r="AO267" s="238"/>
      <c r="AP267" s="238"/>
      <c r="AQ267" s="238"/>
      <c r="AR267" s="238"/>
      <c r="AS267" s="238"/>
      <c r="AT267" s="456"/>
      <c r="AU267" s="238"/>
      <c r="AV267" s="238"/>
      <c r="AW267" s="238" t="e">
        <v>#N/A</v>
      </c>
      <c r="AX267" s="238"/>
      <c r="AY267" s="238"/>
      <c r="AZ267" s="241"/>
      <c r="BA267" s="241"/>
      <c r="BB267" s="241"/>
      <c r="BC267" s="238"/>
      <c r="BD267" s="238" t="e">
        <v>#N/A</v>
      </c>
      <c r="BE267" s="238">
        <v>3.7270000000000003</v>
      </c>
      <c r="BF267" s="238"/>
      <c r="BG267" s="238" t="e">
        <v>#N/A</v>
      </c>
      <c r="BH267" s="238"/>
      <c r="BI267" s="238"/>
      <c r="BJ267" s="238"/>
      <c r="BK267" s="238"/>
      <c r="BL267" s="238"/>
      <c r="BM267" s="238"/>
      <c r="BN267" s="238"/>
      <c r="BO267" s="238"/>
      <c r="BP267" s="238"/>
      <c r="BQ267" s="238"/>
      <c r="BR267" s="238"/>
      <c r="BS267" s="238"/>
      <c r="BT267" s="238"/>
      <c r="BU267" s="238"/>
      <c r="BV267" s="238"/>
      <c r="BW267" s="238"/>
      <c r="BX267" s="238"/>
      <c r="BY267" s="238"/>
      <c r="BZ267" s="238"/>
      <c r="CA267" s="238"/>
      <c r="CB267" s="238"/>
      <c r="CC267" s="238"/>
      <c r="CD267" s="238"/>
      <c r="CE267" s="238"/>
      <c r="CF267" s="238"/>
    </row>
    <row r="268" spans="1:84">
      <c r="A268" s="356">
        <v>44075</v>
      </c>
      <c r="B268" s="461">
        <v>4.5529999999999999</v>
      </c>
      <c r="C268" s="238">
        <v>-0.81299999999999994</v>
      </c>
      <c r="D268" s="256"/>
      <c r="E268" s="256"/>
      <c r="F268" s="256"/>
      <c r="G268" s="520"/>
      <c r="H268" s="520"/>
      <c r="I268" s="520"/>
      <c r="J268" s="522"/>
      <c r="K268" s="520"/>
      <c r="L268" s="522"/>
      <c r="M268" s="522"/>
      <c r="N268" s="522"/>
      <c r="O268" s="525"/>
      <c r="P268" s="238"/>
      <c r="Q268" s="238"/>
      <c r="S268" s="238"/>
      <c r="T268" s="238"/>
      <c r="U268" s="238"/>
      <c r="V268" s="238">
        <v>3.74</v>
      </c>
      <c r="W268" s="238"/>
      <c r="X268" s="238"/>
      <c r="Y268" s="238"/>
      <c r="Z268" s="238"/>
      <c r="AA268" s="240"/>
      <c r="AB268" s="238">
        <v>5.5808371460698298</v>
      </c>
      <c r="AC268" s="238"/>
      <c r="AD268" s="238"/>
      <c r="AE268" s="238"/>
      <c r="AF268" s="238"/>
      <c r="AG268" s="524"/>
      <c r="AH268" s="238"/>
      <c r="AI268" s="467">
        <v>1.57435714331119</v>
      </c>
      <c r="AJ268" s="478">
        <v>6.3860320062009798E-2</v>
      </c>
      <c r="AK268" s="478">
        <v>6.3240522785513495E-2</v>
      </c>
      <c r="AL268" s="354">
        <v>0.30308795524577414</v>
      </c>
      <c r="AM268" s="377">
        <v>0.30656517018487922</v>
      </c>
      <c r="AN268" s="238"/>
      <c r="AO268" s="238"/>
      <c r="AP268" s="238"/>
      <c r="AQ268" s="238"/>
      <c r="AR268" s="238"/>
      <c r="AS268" s="238"/>
      <c r="AT268" s="456"/>
      <c r="AU268" s="238"/>
      <c r="AV268" s="238"/>
      <c r="AW268" s="238" t="e">
        <v>#N/A</v>
      </c>
      <c r="AX268" s="238"/>
      <c r="AY268" s="238"/>
      <c r="AZ268" s="241"/>
      <c r="BA268" s="241"/>
      <c r="BB268" s="241"/>
      <c r="BC268" s="238"/>
      <c r="BD268" s="238" t="e">
        <v>#N/A</v>
      </c>
      <c r="BE268" s="238">
        <v>3.74</v>
      </c>
      <c r="BF268" s="238"/>
      <c r="BG268" s="238" t="e">
        <v>#N/A</v>
      </c>
      <c r="BH268" s="238"/>
      <c r="BI268" s="238"/>
      <c r="BJ268" s="238"/>
      <c r="BK268" s="238"/>
      <c r="BL268" s="238"/>
      <c r="BM268" s="238"/>
      <c r="BN268" s="238"/>
      <c r="BO268" s="238"/>
      <c r="BP268" s="238"/>
      <c r="BQ268" s="238"/>
      <c r="BR268" s="238"/>
      <c r="BS268" s="238"/>
      <c r="BT268" s="238"/>
      <c r="BU268" s="238"/>
      <c r="BV268" s="238"/>
      <c r="BW268" s="238"/>
      <c r="BX268" s="238"/>
      <c r="BY268" s="238"/>
      <c r="BZ268" s="238"/>
      <c r="CA268" s="238"/>
      <c r="CB268" s="238"/>
      <c r="CC268" s="238"/>
      <c r="CD268" s="238"/>
      <c r="CE268" s="238"/>
      <c r="CF268" s="238"/>
    </row>
    <row r="269" spans="1:84">
      <c r="A269" s="356">
        <v>44105</v>
      </c>
      <c r="B269" s="461">
        <v>4.5650000000000004</v>
      </c>
      <c r="C269" s="238">
        <v>-0.81299999999999994</v>
      </c>
      <c r="D269" s="256"/>
      <c r="E269" s="256"/>
      <c r="F269" s="256"/>
      <c r="G269" s="520"/>
      <c r="H269" s="520"/>
      <c r="I269" s="520"/>
      <c r="J269" s="522"/>
      <c r="K269" s="520"/>
      <c r="L269" s="522"/>
      <c r="M269" s="522"/>
      <c r="N269" s="522"/>
      <c r="O269" s="525"/>
      <c r="P269" s="238"/>
      <c r="Q269" s="238"/>
      <c r="S269" s="238"/>
      <c r="T269" s="238"/>
      <c r="U269" s="238"/>
      <c r="V269" s="238">
        <v>3.7520000000000007</v>
      </c>
      <c r="W269" s="238"/>
      <c r="X269" s="238"/>
      <c r="Y269" s="238"/>
      <c r="Z269" s="238"/>
      <c r="AA269" s="240"/>
      <c r="AB269" s="238">
        <v>5.5970866342814807</v>
      </c>
      <c r="AC269" s="238"/>
      <c r="AD269" s="238"/>
      <c r="AE269" s="238"/>
      <c r="AF269" s="238"/>
      <c r="AG269" s="524"/>
      <c r="AH269" s="238"/>
      <c r="AI269" s="467">
        <v>1.5738912142906398</v>
      </c>
      <c r="AJ269" s="478">
        <v>6.3879632704676712E-2</v>
      </c>
      <c r="AK269" s="478">
        <v>6.3278509317911805E-2</v>
      </c>
      <c r="AL269" s="354">
        <v>0.30141947926399015</v>
      </c>
      <c r="AM269" s="377">
        <v>0.30478732427218436</v>
      </c>
      <c r="AN269" s="238"/>
      <c r="AO269" s="238"/>
      <c r="AP269" s="238"/>
      <c r="AQ269" s="238"/>
      <c r="AR269" s="238"/>
      <c r="AS269" s="238"/>
      <c r="AT269" s="456"/>
      <c r="AU269" s="238"/>
      <c r="AV269" s="238"/>
      <c r="AW269" s="238" t="e">
        <v>#N/A</v>
      </c>
      <c r="AX269" s="238"/>
      <c r="AY269" s="238"/>
      <c r="AZ269" s="241"/>
      <c r="BA269" s="241"/>
      <c r="BB269" s="241"/>
      <c r="BC269" s="238"/>
      <c r="BD269" s="238" t="e">
        <v>#N/A</v>
      </c>
      <c r="BE269" s="238">
        <v>3.7520000000000007</v>
      </c>
      <c r="BF269" s="238"/>
      <c r="BG269" s="238" t="e">
        <v>#N/A</v>
      </c>
      <c r="BH269" s="238"/>
      <c r="BI269" s="238"/>
      <c r="BJ269" s="238"/>
      <c r="BK269" s="238"/>
      <c r="BL269" s="238"/>
      <c r="BM269" s="238"/>
      <c r="BN269" s="238"/>
      <c r="BO269" s="238"/>
      <c r="BP269" s="238"/>
      <c r="BQ269" s="238"/>
      <c r="BR269" s="238"/>
      <c r="BS269" s="238"/>
      <c r="BT269" s="238"/>
      <c r="BU269" s="238"/>
      <c r="BV269" s="238"/>
      <c r="BW269" s="238"/>
      <c r="BX269" s="238"/>
      <c r="BY269" s="238"/>
      <c r="BZ269" s="238"/>
      <c r="CA269" s="238"/>
      <c r="CB269" s="238"/>
      <c r="CC269" s="238"/>
      <c r="CD269" s="238"/>
      <c r="CE269" s="238"/>
      <c r="CF269" s="238"/>
    </row>
    <row r="270" spans="1:84">
      <c r="A270" s="356">
        <v>44136</v>
      </c>
      <c r="B270" s="461">
        <v>4.71</v>
      </c>
      <c r="C270" s="238">
        <v>-0.71299999999999997</v>
      </c>
      <c r="D270" s="256"/>
      <c r="E270" s="256"/>
      <c r="F270" s="256"/>
      <c r="G270" s="520"/>
      <c r="H270" s="520"/>
      <c r="I270" s="520"/>
      <c r="J270" s="522"/>
      <c r="K270" s="520"/>
      <c r="L270" s="522"/>
      <c r="M270" s="522"/>
      <c r="N270" s="522"/>
      <c r="O270" s="525"/>
      <c r="P270" s="238"/>
      <c r="Q270" s="238"/>
      <c r="S270" s="238"/>
      <c r="T270" s="238"/>
      <c r="U270" s="238"/>
      <c r="V270" s="238">
        <v>3.9969999999999999</v>
      </c>
      <c r="W270" s="238"/>
      <c r="X270" s="238"/>
      <c r="Y270" s="238"/>
      <c r="Z270" s="238"/>
      <c r="AA270" s="240"/>
      <c r="AB270" s="238">
        <v>5.9607260457232041</v>
      </c>
      <c r="AC270" s="238"/>
      <c r="AD270" s="238"/>
      <c r="AE270" s="238"/>
      <c r="AF270" s="238"/>
      <c r="AG270" s="524"/>
      <c r="AH270" s="238"/>
      <c r="AI270" s="467">
        <v>1.5734049984729901</v>
      </c>
      <c r="AJ270" s="478">
        <v>6.3899589102228496E-2</v>
      </c>
      <c r="AK270" s="478">
        <v>6.3317762068559907E-2</v>
      </c>
      <c r="AL270" s="354">
        <v>0.29970406908561381</v>
      </c>
      <c r="AM270" s="377">
        <v>0.30295912647735224</v>
      </c>
      <c r="AN270" s="238"/>
      <c r="AO270" s="238"/>
      <c r="AP270" s="238"/>
      <c r="AQ270" s="238"/>
      <c r="AR270" s="238"/>
      <c r="AS270" s="238"/>
      <c r="AT270" s="456"/>
      <c r="AU270" s="238"/>
      <c r="AV270" s="238"/>
      <c r="AW270" s="238" t="e">
        <v>#N/A</v>
      </c>
      <c r="AX270" s="238"/>
      <c r="AY270" s="238"/>
      <c r="AZ270" s="241"/>
      <c r="BA270" s="241"/>
      <c r="BB270" s="241"/>
      <c r="BC270" s="238"/>
      <c r="BD270" s="238" t="e">
        <v>#N/A</v>
      </c>
      <c r="BE270" s="238">
        <v>3.9969999999999999</v>
      </c>
      <c r="BF270" s="238"/>
      <c r="BG270" s="238" t="e">
        <v>#N/A</v>
      </c>
      <c r="BH270" s="238"/>
      <c r="BI270" s="238"/>
      <c r="BJ270" s="238"/>
      <c r="BK270" s="238"/>
      <c r="BL270" s="238"/>
      <c r="BM270" s="238"/>
      <c r="BN270" s="238"/>
      <c r="BO270" s="238"/>
      <c r="BP270" s="238"/>
      <c r="BQ270" s="238"/>
      <c r="BR270" s="238"/>
      <c r="BS270" s="238"/>
      <c r="BT270" s="238"/>
      <c r="BU270" s="238"/>
      <c r="BV270" s="238"/>
      <c r="BW270" s="238"/>
      <c r="BX270" s="238"/>
      <c r="BY270" s="238"/>
      <c r="BZ270" s="238"/>
      <c r="CA270" s="238"/>
      <c r="CB270" s="238"/>
      <c r="CC270" s="238"/>
      <c r="CD270" s="238"/>
      <c r="CE270" s="238"/>
      <c r="CF270" s="238"/>
    </row>
    <row r="271" spans="1:84">
      <c r="A271" s="528">
        <v>44166</v>
      </c>
      <c r="B271" s="529">
        <v>4.8610000000000007</v>
      </c>
      <c r="C271" s="238">
        <v>-0.71299999999999997</v>
      </c>
      <c r="D271" s="256"/>
      <c r="E271" s="256"/>
      <c r="F271" s="256"/>
      <c r="G271" s="520"/>
      <c r="H271" s="520"/>
      <c r="I271" s="520"/>
      <c r="J271" s="522"/>
      <c r="K271" s="520"/>
      <c r="L271" s="522"/>
      <c r="M271" s="522"/>
      <c r="N271" s="522"/>
      <c r="O271" s="525"/>
      <c r="P271" s="238"/>
      <c r="Q271" s="238"/>
      <c r="S271" s="238"/>
      <c r="T271" s="238"/>
      <c r="U271" s="238"/>
      <c r="V271" s="238">
        <v>4.1480000000000006</v>
      </c>
      <c r="W271" s="238"/>
      <c r="X271" s="238"/>
      <c r="Y271" s="238"/>
      <c r="Z271" s="238"/>
      <c r="AA271" s="240"/>
      <c r="AB271" s="238">
        <v>6.1840443511434309</v>
      </c>
      <c r="AC271" s="238"/>
      <c r="AD271" s="238"/>
      <c r="AE271" s="238"/>
      <c r="AF271" s="238"/>
      <c r="AG271" s="524"/>
      <c r="AH271" s="238"/>
      <c r="AI271" s="530">
        <v>1.5729298690790701</v>
      </c>
      <c r="AJ271" s="531">
        <v>6.3918901745146195E-2</v>
      </c>
      <c r="AK271" s="531">
        <v>6.3355748601932008E-2</v>
      </c>
      <c r="AL271" s="532">
        <v>0.2980523600111738</v>
      </c>
      <c r="AM271" s="533">
        <v>0.30119849637718005</v>
      </c>
      <c r="AN271" s="238"/>
      <c r="AO271" s="238"/>
      <c r="AP271" s="238"/>
      <c r="AQ271" s="238"/>
      <c r="AR271" s="238"/>
      <c r="AS271" s="238"/>
      <c r="AT271" s="456"/>
      <c r="AU271" s="238"/>
      <c r="AV271" s="238"/>
      <c r="AW271" s="238" t="e">
        <v>#N/A</v>
      </c>
      <c r="AX271" s="238"/>
      <c r="AY271" s="238"/>
      <c r="AZ271" s="241"/>
      <c r="BA271" s="241"/>
      <c r="BB271" s="241"/>
      <c r="BC271" s="238"/>
      <c r="BD271" s="238" t="e">
        <v>#N/A</v>
      </c>
      <c r="BE271" s="238">
        <v>4.1480000000000006</v>
      </c>
      <c r="BF271" s="238"/>
      <c r="BG271" s="238" t="e">
        <v>#N/A</v>
      </c>
      <c r="BH271" s="238"/>
      <c r="BI271" s="238"/>
      <c r="BJ271" s="238"/>
      <c r="BK271" s="238"/>
      <c r="BL271" s="238"/>
      <c r="BM271" s="238"/>
      <c r="BN271" s="238"/>
      <c r="BO271" s="238"/>
      <c r="BP271" s="238"/>
      <c r="BQ271" s="238"/>
      <c r="BR271" s="238"/>
      <c r="BS271" s="238"/>
      <c r="BT271" s="238"/>
      <c r="BU271" s="238"/>
      <c r="BV271" s="238"/>
      <c r="BW271" s="238"/>
      <c r="BX271" s="238"/>
      <c r="BY271" s="238"/>
      <c r="BZ271" s="238"/>
      <c r="CA271" s="238"/>
      <c r="CB271" s="238"/>
      <c r="CC271" s="238"/>
      <c r="CD271" s="238"/>
      <c r="CE271" s="238"/>
      <c r="CF271" s="238"/>
    </row>
    <row r="272" spans="1:84">
      <c r="A272" s="534"/>
      <c r="B272" s="256"/>
      <c r="C272" s="238"/>
      <c r="D272" s="256"/>
      <c r="E272" s="256"/>
      <c r="F272" s="256"/>
      <c r="G272" s="520"/>
      <c r="H272" s="520"/>
      <c r="I272" s="520"/>
      <c r="J272" s="522"/>
      <c r="K272" s="520"/>
      <c r="L272" s="522"/>
      <c r="M272" s="522"/>
      <c r="N272" s="522"/>
      <c r="O272" s="525"/>
      <c r="P272" s="238"/>
      <c r="Q272" s="238"/>
      <c r="S272" s="238"/>
      <c r="T272" s="238"/>
      <c r="U272" s="238"/>
      <c r="V272" s="238"/>
      <c r="W272" s="238"/>
      <c r="X272" s="238"/>
      <c r="Y272" s="238"/>
      <c r="Z272" s="238"/>
      <c r="AA272" s="240"/>
      <c r="AB272" s="238"/>
      <c r="AC272" s="238"/>
      <c r="AD272" s="238"/>
      <c r="AE272" s="238"/>
      <c r="AF272" s="238"/>
      <c r="AG272" s="524"/>
      <c r="AH272" s="238"/>
      <c r="AI272" s="238"/>
      <c r="AJ272" s="238"/>
      <c r="AK272" s="238"/>
      <c r="AL272" s="238"/>
      <c r="AM272" s="238"/>
      <c r="AN272" s="238"/>
      <c r="AO272" s="238"/>
      <c r="AP272" s="238"/>
      <c r="AQ272" s="238"/>
      <c r="AR272" s="238"/>
      <c r="AS272" s="238"/>
      <c r="AT272" s="456"/>
      <c r="AU272" s="238"/>
      <c r="AV272" s="238"/>
      <c r="AW272" s="238"/>
      <c r="AX272" s="238"/>
      <c r="AY272" s="238"/>
      <c r="AZ272" s="241"/>
      <c r="BA272" s="241"/>
      <c r="BB272" s="241"/>
      <c r="BC272" s="238"/>
      <c r="BD272" s="238"/>
      <c r="BE272" s="238"/>
      <c r="BF272" s="238"/>
      <c r="BG272" s="238"/>
      <c r="BH272" s="238"/>
      <c r="BI272" s="238"/>
      <c r="BJ272" s="238"/>
      <c r="BK272" s="238"/>
      <c r="BL272" s="238"/>
      <c r="BM272" s="238"/>
      <c r="BN272" s="238"/>
      <c r="BO272" s="238"/>
      <c r="BP272" s="238"/>
      <c r="BQ272" s="238"/>
      <c r="BR272" s="238"/>
      <c r="BS272" s="238"/>
      <c r="BT272" s="238"/>
      <c r="BU272" s="238"/>
      <c r="BV272" s="238"/>
      <c r="BW272" s="238"/>
      <c r="BX272" s="238"/>
      <c r="BY272" s="238"/>
      <c r="BZ272" s="238"/>
      <c r="CA272" s="238"/>
      <c r="CB272" s="238"/>
      <c r="CC272" s="238"/>
      <c r="CD272" s="238"/>
      <c r="CE272" s="238"/>
      <c r="CF272" s="238"/>
    </row>
    <row r="273" spans="1:84">
      <c r="A273" s="534"/>
      <c r="B273" s="256"/>
      <c r="C273" s="238"/>
      <c r="D273" s="256"/>
      <c r="E273" s="256"/>
      <c r="F273" s="256"/>
      <c r="G273" s="520"/>
      <c r="H273" s="520"/>
      <c r="I273" s="520"/>
      <c r="J273" s="522"/>
      <c r="K273" s="520"/>
      <c r="L273" s="522"/>
      <c r="M273" s="522"/>
      <c r="N273" s="522"/>
      <c r="O273" s="525"/>
      <c r="P273" s="238"/>
      <c r="Q273" s="238"/>
      <c r="S273" s="238"/>
      <c r="T273" s="238"/>
      <c r="U273" s="238"/>
      <c r="V273" s="238"/>
      <c r="W273" s="238"/>
      <c r="X273" s="238"/>
      <c r="Y273" s="238"/>
      <c r="Z273" s="238"/>
      <c r="AA273" s="240"/>
      <c r="AB273" s="238"/>
      <c r="AC273" s="238"/>
      <c r="AD273" s="238"/>
      <c r="AE273" s="238"/>
      <c r="AF273" s="238"/>
      <c r="AG273" s="524"/>
      <c r="AH273" s="238"/>
      <c r="AI273" s="238"/>
      <c r="AJ273" s="238"/>
      <c r="AK273" s="238"/>
      <c r="AL273" s="238"/>
      <c r="AM273" s="238"/>
      <c r="AN273" s="238"/>
      <c r="AO273" s="238"/>
      <c r="AP273" s="238"/>
      <c r="AQ273" s="238"/>
      <c r="AR273" s="238"/>
      <c r="AS273" s="238"/>
      <c r="AT273" s="456"/>
      <c r="AU273" s="238"/>
      <c r="AV273" s="238"/>
      <c r="AW273" s="238"/>
      <c r="AX273" s="238"/>
      <c r="AY273" s="238"/>
      <c r="AZ273" s="241"/>
      <c r="BA273" s="241"/>
      <c r="BB273" s="241"/>
      <c r="BC273" s="238"/>
      <c r="BD273" s="238"/>
      <c r="BE273" s="238"/>
      <c r="BF273" s="238"/>
      <c r="BG273" s="238"/>
      <c r="BH273" s="238"/>
      <c r="BI273" s="238"/>
      <c r="BJ273" s="238"/>
      <c r="BK273" s="238"/>
      <c r="BL273" s="238"/>
      <c r="BM273" s="238"/>
      <c r="BN273" s="238"/>
      <c r="BO273" s="238"/>
      <c r="BP273" s="238"/>
      <c r="BQ273" s="238"/>
      <c r="BR273" s="238"/>
      <c r="BS273" s="238"/>
      <c r="BT273" s="238"/>
      <c r="BU273" s="238"/>
      <c r="BV273" s="238"/>
      <c r="BW273" s="238"/>
      <c r="BX273" s="238"/>
      <c r="BY273" s="238"/>
      <c r="BZ273" s="238"/>
      <c r="CA273" s="238"/>
      <c r="CB273" s="238"/>
      <c r="CC273" s="238"/>
      <c r="CD273" s="238"/>
      <c r="CE273" s="238"/>
      <c r="CF273" s="238"/>
    </row>
    <row r="274" spans="1:84">
      <c r="A274" s="534"/>
      <c r="B274" s="256"/>
      <c r="C274" s="238"/>
      <c r="D274" s="256"/>
      <c r="E274" s="256"/>
      <c r="F274" s="256"/>
      <c r="G274" s="520"/>
      <c r="H274" s="520"/>
      <c r="I274" s="520"/>
      <c r="J274" s="522"/>
      <c r="K274" s="520"/>
      <c r="L274" s="522"/>
      <c r="M274" s="522"/>
      <c r="N274" s="522"/>
      <c r="O274" s="525"/>
      <c r="P274" s="238"/>
      <c r="Q274" s="238"/>
      <c r="S274" s="238"/>
      <c r="T274" s="238"/>
      <c r="U274" s="238"/>
      <c r="V274" s="238"/>
      <c r="W274" s="238"/>
      <c r="X274" s="238"/>
      <c r="Y274" s="238"/>
      <c r="Z274" s="238"/>
      <c r="AA274" s="240"/>
      <c r="AB274" s="238"/>
      <c r="AC274" s="238"/>
      <c r="AD274" s="238"/>
      <c r="AE274" s="238"/>
      <c r="AF274" s="238"/>
      <c r="AG274" s="524"/>
      <c r="AH274" s="238"/>
      <c r="AI274" s="238"/>
      <c r="AJ274" s="238"/>
      <c r="AK274" s="238"/>
      <c r="AL274" s="238"/>
      <c r="AM274" s="238"/>
      <c r="AN274" s="238"/>
      <c r="AO274" s="238"/>
      <c r="AP274" s="238"/>
      <c r="AQ274" s="238"/>
      <c r="AR274" s="238"/>
      <c r="AS274" s="238"/>
      <c r="AT274" s="456"/>
      <c r="AU274" s="238"/>
      <c r="AV274" s="238"/>
      <c r="AW274" s="238"/>
      <c r="AX274" s="238"/>
      <c r="AY274" s="238"/>
      <c r="AZ274" s="241"/>
      <c r="BA274" s="241"/>
      <c r="BB274" s="241"/>
      <c r="BC274" s="238"/>
      <c r="BD274" s="238"/>
      <c r="BE274" s="238"/>
      <c r="BF274" s="238"/>
      <c r="BG274" s="238"/>
      <c r="BH274" s="238"/>
      <c r="BI274" s="238"/>
      <c r="BJ274" s="238"/>
      <c r="BK274" s="238"/>
      <c r="BL274" s="238"/>
      <c r="BM274" s="238"/>
      <c r="BN274" s="238"/>
      <c r="BO274" s="238"/>
      <c r="BP274" s="238"/>
      <c r="BQ274" s="238"/>
      <c r="BR274" s="238"/>
      <c r="BS274" s="238"/>
      <c r="BT274" s="238"/>
      <c r="BU274" s="238"/>
      <c r="BV274" s="238"/>
      <c r="BW274" s="238"/>
      <c r="BX274" s="238"/>
      <c r="BY274" s="238"/>
      <c r="BZ274" s="238"/>
      <c r="CA274" s="238"/>
      <c r="CB274" s="238"/>
      <c r="CC274" s="238"/>
      <c r="CD274" s="238"/>
      <c r="CE274" s="238"/>
      <c r="CF274" s="238"/>
    </row>
    <row r="275" spans="1:84">
      <c r="A275" s="534"/>
      <c r="B275" s="256"/>
      <c r="C275" s="238"/>
      <c r="D275" s="256"/>
      <c r="E275" s="256"/>
      <c r="F275" s="256"/>
      <c r="G275" s="520"/>
      <c r="H275" s="520"/>
      <c r="I275" s="520"/>
      <c r="J275" s="522"/>
      <c r="K275" s="520"/>
      <c r="L275" s="522"/>
      <c r="M275" s="522"/>
      <c r="N275" s="522"/>
      <c r="O275" s="525"/>
      <c r="P275" s="238"/>
      <c r="Q275" s="238"/>
      <c r="S275" s="238"/>
      <c r="T275" s="238"/>
      <c r="U275" s="238"/>
      <c r="V275" s="238"/>
      <c r="W275" s="238"/>
      <c r="X275" s="238"/>
      <c r="Y275" s="238"/>
      <c r="Z275" s="238"/>
      <c r="AA275" s="240"/>
      <c r="AB275" s="238"/>
      <c r="AC275" s="238"/>
      <c r="AD275" s="238"/>
      <c r="AE275" s="238"/>
      <c r="AF275" s="238"/>
      <c r="AG275" s="524"/>
      <c r="AH275" s="238"/>
      <c r="AI275" s="238"/>
      <c r="AJ275" s="238"/>
      <c r="AK275" s="238"/>
      <c r="AL275" s="238"/>
      <c r="AM275" s="238"/>
      <c r="AN275" s="238"/>
      <c r="AO275" s="238"/>
      <c r="AP275" s="238"/>
      <c r="AQ275" s="238"/>
      <c r="AR275" s="238"/>
      <c r="AS275" s="238"/>
      <c r="AT275" s="456"/>
      <c r="AU275" s="238"/>
      <c r="AV275" s="238"/>
      <c r="AW275" s="238"/>
      <c r="AX275" s="238"/>
      <c r="AY275" s="238"/>
      <c r="AZ275" s="241"/>
      <c r="BA275" s="241"/>
      <c r="BB275" s="241"/>
      <c r="BC275" s="238"/>
      <c r="BD275" s="238"/>
      <c r="BE275" s="238"/>
      <c r="BF275" s="238"/>
      <c r="BG275" s="238"/>
      <c r="BH275" s="238"/>
      <c r="BI275" s="238"/>
      <c r="BJ275" s="238"/>
      <c r="BK275" s="238"/>
      <c r="BL275" s="238"/>
      <c r="BM275" s="238"/>
      <c r="BN275" s="238"/>
      <c r="BO275" s="238"/>
      <c r="BP275" s="238"/>
      <c r="BQ275" s="238"/>
      <c r="BR275" s="238"/>
      <c r="BS275" s="238"/>
      <c r="BT275" s="238"/>
      <c r="BU275" s="238"/>
      <c r="BV275" s="238"/>
      <c r="BW275" s="238"/>
      <c r="BX275" s="238"/>
      <c r="BY275" s="238"/>
      <c r="BZ275" s="238"/>
      <c r="CA275" s="238"/>
      <c r="CB275" s="238"/>
      <c r="CC275" s="238"/>
      <c r="CD275" s="238"/>
      <c r="CE275" s="238"/>
      <c r="CF275" s="238"/>
    </row>
    <row r="276" spans="1:84">
      <c r="A276" s="534"/>
      <c r="B276" s="256"/>
      <c r="C276" s="238"/>
      <c r="D276" s="256"/>
      <c r="E276" s="256"/>
      <c r="F276" s="256"/>
      <c r="G276" s="520"/>
      <c r="H276" s="520"/>
      <c r="I276" s="520"/>
      <c r="J276" s="522"/>
      <c r="K276" s="520"/>
      <c r="L276" s="522"/>
      <c r="M276" s="522"/>
      <c r="N276" s="522"/>
      <c r="O276" s="525"/>
      <c r="P276" s="238"/>
      <c r="Q276" s="238"/>
      <c r="S276" s="238"/>
      <c r="T276" s="238"/>
      <c r="U276" s="238"/>
      <c r="V276" s="238"/>
      <c r="W276" s="238"/>
      <c r="X276" s="238"/>
      <c r="Y276" s="238"/>
      <c r="Z276" s="238"/>
      <c r="AA276" s="240"/>
      <c r="AB276" s="238"/>
      <c r="AC276" s="238"/>
      <c r="AD276" s="238"/>
      <c r="AE276" s="238"/>
      <c r="AF276" s="238"/>
      <c r="AG276" s="524"/>
      <c r="AH276" s="238"/>
      <c r="AI276" s="238"/>
      <c r="AJ276" s="238"/>
      <c r="AK276" s="238"/>
      <c r="AL276" s="238"/>
      <c r="AM276" s="238"/>
      <c r="AN276" s="238"/>
      <c r="AO276" s="238"/>
      <c r="AP276" s="238"/>
      <c r="AQ276" s="238"/>
      <c r="AR276" s="238"/>
      <c r="AS276" s="238"/>
      <c r="AT276" s="456"/>
      <c r="AU276" s="238"/>
      <c r="AV276" s="238"/>
      <c r="AW276" s="238"/>
      <c r="AX276" s="238"/>
      <c r="AY276" s="238"/>
      <c r="AZ276" s="241"/>
      <c r="BA276" s="241"/>
      <c r="BB276" s="241"/>
      <c r="BC276" s="238"/>
      <c r="BD276" s="238"/>
      <c r="BE276" s="238"/>
      <c r="BF276" s="238"/>
      <c r="BG276" s="238"/>
      <c r="BH276" s="238"/>
      <c r="BI276" s="238"/>
      <c r="BJ276" s="238"/>
      <c r="BK276" s="238"/>
      <c r="BL276" s="238"/>
      <c r="BM276" s="238"/>
      <c r="BN276" s="238"/>
      <c r="BO276" s="238"/>
      <c r="BP276" s="238"/>
      <c r="BQ276" s="238"/>
      <c r="BR276" s="238"/>
      <c r="BS276" s="238"/>
      <c r="BT276" s="238"/>
      <c r="BU276" s="238"/>
      <c r="BV276" s="238"/>
      <c r="BW276" s="238"/>
      <c r="BX276" s="238"/>
      <c r="BY276" s="238"/>
      <c r="BZ276" s="238"/>
      <c r="CA276" s="238"/>
      <c r="CB276" s="238"/>
      <c r="CC276" s="238"/>
      <c r="CD276" s="238"/>
      <c r="CE276" s="238"/>
      <c r="CF276" s="238"/>
    </row>
    <row r="277" spans="1:84">
      <c r="A277" s="534"/>
      <c r="B277" s="256"/>
      <c r="C277" s="238"/>
      <c r="D277" s="256"/>
      <c r="E277" s="256"/>
      <c r="F277" s="256"/>
      <c r="G277" s="520"/>
      <c r="H277" s="520"/>
      <c r="I277" s="520"/>
      <c r="J277" s="522"/>
      <c r="K277" s="520"/>
      <c r="L277" s="522"/>
      <c r="M277" s="522"/>
      <c r="N277" s="522"/>
      <c r="O277" s="525"/>
      <c r="P277" s="238"/>
      <c r="Q277" s="238"/>
      <c r="S277" s="238"/>
      <c r="T277" s="238"/>
      <c r="U277" s="238"/>
      <c r="V277" s="238"/>
      <c r="W277" s="238"/>
      <c r="X277" s="238"/>
      <c r="Y277" s="238"/>
      <c r="Z277" s="238"/>
      <c r="AA277" s="240"/>
      <c r="AB277" s="238"/>
      <c r="AC277" s="238"/>
      <c r="AD277" s="238"/>
      <c r="AE277" s="238"/>
      <c r="AF277" s="238"/>
      <c r="AG277" s="524"/>
      <c r="AH277" s="238"/>
      <c r="AI277" s="238"/>
      <c r="AJ277" s="238"/>
      <c r="AK277" s="238"/>
      <c r="AL277" s="238"/>
      <c r="AM277" s="238"/>
      <c r="AN277" s="238"/>
      <c r="AO277" s="238"/>
      <c r="AP277" s="238"/>
      <c r="AQ277" s="238"/>
      <c r="AR277" s="238"/>
      <c r="AS277" s="238"/>
      <c r="AT277" s="456"/>
      <c r="AU277" s="238"/>
      <c r="AV277" s="238"/>
      <c r="AW277" s="238"/>
      <c r="AX277" s="238"/>
      <c r="AY277" s="238"/>
      <c r="AZ277" s="241"/>
      <c r="BA277" s="241"/>
      <c r="BB277" s="241"/>
      <c r="BC277" s="238"/>
      <c r="BD277" s="238"/>
      <c r="BE277" s="238"/>
      <c r="BF277" s="238"/>
      <c r="BG277" s="238"/>
      <c r="BH277" s="238"/>
      <c r="BI277" s="238"/>
      <c r="BJ277" s="238"/>
      <c r="BK277" s="238"/>
      <c r="BL277" s="238"/>
      <c r="BM277" s="238"/>
      <c r="BN277" s="238"/>
      <c r="BO277" s="238"/>
      <c r="BP277" s="238"/>
      <c r="BQ277" s="238"/>
      <c r="BR277" s="238"/>
      <c r="BS277" s="238"/>
      <c r="BT277" s="238"/>
      <c r="BU277" s="238"/>
      <c r="BV277" s="238"/>
      <c r="BW277" s="238"/>
      <c r="BX277" s="238"/>
      <c r="BY277" s="238"/>
      <c r="BZ277" s="238"/>
      <c r="CA277" s="238"/>
      <c r="CB277" s="238"/>
      <c r="CC277" s="238"/>
      <c r="CD277" s="238"/>
      <c r="CE277" s="238"/>
      <c r="CF277" s="238"/>
    </row>
    <row r="278" spans="1:84">
      <c r="A278" s="534"/>
      <c r="B278" s="256"/>
      <c r="C278" s="238"/>
      <c r="D278" s="256"/>
      <c r="E278" s="256"/>
      <c r="F278" s="256"/>
      <c r="G278" s="520"/>
      <c r="H278" s="520"/>
      <c r="I278" s="520"/>
      <c r="J278" s="522"/>
      <c r="K278" s="520"/>
      <c r="L278" s="522"/>
      <c r="M278" s="522"/>
      <c r="N278" s="522"/>
      <c r="O278" s="525"/>
      <c r="P278" s="238"/>
      <c r="Q278" s="238"/>
      <c r="S278" s="238"/>
      <c r="T278" s="238"/>
      <c r="U278" s="238"/>
      <c r="V278" s="238"/>
      <c r="W278" s="238"/>
      <c r="X278" s="238"/>
      <c r="Y278" s="238"/>
      <c r="Z278" s="238"/>
      <c r="AA278" s="240"/>
      <c r="AB278" s="238"/>
      <c r="AC278" s="238"/>
      <c r="AD278" s="238"/>
      <c r="AE278" s="238"/>
      <c r="AF278" s="238"/>
      <c r="AG278" s="524"/>
      <c r="AH278" s="238"/>
      <c r="AI278" s="238"/>
      <c r="AJ278" s="238"/>
      <c r="AK278" s="238"/>
      <c r="AL278" s="238"/>
      <c r="AM278" s="238"/>
      <c r="AN278" s="238"/>
      <c r="AO278" s="238"/>
      <c r="AP278" s="238"/>
      <c r="AQ278" s="238"/>
      <c r="AR278" s="238"/>
      <c r="AS278" s="238"/>
      <c r="AT278" s="456"/>
      <c r="AU278" s="238"/>
      <c r="AV278" s="238"/>
      <c r="AW278" s="238"/>
      <c r="AX278" s="238"/>
      <c r="AY278" s="238"/>
      <c r="AZ278" s="241"/>
      <c r="BA278" s="241"/>
      <c r="BB278" s="241"/>
      <c r="BC278" s="238"/>
      <c r="BD278" s="238"/>
      <c r="BE278" s="238"/>
      <c r="BF278" s="238"/>
      <c r="BG278" s="238"/>
      <c r="BH278" s="238"/>
      <c r="BI278" s="238"/>
      <c r="BJ278" s="238"/>
      <c r="BK278" s="238"/>
      <c r="BL278" s="238"/>
      <c r="BM278" s="238"/>
      <c r="BN278" s="238"/>
      <c r="BO278" s="238"/>
      <c r="BP278" s="238"/>
      <c r="BQ278" s="238"/>
      <c r="BR278" s="238"/>
      <c r="BS278" s="238"/>
      <c r="BT278" s="238"/>
      <c r="BU278" s="238"/>
      <c r="BV278" s="238"/>
      <c r="BW278" s="238"/>
      <c r="BX278" s="238"/>
      <c r="BY278" s="238"/>
      <c r="BZ278" s="238"/>
      <c r="CA278" s="238"/>
      <c r="CB278" s="238"/>
      <c r="CC278" s="238"/>
      <c r="CD278" s="238"/>
      <c r="CE278" s="238"/>
      <c r="CF278" s="238"/>
    </row>
    <row r="279" spans="1:84">
      <c r="A279" s="534"/>
      <c r="B279" s="256"/>
      <c r="C279" s="238"/>
      <c r="D279" s="256"/>
      <c r="E279" s="256"/>
      <c r="F279" s="256"/>
      <c r="G279" s="520"/>
      <c r="H279" s="520"/>
      <c r="I279" s="520"/>
      <c r="J279" s="522"/>
      <c r="K279" s="520"/>
      <c r="L279" s="522"/>
      <c r="M279" s="522"/>
      <c r="N279" s="522"/>
      <c r="O279" s="525"/>
      <c r="P279" s="238"/>
      <c r="Q279" s="238"/>
      <c r="S279" s="238"/>
      <c r="T279" s="238"/>
      <c r="U279" s="238"/>
      <c r="V279" s="238"/>
      <c r="W279" s="238"/>
      <c r="X279" s="238"/>
      <c r="Y279" s="238"/>
      <c r="Z279" s="238"/>
      <c r="AA279" s="240"/>
      <c r="AB279" s="238"/>
      <c r="AC279" s="238"/>
      <c r="AD279" s="238"/>
      <c r="AE279" s="238"/>
      <c r="AF279" s="238"/>
      <c r="AG279" s="524"/>
      <c r="AH279" s="238"/>
      <c r="AI279" s="238"/>
      <c r="AJ279" s="238"/>
      <c r="AK279" s="238"/>
      <c r="AL279" s="238"/>
      <c r="AM279" s="238"/>
      <c r="AN279" s="238"/>
      <c r="AO279" s="238"/>
      <c r="AP279" s="238"/>
      <c r="AQ279" s="238"/>
      <c r="AR279" s="238"/>
      <c r="AS279" s="238"/>
      <c r="AT279" s="456"/>
      <c r="AU279" s="238"/>
      <c r="AV279" s="238"/>
      <c r="AW279" s="238"/>
      <c r="AX279" s="238"/>
      <c r="AY279" s="238"/>
      <c r="AZ279" s="241"/>
      <c r="BA279" s="241"/>
      <c r="BB279" s="241"/>
      <c r="BC279" s="238"/>
      <c r="BD279" s="238"/>
      <c r="BE279" s="238"/>
      <c r="BF279" s="238"/>
      <c r="BG279" s="238"/>
      <c r="BH279" s="238"/>
      <c r="BI279" s="238"/>
      <c r="BJ279" s="238"/>
      <c r="BK279" s="238"/>
      <c r="BL279" s="238"/>
      <c r="BM279" s="238"/>
      <c r="BN279" s="238"/>
      <c r="BO279" s="238"/>
      <c r="BP279" s="238"/>
      <c r="BQ279" s="238"/>
      <c r="BR279" s="238"/>
      <c r="BS279" s="238"/>
      <c r="BT279" s="238"/>
      <c r="BU279" s="238"/>
      <c r="BV279" s="238"/>
      <c r="BW279" s="238"/>
      <c r="BX279" s="238"/>
      <c r="BY279" s="238"/>
      <c r="BZ279" s="238"/>
      <c r="CA279" s="238"/>
      <c r="CB279" s="238"/>
      <c r="CC279" s="238"/>
      <c r="CD279" s="238"/>
      <c r="CE279" s="238"/>
      <c r="CF279" s="238"/>
    </row>
    <row r="280" spans="1:84">
      <c r="A280" s="534"/>
      <c r="B280" s="256"/>
      <c r="C280" s="238"/>
      <c r="D280" s="256"/>
      <c r="E280" s="256"/>
      <c r="F280" s="256"/>
      <c r="G280" s="520"/>
      <c r="H280" s="520"/>
      <c r="I280" s="520"/>
      <c r="J280" s="522"/>
      <c r="K280" s="520"/>
      <c r="L280" s="522"/>
      <c r="M280" s="522"/>
      <c r="N280" s="522"/>
      <c r="O280" s="525"/>
      <c r="P280" s="238"/>
      <c r="Q280" s="238"/>
      <c r="S280" s="238"/>
      <c r="T280" s="238"/>
      <c r="U280" s="238"/>
      <c r="V280" s="238"/>
      <c r="W280" s="238"/>
      <c r="X280" s="238"/>
      <c r="Y280" s="238"/>
      <c r="Z280" s="238"/>
      <c r="AA280" s="240"/>
      <c r="AB280" s="238"/>
      <c r="AC280" s="238"/>
      <c r="AD280" s="238"/>
      <c r="AE280" s="238"/>
      <c r="AF280" s="238"/>
      <c r="AG280" s="524"/>
      <c r="AH280" s="238"/>
      <c r="AI280" s="238"/>
      <c r="AJ280" s="238"/>
      <c r="AK280" s="238"/>
      <c r="AL280" s="238"/>
      <c r="AM280" s="238"/>
      <c r="AN280" s="238"/>
      <c r="AO280" s="238"/>
      <c r="AP280" s="238"/>
      <c r="AQ280" s="238"/>
      <c r="AR280" s="238"/>
      <c r="AS280" s="238"/>
      <c r="AT280" s="456"/>
      <c r="AU280" s="238"/>
      <c r="AV280" s="238"/>
      <c r="AW280" s="238"/>
      <c r="AX280" s="238"/>
      <c r="AY280" s="238"/>
      <c r="AZ280" s="241"/>
      <c r="BA280" s="241"/>
      <c r="BB280" s="241"/>
      <c r="BC280" s="238"/>
      <c r="BD280" s="238"/>
      <c r="BE280" s="238"/>
      <c r="BF280" s="238"/>
      <c r="BG280" s="238"/>
      <c r="BH280" s="238"/>
      <c r="BI280" s="238"/>
      <c r="BJ280" s="238"/>
      <c r="BK280" s="238"/>
      <c r="BL280" s="238"/>
      <c r="BM280" s="238"/>
      <c r="BN280" s="238"/>
      <c r="BO280" s="238"/>
      <c r="BP280" s="238"/>
      <c r="BQ280" s="238"/>
      <c r="BR280" s="238"/>
      <c r="BS280" s="238"/>
      <c r="BT280" s="238"/>
      <c r="BU280" s="238"/>
      <c r="BV280" s="238"/>
      <c r="BW280" s="238"/>
      <c r="BX280" s="238"/>
      <c r="BY280" s="238"/>
      <c r="BZ280" s="238"/>
      <c r="CA280" s="238"/>
      <c r="CB280" s="238"/>
      <c r="CC280" s="238"/>
      <c r="CD280" s="238"/>
      <c r="CE280" s="238"/>
      <c r="CF280" s="238"/>
    </row>
    <row r="281" spans="1:84">
      <c r="A281" s="534"/>
      <c r="B281" s="256"/>
      <c r="C281" s="238"/>
      <c r="D281" s="256"/>
      <c r="E281" s="256"/>
      <c r="F281" s="256"/>
      <c r="G281" s="520"/>
      <c r="H281" s="520"/>
      <c r="I281" s="520"/>
      <c r="J281" s="522"/>
      <c r="K281" s="520"/>
      <c r="L281" s="522"/>
      <c r="M281" s="522"/>
      <c r="N281" s="522"/>
      <c r="O281" s="525"/>
      <c r="P281" s="238"/>
      <c r="Q281" s="238"/>
      <c r="S281" s="238"/>
      <c r="T281" s="238"/>
      <c r="U281" s="238"/>
      <c r="V281" s="238"/>
      <c r="W281" s="238"/>
      <c r="X281" s="238"/>
      <c r="Y281" s="238"/>
      <c r="Z281" s="238"/>
      <c r="AA281" s="240"/>
      <c r="AB281" s="238"/>
      <c r="AC281" s="238"/>
      <c r="AD281" s="238"/>
      <c r="AE281" s="238"/>
      <c r="AF281" s="238"/>
      <c r="AG281" s="524"/>
      <c r="AH281" s="238"/>
      <c r="AI281" s="238"/>
      <c r="AJ281" s="238"/>
      <c r="AK281" s="238"/>
      <c r="AL281" s="238"/>
      <c r="AM281" s="238"/>
      <c r="AN281" s="238"/>
      <c r="AO281" s="238"/>
      <c r="AP281" s="238"/>
      <c r="AQ281" s="238"/>
      <c r="AR281" s="238"/>
      <c r="AS281" s="238"/>
      <c r="AT281" s="456"/>
      <c r="AU281" s="238"/>
      <c r="AV281" s="238"/>
      <c r="AW281" s="238"/>
      <c r="AX281" s="238"/>
      <c r="AY281" s="238"/>
      <c r="AZ281" s="241"/>
      <c r="BA281" s="241"/>
      <c r="BB281" s="241"/>
      <c r="BC281" s="238"/>
      <c r="BD281" s="238"/>
      <c r="BE281" s="238"/>
      <c r="BF281" s="238"/>
      <c r="BG281" s="238"/>
      <c r="BH281" s="238"/>
      <c r="BI281" s="238"/>
      <c r="BJ281" s="238"/>
      <c r="BK281" s="238"/>
      <c r="BL281" s="238"/>
      <c r="BM281" s="238"/>
      <c r="BN281" s="238"/>
      <c r="BO281" s="238"/>
      <c r="BP281" s="238"/>
      <c r="BQ281" s="238"/>
      <c r="BR281" s="238"/>
      <c r="BS281" s="238"/>
      <c r="BT281" s="238"/>
      <c r="BU281" s="238"/>
      <c r="BV281" s="238"/>
      <c r="BW281" s="238"/>
      <c r="BX281" s="238"/>
      <c r="BY281" s="238"/>
      <c r="BZ281" s="238"/>
      <c r="CA281" s="238"/>
      <c r="CB281" s="238"/>
      <c r="CC281" s="238"/>
      <c r="CD281" s="238"/>
      <c r="CE281" s="238"/>
      <c r="CF281" s="238"/>
    </row>
    <row r="282" spans="1:84">
      <c r="A282" s="534"/>
      <c r="B282" s="256"/>
      <c r="C282" s="238"/>
      <c r="D282" s="256"/>
      <c r="E282" s="256"/>
      <c r="F282" s="256"/>
      <c r="G282" s="520"/>
      <c r="H282" s="520"/>
      <c r="I282" s="520"/>
      <c r="J282" s="522"/>
      <c r="K282" s="520"/>
      <c r="L282" s="522"/>
      <c r="M282" s="522"/>
      <c r="N282" s="522"/>
      <c r="O282" s="525"/>
      <c r="P282" s="238"/>
      <c r="Q282" s="238"/>
      <c r="S282" s="238"/>
      <c r="T282" s="238"/>
      <c r="U282" s="238"/>
      <c r="V282" s="238"/>
      <c r="W282" s="238"/>
      <c r="X282" s="238"/>
      <c r="Y282" s="238"/>
      <c r="Z282" s="238"/>
      <c r="AA282" s="240"/>
      <c r="AB282" s="238"/>
      <c r="AC282" s="238"/>
      <c r="AD282" s="238"/>
      <c r="AE282" s="238"/>
      <c r="AF282" s="238"/>
      <c r="AG282" s="524"/>
      <c r="AH282" s="238"/>
      <c r="AI282" s="238"/>
      <c r="AJ282" s="238"/>
      <c r="AK282" s="238"/>
      <c r="AL282" s="238"/>
      <c r="AM282" s="238"/>
      <c r="AN282" s="238"/>
      <c r="AO282" s="238"/>
      <c r="AP282" s="238"/>
      <c r="AQ282" s="238"/>
      <c r="AR282" s="238"/>
      <c r="AS282" s="238"/>
      <c r="AT282" s="456"/>
      <c r="AU282" s="238"/>
      <c r="AV282" s="238"/>
      <c r="AW282" s="238"/>
      <c r="AX282" s="238"/>
      <c r="AY282" s="238"/>
      <c r="AZ282" s="241"/>
      <c r="BA282" s="241"/>
      <c r="BB282" s="241"/>
      <c r="BC282" s="238"/>
      <c r="BD282" s="238"/>
      <c r="BE282" s="238"/>
      <c r="BF282" s="238"/>
      <c r="BG282" s="238"/>
      <c r="BH282" s="238"/>
      <c r="BI282" s="238"/>
      <c r="BJ282" s="238"/>
      <c r="BK282" s="238"/>
      <c r="BL282" s="238"/>
      <c r="BM282" s="238"/>
      <c r="BN282" s="238"/>
      <c r="BO282" s="238"/>
      <c r="BP282" s="238"/>
      <c r="BQ282" s="238"/>
      <c r="BR282" s="238"/>
      <c r="BS282" s="238"/>
      <c r="BT282" s="238"/>
      <c r="BU282" s="238"/>
      <c r="BV282" s="238"/>
      <c r="BW282" s="238"/>
      <c r="BX282" s="238"/>
      <c r="BY282" s="238"/>
      <c r="BZ282" s="238"/>
      <c r="CA282" s="238"/>
      <c r="CB282" s="238"/>
      <c r="CC282" s="238"/>
      <c r="CD282" s="238"/>
      <c r="CE282" s="238"/>
      <c r="CF282" s="238"/>
    </row>
    <row r="283" spans="1:84">
      <c r="A283" s="534"/>
      <c r="B283" s="256"/>
      <c r="C283" s="238"/>
      <c r="D283" s="256"/>
      <c r="E283" s="256"/>
      <c r="F283" s="256"/>
      <c r="G283" s="520"/>
      <c r="H283" s="520"/>
      <c r="I283" s="520"/>
      <c r="J283" s="522"/>
      <c r="K283" s="520"/>
      <c r="L283" s="522"/>
      <c r="M283" s="522"/>
      <c r="N283" s="522"/>
      <c r="O283" s="525"/>
      <c r="P283" s="238"/>
      <c r="Q283" s="238"/>
      <c r="S283" s="238"/>
      <c r="T283" s="238"/>
      <c r="U283" s="238"/>
      <c r="V283" s="238"/>
      <c r="W283" s="238"/>
      <c r="X283" s="238"/>
      <c r="Y283" s="238"/>
      <c r="Z283" s="238"/>
      <c r="AA283" s="240"/>
      <c r="AB283" s="238"/>
      <c r="AC283" s="238"/>
      <c r="AD283" s="238"/>
      <c r="AE283" s="238"/>
      <c r="AF283" s="238"/>
      <c r="AG283" s="524"/>
      <c r="AH283" s="238"/>
      <c r="AI283" s="238"/>
      <c r="AJ283" s="238"/>
      <c r="AK283" s="238"/>
      <c r="AL283" s="238"/>
      <c r="AM283" s="238"/>
      <c r="AN283" s="238"/>
      <c r="AO283" s="238"/>
      <c r="AP283" s="238"/>
      <c r="AQ283" s="238"/>
      <c r="AR283" s="238"/>
      <c r="AS283" s="238"/>
      <c r="AT283" s="456"/>
      <c r="AU283" s="238"/>
      <c r="AV283" s="238"/>
      <c r="AW283" s="238"/>
      <c r="AX283" s="238"/>
      <c r="AY283" s="238"/>
      <c r="AZ283" s="241"/>
      <c r="BA283" s="241"/>
      <c r="BB283" s="241"/>
      <c r="BC283" s="238"/>
      <c r="BD283" s="238"/>
      <c r="BE283" s="238"/>
      <c r="BF283" s="238"/>
      <c r="BG283" s="238"/>
      <c r="BH283" s="238"/>
      <c r="BI283" s="238"/>
      <c r="BJ283" s="238"/>
      <c r="BK283" s="238"/>
      <c r="BL283" s="238"/>
      <c r="BM283" s="238"/>
      <c r="BN283" s="238"/>
      <c r="BO283" s="238"/>
      <c r="BP283" s="238"/>
      <c r="BQ283" s="238"/>
      <c r="BR283" s="238"/>
      <c r="BS283" s="238"/>
      <c r="BT283" s="238"/>
      <c r="BU283" s="238"/>
      <c r="BV283" s="238"/>
      <c r="BW283" s="238"/>
      <c r="BX283" s="238"/>
      <c r="BY283" s="238"/>
      <c r="BZ283" s="238"/>
      <c r="CA283" s="238"/>
      <c r="CB283" s="238"/>
      <c r="CC283" s="238"/>
      <c r="CD283" s="238"/>
      <c r="CE283" s="238"/>
      <c r="CF283" s="238"/>
    </row>
    <row r="284" spans="1:84">
      <c r="A284" s="534"/>
      <c r="B284" s="256"/>
      <c r="C284" s="238"/>
      <c r="D284" s="256"/>
      <c r="E284" s="256"/>
      <c r="F284" s="256"/>
      <c r="G284" s="520"/>
      <c r="H284" s="520"/>
      <c r="I284" s="520"/>
      <c r="J284" s="522"/>
      <c r="K284" s="520"/>
      <c r="L284" s="522"/>
      <c r="M284" s="522"/>
      <c r="N284" s="522"/>
      <c r="O284" s="525"/>
      <c r="P284" s="238"/>
      <c r="Q284" s="238"/>
      <c r="S284" s="238"/>
      <c r="T284" s="238"/>
      <c r="U284" s="238"/>
      <c r="V284" s="238"/>
      <c r="W284" s="238"/>
      <c r="X284" s="238"/>
      <c r="Y284" s="238"/>
      <c r="Z284" s="238"/>
      <c r="AA284" s="240"/>
      <c r="AB284" s="238"/>
      <c r="AC284" s="238"/>
      <c r="AD284" s="238"/>
      <c r="AE284" s="238"/>
      <c r="AF284" s="238"/>
      <c r="AG284" s="524"/>
      <c r="AH284" s="238"/>
      <c r="AI284" s="238"/>
      <c r="AJ284" s="238"/>
      <c r="AK284" s="238"/>
      <c r="AL284" s="238"/>
      <c r="AM284" s="238"/>
      <c r="AN284" s="238"/>
      <c r="AO284" s="238"/>
      <c r="AP284" s="238"/>
      <c r="AQ284" s="238"/>
      <c r="AR284" s="238"/>
      <c r="AS284" s="238"/>
      <c r="AT284" s="456"/>
      <c r="AU284" s="238"/>
      <c r="AV284" s="238"/>
      <c r="AW284" s="238"/>
      <c r="AX284" s="238"/>
      <c r="AY284" s="238"/>
      <c r="AZ284" s="241"/>
      <c r="BA284" s="241"/>
      <c r="BB284" s="241"/>
      <c r="BC284" s="238"/>
      <c r="BD284" s="238"/>
      <c r="BE284" s="238"/>
      <c r="BF284" s="238"/>
      <c r="BG284" s="238"/>
      <c r="BH284" s="238"/>
      <c r="BI284" s="238"/>
      <c r="BJ284" s="238"/>
      <c r="BK284" s="238"/>
      <c r="BL284" s="238"/>
      <c r="BM284" s="238"/>
      <c r="BN284" s="238"/>
      <c r="BO284" s="238"/>
      <c r="BP284" s="238"/>
      <c r="BQ284" s="238"/>
      <c r="BR284" s="238"/>
      <c r="BS284" s="238"/>
      <c r="BT284" s="238"/>
      <c r="BU284" s="238"/>
      <c r="BV284" s="238"/>
      <c r="BW284" s="238"/>
      <c r="BX284" s="238"/>
      <c r="BY284" s="238"/>
      <c r="BZ284" s="238"/>
      <c r="CA284" s="238"/>
      <c r="CB284" s="238"/>
      <c r="CC284" s="238"/>
      <c r="CD284" s="238"/>
      <c r="CE284" s="238"/>
      <c r="CF284" s="238"/>
    </row>
    <row r="285" spans="1:84">
      <c r="A285" s="534"/>
      <c r="B285" s="256"/>
      <c r="C285" s="238"/>
      <c r="D285" s="256"/>
      <c r="E285" s="256"/>
      <c r="F285" s="256"/>
      <c r="G285" s="520"/>
      <c r="H285" s="520"/>
      <c r="I285" s="520"/>
      <c r="J285" s="522"/>
      <c r="K285" s="520"/>
      <c r="L285" s="522"/>
      <c r="M285" s="522"/>
      <c r="N285" s="522"/>
      <c r="O285" s="525"/>
      <c r="P285" s="238"/>
      <c r="Q285" s="238"/>
      <c r="S285" s="238"/>
      <c r="T285" s="238"/>
      <c r="U285" s="238"/>
      <c r="V285" s="238"/>
      <c r="W285" s="238"/>
      <c r="X285" s="238"/>
      <c r="Y285" s="238"/>
      <c r="Z285" s="238"/>
      <c r="AA285" s="240"/>
      <c r="AB285" s="238"/>
      <c r="AC285" s="238"/>
      <c r="AD285" s="238"/>
      <c r="AE285" s="238"/>
      <c r="AF285" s="238"/>
      <c r="AG285" s="524"/>
      <c r="AH285" s="238"/>
      <c r="AI285" s="238"/>
      <c r="AJ285" s="238"/>
      <c r="AK285" s="238"/>
      <c r="AL285" s="238"/>
      <c r="AM285" s="238"/>
      <c r="AN285" s="238"/>
      <c r="AO285" s="238"/>
      <c r="AP285" s="238"/>
      <c r="AQ285" s="238"/>
      <c r="AR285" s="238"/>
      <c r="AS285" s="238"/>
      <c r="AT285" s="456"/>
      <c r="AU285" s="238"/>
      <c r="AV285" s="238"/>
      <c r="AW285" s="238"/>
      <c r="AX285" s="238"/>
      <c r="AY285" s="238"/>
      <c r="AZ285" s="241"/>
      <c r="BA285" s="241"/>
      <c r="BB285" s="241"/>
      <c r="BC285" s="238"/>
      <c r="BD285" s="238"/>
      <c r="BE285" s="238"/>
      <c r="BF285" s="238"/>
      <c r="BG285" s="238"/>
      <c r="BH285" s="238"/>
      <c r="BI285" s="238"/>
      <c r="BJ285" s="238"/>
      <c r="BK285" s="238"/>
      <c r="BL285" s="238"/>
      <c r="BM285" s="238"/>
      <c r="BN285" s="238"/>
      <c r="BO285" s="238"/>
      <c r="BP285" s="238"/>
      <c r="BQ285" s="238"/>
      <c r="BR285" s="238"/>
      <c r="BS285" s="238"/>
      <c r="BT285" s="238"/>
      <c r="BU285" s="238"/>
      <c r="BV285" s="238"/>
      <c r="BW285" s="238"/>
      <c r="BX285" s="238"/>
      <c r="BY285" s="238"/>
      <c r="BZ285" s="238"/>
      <c r="CA285" s="238"/>
      <c r="CB285" s="238"/>
      <c r="CC285" s="238"/>
      <c r="CD285" s="238"/>
      <c r="CE285" s="238"/>
      <c r="CF285" s="238"/>
    </row>
    <row r="286" spans="1:84">
      <c r="A286" s="534"/>
      <c r="B286" s="256"/>
      <c r="C286" s="238"/>
      <c r="D286" s="256"/>
      <c r="E286" s="256"/>
      <c r="F286" s="256"/>
      <c r="G286" s="520"/>
      <c r="H286" s="520"/>
      <c r="I286" s="520"/>
      <c r="J286" s="522"/>
      <c r="K286" s="520"/>
      <c r="L286" s="522"/>
      <c r="M286" s="522"/>
      <c r="N286" s="522"/>
      <c r="O286" s="525"/>
      <c r="P286" s="238"/>
      <c r="Q286" s="238"/>
      <c r="S286" s="238"/>
      <c r="T286" s="238"/>
      <c r="U286" s="238"/>
      <c r="V286" s="238"/>
      <c r="W286" s="238"/>
      <c r="X286" s="238"/>
      <c r="Y286" s="238"/>
      <c r="Z286" s="238"/>
      <c r="AA286" s="240"/>
      <c r="AB286" s="238"/>
      <c r="AC286" s="238"/>
      <c r="AD286" s="238"/>
      <c r="AE286" s="238"/>
      <c r="AF286" s="238"/>
      <c r="AG286" s="524"/>
      <c r="AH286" s="238"/>
      <c r="AI286" s="238"/>
      <c r="AJ286" s="238"/>
      <c r="AK286" s="238"/>
      <c r="AL286" s="238"/>
      <c r="AM286" s="238"/>
      <c r="AN286" s="238"/>
      <c r="AO286" s="238"/>
      <c r="AP286" s="238"/>
      <c r="AQ286" s="238"/>
      <c r="AR286" s="238"/>
      <c r="AS286" s="238"/>
      <c r="AT286" s="456"/>
      <c r="AU286" s="238"/>
      <c r="AV286" s="238"/>
      <c r="AW286" s="238"/>
      <c r="AX286" s="238"/>
      <c r="AY286" s="238"/>
      <c r="AZ286" s="241"/>
      <c r="BA286" s="241"/>
      <c r="BB286" s="241"/>
      <c r="BC286" s="238"/>
      <c r="BD286" s="238"/>
      <c r="BE286" s="238"/>
      <c r="BF286" s="238"/>
      <c r="BG286" s="238"/>
      <c r="BH286" s="238"/>
      <c r="BI286" s="238"/>
      <c r="BJ286" s="238"/>
      <c r="BK286" s="238"/>
      <c r="BL286" s="238"/>
      <c r="BM286" s="238"/>
      <c r="BN286" s="238"/>
      <c r="BO286" s="238"/>
      <c r="BP286" s="238"/>
      <c r="BQ286" s="238"/>
      <c r="BR286" s="238"/>
      <c r="BS286" s="238"/>
      <c r="BT286" s="238"/>
      <c r="BU286" s="238"/>
      <c r="BV286" s="238"/>
      <c r="BW286" s="238"/>
      <c r="BX286" s="238"/>
      <c r="BY286" s="238"/>
      <c r="BZ286" s="238"/>
      <c r="CA286" s="238"/>
      <c r="CB286" s="238"/>
      <c r="CC286" s="238"/>
      <c r="CD286" s="238"/>
      <c r="CE286" s="238"/>
      <c r="CF286" s="238"/>
    </row>
    <row r="287" spans="1:84">
      <c r="A287" s="534"/>
      <c r="B287" s="256"/>
      <c r="C287" s="238"/>
      <c r="D287" s="256"/>
      <c r="E287" s="256"/>
      <c r="F287" s="256"/>
      <c r="G287" s="520"/>
      <c r="H287" s="520"/>
      <c r="I287" s="520"/>
      <c r="J287" s="522"/>
      <c r="K287" s="520"/>
      <c r="L287" s="522"/>
      <c r="M287" s="522"/>
      <c r="N287" s="522"/>
      <c r="O287" s="525"/>
      <c r="P287" s="238"/>
      <c r="Q287" s="238"/>
      <c r="S287" s="238"/>
      <c r="T287" s="238"/>
      <c r="U287" s="238"/>
      <c r="V287" s="238"/>
      <c r="W287" s="238"/>
      <c r="X287" s="238"/>
      <c r="Y287" s="238"/>
      <c r="Z287" s="238"/>
      <c r="AA287" s="240"/>
      <c r="AB287" s="238"/>
      <c r="AC287" s="238"/>
      <c r="AD287" s="238"/>
      <c r="AE287" s="238"/>
      <c r="AF287" s="238"/>
      <c r="AG287" s="524"/>
      <c r="AH287" s="238"/>
      <c r="AI287" s="238"/>
      <c r="AJ287" s="238"/>
      <c r="AK287" s="238"/>
      <c r="AL287" s="238"/>
      <c r="AM287" s="238"/>
      <c r="AN287" s="238"/>
      <c r="AO287" s="238"/>
      <c r="AP287" s="238"/>
      <c r="AQ287" s="238"/>
      <c r="AR287" s="238"/>
      <c r="AS287" s="238"/>
      <c r="AT287" s="456"/>
      <c r="AU287" s="238"/>
      <c r="AV287" s="238"/>
      <c r="AW287" s="238"/>
      <c r="AX287" s="238"/>
      <c r="AY287" s="238"/>
      <c r="AZ287" s="241"/>
      <c r="BA287" s="241"/>
      <c r="BB287" s="241"/>
      <c r="BC287" s="238"/>
      <c r="BD287" s="238"/>
      <c r="BE287" s="238"/>
      <c r="BF287" s="238"/>
      <c r="BG287" s="238"/>
      <c r="BH287" s="238"/>
      <c r="BI287" s="238"/>
      <c r="BJ287" s="238"/>
      <c r="BK287" s="238"/>
      <c r="BL287" s="238"/>
      <c r="BM287" s="238"/>
      <c r="BN287" s="238"/>
      <c r="BO287" s="238"/>
      <c r="BP287" s="238"/>
      <c r="BQ287" s="238"/>
      <c r="BR287" s="238"/>
      <c r="BS287" s="238"/>
      <c r="BT287" s="238"/>
      <c r="BU287" s="238"/>
      <c r="BV287" s="238"/>
      <c r="BW287" s="238"/>
      <c r="BX287" s="238"/>
      <c r="BY287" s="238"/>
      <c r="BZ287" s="238"/>
      <c r="CA287" s="238"/>
      <c r="CB287" s="238"/>
      <c r="CC287" s="238"/>
      <c r="CD287" s="238"/>
      <c r="CE287" s="238"/>
      <c r="CF287" s="238"/>
    </row>
    <row r="288" spans="1:84">
      <c r="A288" s="534"/>
      <c r="B288" s="256"/>
      <c r="C288" s="238"/>
      <c r="D288" s="256"/>
      <c r="E288" s="256"/>
      <c r="F288" s="256"/>
      <c r="G288" s="520"/>
      <c r="H288" s="520"/>
      <c r="I288" s="520"/>
      <c r="J288" s="522"/>
      <c r="K288" s="520"/>
      <c r="L288" s="522"/>
      <c r="M288" s="522"/>
      <c r="N288" s="522"/>
      <c r="O288" s="525"/>
      <c r="P288" s="238"/>
      <c r="Q288" s="238"/>
      <c r="S288" s="238"/>
      <c r="T288" s="238"/>
      <c r="U288" s="238"/>
      <c r="V288" s="238"/>
      <c r="W288" s="238"/>
      <c r="X288" s="238"/>
      <c r="Y288" s="238"/>
      <c r="Z288" s="238"/>
      <c r="AA288" s="240"/>
      <c r="AB288" s="238"/>
      <c r="AC288" s="238"/>
      <c r="AD288" s="238"/>
      <c r="AE288" s="238"/>
      <c r="AF288" s="238"/>
      <c r="AG288" s="524"/>
      <c r="AH288" s="238"/>
      <c r="AI288" s="238"/>
      <c r="AJ288" s="238"/>
      <c r="AK288" s="238"/>
      <c r="AL288" s="238"/>
      <c r="AM288" s="238"/>
      <c r="AN288" s="238"/>
      <c r="AO288" s="238"/>
      <c r="AP288" s="238"/>
      <c r="AQ288" s="238"/>
      <c r="AR288" s="238"/>
      <c r="AS288" s="238"/>
      <c r="AT288" s="456"/>
      <c r="AU288" s="238"/>
      <c r="AV288" s="238"/>
      <c r="AW288" s="238"/>
      <c r="AX288" s="238"/>
      <c r="AY288" s="238"/>
      <c r="AZ288" s="241"/>
      <c r="BA288" s="241"/>
      <c r="BB288" s="241"/>
      <c r="BC288" s="238"/>
      <c r="BD288" s="238"/>
      <c r="BE288" s="238"/>
      <c r="BF288" s="238"/>
      <c r="BG288" s="238"/>
      <c r="BH288" s="238"/>
      <c r="BI288" s="238"/>
      <c r="BJ288" s="238"/>
      <c r="BK288" s="238"/>
      <c r="BL288" s="238"/>
      <c r="BM288" s="238"/>
      <c r="BN288" s="238"/>
      <c r="BO288" s="238"/>
      <c r="BP288" s="238"/>
      <c r="BQ288" s="238"/>
      <c r="BR288" s="238"/>
      <c r="BS288" s="238"/>
      <c r="BT288" s="238"/>
      <c r="BU288" s="238"/>
      <c r="BV288" s="238"/>
      <c r="BW288" s="238"/>
      <c r="BX288" s="238"/>
      <c r="BY288" s="238"/>
      <c r="BZ288" s="238"/>
      <c r="CA288" s="238"/>
      <c r="CB288" s="238"/>
      <c r="CC288" s="238"/>
      <c r="CD288" s="238"/>
      <c r="CE288" s="238"/>
      <c r="CF288" s="238"/>
    </row>
    <row r="289" spans="1:84">
      <c r="A289" s="534"/>
      <c r="B289" s="256"/>
      <c r="C289" s="238"/>
      <c r="D289" s="256"/>
      <c r="E289" s="256"/>
      <c r="F289" s="256"/>
      <c r="G289" s="520"/>
      <c r="H289" s="520"/>
      <c r="I289" s="520"/>
      <c r="J289" s="522"/>
      <c r="K289" s="520"/>
      <c r="L289" s="522"/>
      <c r="M289" s="522"/>
      <c r="N289" s="522"/>
      <c r="O289" s="525"/>
      <c r="P289" s="238"/>
      <c r="Q289" s="238"/>
      <c r="S289" s="238"/>
      <c r="T289" s="238"/>
      <c r="U289" s="238"/>
      <c r="V289" s="238"/>
      <c r="W289" s="238"/>
      <c r="X289" s="238"/>
      <c r="Y289" s="238"/>
      <c r="Z289" s="238"/>
      <c r="AA289" s="240"/>
      <c r="AB289" s="238"/>
      <c r="AC289" s="238"/>
      <c r="AD289" s="238"/>
      <c r="AE289" s="238"/>
      <c r="AF289" s="238"/>
      <c r="AG289" s="524"/>
      <c r="AH289" s="238"/>
      <c r="AI289" s="238"/>
      <c r="AJ289" s="238"/>
      <c r="AK289" s="238"/>
      <c r="AL289" s="238"/>
      <c r="AM289" s="238"/>
      <c r="AN289" s="238"/>
      <c r="AO289" s="238"/>
      <c r="AP289" s="238"/>
      <c r="AQ289" s="238"/>
      <c r="AR289" s="238"/>
      <c r="AS289" s="238"/>
      <c r="AT289" s="456"/>
      <c r="AU289" s="238"/>
      <c r="AV289" s="238"/>
      <c r="AW289" s="238"/>
      <c r="AX289" s="238"/>
      <c r="AY289" s="238"/>
      <c r="AZ289" s="241"/>
      <c r="BA289" s="241"/>
      <c r="BB289" s="241"/>
      <c r="BC289" s="238"/>
      <c r="BD289" s="238"/>
      <c r="BE289" s="238"/>
      <c r="BF289" s="238"/>
      <c r="BG289" s="238"/>
      <c r="BH289" s="238"/>
      <c r="BI289" s="238"/>
      <c r="BJ289" s="238"/>
      <c r="BK289" s="238"/>
      <c r="BL289" s="238"/>
      <c r="BM289" s="238"/>
      <c r="BN289" s="238"/>
      <c r="BO289" s="238"/>
      <c r="BP289" s="238"/>
      <c r="BQ289" s="238"/>
      <c r="BR289" s="238"/>
      <c r="BS289" s="238"/>
      <c r="BT289" s="238"/>
      <c r="BU289" s="238"/>
      <c r="BV289" s="238"/>
      <c r="BW289" s="238"/>
      <c r="BX289" s="238"/>
      <c r="BY289" s="238"/>
      <c r="BZ289" s="238"/>
      <c r="CA289" s="238"/>
      <c r="CB289" s="238"/>
      <c r="CC289" s="238"/>
      <c r="CD289" s="238"/>
      <c r="CE289" s="238"/>
      <c r="CF289" s="238"/>
    </row>
    <row r="290" spans="1:84">
      <c r="A290" s="534"/>
      <c r="B290" s="256"/>
      <c r="C290" s="238"/>
      <c r="D290" s="256"/>
      <c r="E290" s="256"/>
      <c r="F290" s="256"/>
      <c r="G290" s="520"/>
      <c r="H290" s="520"/>
      <c r="I290" s="520"/>
      <c r="J290" s="522"/>
      <c r="K290" s="520"/>
      <c r="L290" s="522"/>
      <c r="M290" s="522"/>
      <c r="N290" s="522"/>
      <c r="O290" s="525"/>
      <c r="P290" s="238"/>
      <c r="Q290" s="238"/>
      <c r="S290" s="238"/>
      <c r="T290" s="238"/>
      <c r="U290" s="238"/>
      <c r="V290" s="238"/>
      <c r="W290" s="238"/>
      <c r="X290" s="238"/>
      <c r="Y290" s="238"/>
      <c r="Z290" s="238"/>
      <c r="AA290" s="240"/>
      <c r="AB290" s="238"/>
      <c r="AC290" s="238"/>
      <c r="AD290" s="238"/>
      <c r="AE290" s="238"/>
      <c r="AF290" s="238"/>
      <c r="AG290" s="524"/>
      <c r="AH290" s="238"/>
      <c r="AI290" s="238"/>
      <c r="AJ290" s="238"/>
      <c r="AK290" s="238"/>
      <c r="AL290" s="238"/>
      <c r="AM290" s="238"/>
      <c r="AN290" s="238"/>
      <c r="AO290" s="238"/>
      <c r="AP290" s="238"/>
      <c r="AQ290" s="238"/>
      <c r="AR290" s="238"/>
      <c r="AS290" s="238"/>
      <c r="AT290" s="456"/>
      <c r="AU290" s="238"/>
      <c r="AV290" s="238"/>
      <c r="AW290" s="238"/>
      <c r="AX290" s="238"/>
      <c r="AY290" s="238"/>
      <c r="AZ290" s="241"/>
      <c r="BA290" s="241"/>
      <c r="BB290" s="241"/>
      <c r="BC290" s="238"/>
      <c r="BD290" s="238"/>
      <c r="BE290" s="238"/>
      <c r="BF290" s="238"/>
      <c r="BG290" s="238"/>
      <c r="BH290" s="238"/>
      <c r="BI290" s="238"/>
      <c r="BJ290" s="238"/>
      <c r="BK290" s="238"/>
      <c r="BL290" s="238"/>
      <c r="BM290" s="238"/>
      <c r="BN290" s="238"/>
      <c r="BO290" s="238"/>
      <c r="BP290" s="238"/>
      <c r="BQ290" s="238"/>
      <c r="BR290" s="238"/>
      <c r="BS290" s="238"/>
      <c r="BT290" s="238"/>
      <c r="BU290" s="238"/>
      <c r="BV290" s="238"/>
      <c r="BW290" s="238"/>
      <c r="BX290" s="238"/>
      <c r="BY290" s="238"/>
      <c r="BZ290" s="238"/>
      <c r="CA290" s="238"/>
      <c r="CB290" s="238"/>
      <c r="CC290" s="238"/>
      <c r="CD290" s="238"/>
      <c r="CE290" s="238"/>
      <c r="CF290" s="238"/>
    </row>
    <row r="291" spans="1:84">
      <c r="A291" s="534"/>
      <c r="B291" s="256"/>
      <c r="C291" s="238"/>
      <c r="D291" s="256"/>
      <c r="E291" s="256"/>
      <c r="F291" s="256"/>
      <c r="G291" s="520"/>
      <c r="H291" s="520"/>
      <c r="I291" s="520"/>
      <c r="J291" s="522"/>
      <c r="K291" s="520"/>
      <c r="L291" s="522"/>
      <c r="M291" s="522"/>
      <c r="N291" s="522"/>
      <c r="O291" s="525"/>
      <c r="P291" s="238"/>
      <c r="Q291" s="238"/>
      <c r="S291" s="238"/>
      <c r="T291" s="238"/>
      <c r="U291" s="238"/>
      <c r="V291" s="238"/>
      <c r="W291" s="238"/>
      <c r="X291" s="238"/>
      <c r="Y291" s="238"/>
      <c r="Z291" s="238"/>
      <c r="AA291" s="240"/>
      <c r="AB291" s="238"/>
      <c r="AC291" s="238"/>
      <c r="AD291" s="238"/>
      <c r="AE291" s="238"/>
      <c r="AF291" s="238"/>
      <c r="AG291" s="524"/>
      <c r="AH291" s="238"/>
      <c r="AI291" s="238"/>
      <c r="AJ291" s="238"/>
      <c r="AK291" s="238"/>
      <c r="AL291" s="238"/>
      <c r="AM291" s="238"/>
      <c r="AN291" s="238"/>
      <c r="AO291" s="238"/>
      <c r="AP291" s="238"/>
      <c r="AQ291" s="238"/>
      <c r="AR291" s="238"/>
      <c r="AS291" s="238"/>
      <c r="AT291" s="456"/>
      <c r="AU291" s="238"/>
      <c r="AV291" s="238"/>
      <c r="AW291" s="238"/>
      <c r="AX291" s="238"/>
      <c r="AY291" s="238"/>
      <c r="AZ291" s="241"/>
      <c r="BA291" s="241"/>
      <c r="BB291" s="241"/>
      <c r="BC291" s="238"/>
      <c r="BD291" s="238"/>
      <c r="BE291" s="238"/>
      <c r="BF291" s="238"/>
      <c r="BG291" s="238"/>
      <c r="BH291" s="238"/>
      <c r="BI291" s="238"/>
      <c r="BJ291" s="238"/>
      <c r="BK291" s="238"/>
      <c r="BL291" s="238"/>
      <c r="BM291" s="238"/>
      <c r="BN291" s="238"/>
      <c r="BO291" s="238"/>
      <c r="BP291" s="238"/>
      <c r="BQ291" s="238"/>
      <c r="BR291" s="238"/>
      <c r="BS291" s="238"/>
      <c r="BT291" s="238"/>
      <c r="BU291" s="238"/>
      <c r="BV291" s="238"/>
      <c r="BW291" s="238"/>
      <c r="BX291" s="238"/>
      <c r="BY291" s="238"/>
      <c r="BZ291" s="238"/>
      <c r="CA291" s="238"/>
      <c r="CB291" s="238"/>
      <c r="CC291" s="238"/>
      <c r="CD291" s="238"/>
      <c r="CE291" s="238"/>
      <c r="CF291" s="238"/>
    </row>
    <row r="292" spans="1:84">
      <c r="A292" s="534"/>
      <c r="B292" s="256"/>
      <c r="C292" s="238"/>
      <c r="D292" s="256"/>
      <c r="E292" s="256"/>
      <c r="F292" s="256"/>
      <c r="G292" s="520"/>
      <c r="H292" s="520"/>
      <c r="I292" s="520"/>
      <c r="J292" s="522"/>
      <c r="K292" s="520"/>
      <c r="L292" s="522"/>
      <c r="M292" s="522"/>
      <c r="N292" s="522"/>
      <c r="O292" s="525"/>
      <c r="P292" s="238"/>
      <c r="Q292" s="238"/>
      <c r="S292" s="238"/>
      <c r="T292" s="238"/>
      <c r="U292" s="238"/>
      <c r="V292" s="238"/>
      <c r="W292" s="238"/>
      <c r="X292" s="238"/>
      <c r="Y292" s="238"/>
      <c r="Z292" s="238"/>
      <c r="AA292" s="240"/>
      <c r="AB292" s="238"/>
      <c r="AC292" s="238"/>
      <c r="AD292" s="238"/>
      <c r="AE292" s="238"/>
      <c r="AF292" s="238"/>
      <c r="AG292" s="524"/>
      <c r="AH292" s="238"/>
      <c r="AI292" s="238"/>
      <c r="AJ292" s="238"/>
      <c r="AK292" s="238"/>
      <c r="AL292" s="238"/>
      <c r="AM292" s="238"/>
      <c r="AN292" s="238"/>
      <c r="AO292" s="238"/>
      <c r="AP292" s="238"/>
      <c r="AQ292" s="238"/>
      <c r="AR292" s="238"/>
      <c r="AS292" s="238"/>
      <c r="AT292" s="456"/>
      <c r="AU292" s="238"/>
      <c r="AV292" s="238"/>
      <c r="AW292" s="238"/>
      <c r="AX292" s="238"/>
      <c r="AY292" s="238"/>
      <c r="AZ292" s="241"/>
      <c r="BA292" s="241"/>
      <c r="BB292" s="241"/>
      <c r="BC292" s="238"/>
      <c r="BD292" s="238"/>
      <c r="BE292" s="238"/>
      <c r="BF292" s="238"/>
      <c r="BG292" s="238"/>
      <c r="BH292" s="238"/>
      <c r="BI292" s="238"/>
      <c r="BJ292" s="238"/>
      <c r="BK292" s="238"/>
      <c r="BL292" s="238"/>
      <c r="BM292" s="238"/>
      <c r="BN292" s="238"/>
      <c r="BO292" s="238"/>
      <c r="BP292" s="238"/>
      <c r="BQ292" s="238"/>
      <c r="BR292" s="238"/>
      <c r="BS292" s="238"/>
      <c r="BT292" s="238"/>
      <c r="BU292" s="238"/>
      <c r="BV292" s="238"/>
      <c r="BW292" s="238"/>
      <c r="BX292" s="238"/>
      <c r="BY292" s="238"/>
      <c r="BZ292" s="238"/>
      <c r="CA292" s="238"/>
      <c r="CB292" s="238"/>
      <c r="CC292" s="238"/>
      <c r="CD292" s="238"/>
      <c r="CE292" s="238"/>
      <c r="CF292" s="238"/>
    </row>
    <row r="293" spans="1:84">
      <c r="A293" s="534"/>
      <c r="B293" s="256"/>
      <c r="C293" s="238"/>
      <c r="D293" s="256"/>
      <c r="E293" s="256"/>
      <c r="F293" s="256"/>
      <c r="G293" s="520"/>
      <c r="H293" s="520"/>
      <c r="I293" s="520"/>
      <c r="J293" s="522"/>
      <c r="K293" s="520"/>
      <c r="L293" s="522"/>
      <c r="M293" s="522"/>
      <c r="N293" s="522"/>
      <c r="O293" s="525"/>
      <c r="P293" s="238"/>
      <c r="Q293" s="238"/>
      <c r="S293" s="238"/>
      <c r="T293" s="238"/>
      <c r="U293" s="238"/>
      <c r="V293" s="238"/>
      <c r="W293" s="238"/>
      <c r="X293" s="238"/>
      <c r="Y293" s="238"/>
      <c r="Z293" s="238"/>
      <c r="AA293" s="240"/>
      <c r="AB293" s="238"/>
      <c r="AC293" s="238"/>
      <c r="AD293" s="238"/>
      <c r="AE293" s="238"/>
      <c r="AF293" s="238"/>
      <c r="AG293" s="524"/>
      <c r="AH293" s="238"/>
      <c r="AI293" s="238"/>
      <c r="AJ293" s="238"/>
      <c r="AK293" s="238"/>
      <c r="AL293" s="238"/>
      <c r="AM293" s="238"/>
      <c r="AN293" s="238"/>
      <c r="AO293" s="238"/>
      <c r="AP293" s="238"/>
      <c r="AQ293" s="238"/>
      <c r="AR293" s="238"/>
      <c r="AS293" s="238"/>
      <c r="AT293" s="456"/>
      <c r="AU293" s="238"/>
      <c r="AV293" s="238"/>
      <c r="AW293" s="238"/>
      <c r="AX293" s="238"/>
      <c r="AY293" s="238"/>
      <c r="AZ293" s="241"/>
      <c r="BA293" s="241"/>
      <c r="BB293" s="241"/>
      <c r="BC293" s="238"/>
      <c r="BD293" s="238"/>
      <c r="BE293" s="238"/>
      <c r="BF293" s="238"/>
      <c r="BG293" s="238"/>
      <c r="BH293" s="238"/>
      <c r="BI293" s="238"/>
      <c r="BJ293" s="238"/>
      <c r="BK293" s="238"/>
      <c r="BL293" s="238"/>
      <c r="BM293" s="238"/>
      <c r="BN293" s="238"/>
      <c r="BO293" s="238"/>
      <c r="BP293" s="238"/>
      <c r="BQ293" s="238"/>
      <c r="BR293" s="238"/>
      <c r="BS293" s="238"/>
      <c r="BT293" s="238"/>
      <c r="BU293" s="238"/>
      <c r="BV293" s="238"/>
      <c r="BW293" s="238"/>
      <c r="BX293" s="238"/>
      <c r="BY293" s="238"/>
      <c r="BZ293" s="238"/>
      <c r="CA293" s="238"/>
      <c r="CB293" s="238"/>
      <c r="CC293" s="238"/>
      <c r="CD293" s="238"/>
      <c r="CE293" s="238"/>
      <c r="CF293" s="238"/>
    </row>
    <row r="294" spans="1:84">
      <c r="A294" s="534"/>
      <c r="B294" s="256"/>
      <c r="C294" s="238"/>
      <c r="D294" s="256"/>
      <c r="E294" s="256"/>
      <c r="F294" s="256"/>
      <c r="G294" s="520"/>
      <c r="H294" s="520"/>
      <c r="I294" s="520"/>
      <c r="J294" s="522"/>
      <c r="K294" s="520"/>
      <c r="L294" s="522"/>
      <c r="M294" s="522"/>
      <c r="N294" s="522"/>
      <c r="O294" s="525"/>
      <c r="P294" s="238"/>
      <c r="Q294" s="238"/>
      <c r="S294" s="238"/>
      <c r="T294" s="238"/>
      <c r="U294" s="238"/>
      <c r="V294" s="238"/>
      <c r="W294" s="238"/>
      <c r="X294" s="238"/>
      <c r="Y294" s="238"/>
      <c r="Z294" s="238"/>
      <c r="AA294" s="240"/>
      <c r="AB294" s="238"/>
      <c r="AC294" s="238"/>
      <c r="AD294" s="238"/>
      <c r="AE294" s="238"/>
      <c r="AF294" s="238"/>
      <c r="AG294" s="524"/>
      <c r="AH294" s="238"/>
      <c r="AI294" s="238"/>
      <c r="AJ294" s="238"/>
      <c r="AK294" s="238"/>
      <c r="AL294" s="238"/>
      <c r="AM294" s="238"/>
      <c r="AN294" s="238"/>
      <c r="AO294" s="238"/>
      <c r="AP294" s="238"/>
      <c r="AQ294" s="238"/>
      <c r="AR294" s="238"/>
      <c r="AS294" s="238"/>
      <c r="AT294" s="456"/>
      <c r="AU294" s="238"/>
      <c r="AV294" s="238"/>
      <c r="AW294" s="238"/>
      <c r="AX294" s="238"/>
      <c r="AY294" s="238"/>
      <c r="AZ294" s="241"/>
      <c r="BA294" s="241"/>
      <c r="BB294" s="241"/>
      <c r="BC294" s="238"/>
      <c r="BD294" s="238"/>
      <c r="BE294" s="238"/>
      <c r="BF294" s="238"/>
      <c r="BG294" s="238"/>
      <c r="BH294" s="238"/>
      <c r="BI294" s="238"/>
      <c r="BJ294" s="238"/>
      <c r="BK294" s="238"/>
      <c r="BL294" s="238"/>
      <c r="BM294" s="238"/>
      <c r="BN294" s="238"/>
      <c r="BO294" s="238"/>
      <c r="BP294" s="238"/>
      <c r="BQ294" s="238"/>
      <c r="BR294" s="238"/>
      <c r="BS294" s="238"/>
      <c r="BT294" s="238"/>
      <c r="BU294" s="238"/>
      <c r="BV294" s="238"/>
      <c r="BW294" s="238"/>
      <c r="BX294" s="238"/>
      <c r="BY294" s="238"/>
      <c r="BZ294" s="238"/>
      <c r="CA294" s="238"/>
      <c r="CB294" s="238"/>
      <c r="CC294" s="238"/>
      <c r="CD294" s="238"/>
      <c r="CE294" s="238"/>
      <c r="CF294" s="238"/>
    </row>
    <row r="295" spans="1:84">
      <c r="A295" s="534"/>
      <c r="B295" s="256"/>
      <c r="C295" s="238"/>
      <c r="D295" s="256"/>
      <c r="E295" s="256"/>
      <c r="F295" s="256"/>
      <c r="G295" s="520"/>
      <c r="H295" s="520"/>
      <c r="I295" s="520"/>
      <c r="J295" s="522"/>
      <c r="K295" s="520"/>
      <c r="L295" s="522"/>
      <c r="M295" s="522"/>
      <c r="N295" s="522"/>
      <c r="O295" s="525"/>
      <c r="P295" s="238"/>
      <c r="Q295" s="238"/>
      <c r="S295" s="238"/>
      <c r="T295" s="238"/>
      <c r="U295" s="238"/>
      <c r="V295" s="238"/>
      <c r="W295" s="238"/>
      <c r="X295" s="238"/>
      <c r="Y295" s="238"/>
      <c r="Z295" s="238"/>
      <c r="AA295" s="240"/>
      <c r="AB295" s="238"/>
      <c r="AC295" s="238"/>
      <c r="AD295" s="238"/>
      <c r="AE295" s="238"/>
      <c r="AF295" s="238"/>
      <c r="AG295" s="524"/>
      <c r="AH295" s="238"/>
      <c r="AI295" s="238"/>
      <c r="AJ295" s="238"/>
      <c r="AK295" s="238"/>
      <c r="AL295" s="238"/>
      <c r="AM295" s="238"/>
      <c r="AN295" s="238"/>
      <c r="AO295" s="238"/>
      <c r="AP295" s="238"/>
      <c r="AQ295" s="238"/>
      <c r="AR295" s="238"/>
      <c r="AS295" s="238"/>
      <c r="AT295" s="456"/>
      <c r="AU295" s="238"/>
      <c r="AV295" s="238"/>
      <c r="AW295" s="238"/>
      <c r="AX295" s="238"/>
      <c r="AY295" s="238"/>
      <c r="AZ295" s="241"/>
      <c r="BA295" s="241"/>
      <c r="BB295" s="241"/>
      <c r="BC295" s="238"/>
      <c r="BD295" s="238"/>
      <c r="BE295" s="238"/>
      <c r="BF295" s="238"/>
      <c r="BG295" s="238"/>
      <c r="BH295" s="238"/>
      <c r="BI295" s="238"/>
      <c r="BJ295" s="238"/>
      <c r="BK295" s="238"/>
      <c r="BL295" s="238"/>
      <c r="BM295" s="238"/>
      <c r="BN295" s="238"/>
      <c r="BO295" s="238"/>
      <c r="BP295" s="238"/>
      <c r="BQ295" s="238"/>
      <c r="BR295" s="238"/>
      <c r="BS295" s="238"/>
      <c r="BT295" s="238"/>
      <c r="BU295" s="238"/>
      <c r="BV295" s="238"/>
      <c r="BW295" s="238"/>
      <c r="BX295" s="238"/>
      <c r="BY295" s="238"/>
      <c r="BZ295" s="238"/>
      <c r="CA295" s="238"/>
      <c r="CB295" s="238"/>
      <c r="CC295" s="238"/>
      <c r="CD295" s="238"/>
      <c r="CE295" s="238"/>
      <c r="CF295" s="238"/>
    </row>
    <row r="296" spans="1:84">
      <c r="A296" s="534"/>
      <c r="B296" s="256"/>
      <c r="C296" s="238"/>
      <c r="D296" s="256"/>
      <c r="E296" s="256"/>
      <c r="F296" s="256"/>
      <c r="G296" s="520"/>
      <c r="H296" s="520"/>
      <c r="I296" s="520"/>
      <c r="J296" s="522"/>
      <c r="K296" s="520"/>
      <c r="L296" s="522"/>
      <c r="M296" s="522"/>
      <c r="N296" s="522"/>
      <c r="O296" s="525"/>
      <c r="P296" s="238"/>
      <c r="Q296" s="238"/>
      <c r="S296" s="238"/>
      <c r="T296" s="238"/>
      <c r="U296" s="238"/>
      <c r="V296" s="238"/>
      <c r="W296" s="238"/>
      <c r="X296" s="238"/>
      <c r="Y296" s="238"/>
      <c r="Z296" s="238"/>
      <c r="AA296" s="240"/>
      <c r="AB296" s="238"/>
      <c r="AC296" s="238"/>
      <c r="AD296" s="238"/>
      <c r="AE296" s="238"/>
      <c r="AF296" s="238"/>
      <c r="AG296" s="524"/>
      <c r="AH296" s="238"/>
      <c r="AI296" s="238"/>
      <c r="AJ296" s="238"/>
      <c r="AK296" s="238"/>
      <c r="AL296" s="238"/>
      <c r="AM296" s="238"/>
      <c r="AN296" s="238"/>
      <c r="AO296" s="238"/>
      <c r="AP296" s="238"/>
      <c r="AQ296" s="238"/>
      <c r="AR296" s="238"/>
      <c r="AS296" s="238"/>
      <c r="AT296" s="456"/>
      <c r="AU296" s="238"/>
      <c r="AV296" s="238"/>
      <c r="AW296" s="238"/>
      <c r="AX296" s="238"/>
      <c r="AY296" s="238"/>
      <c r="AZ296" s="241"/>
      <c r="BA296" s="241"/>
      <c r="BB296" s="241"/>
      <c r="BC296" s="238"/>
      <c r="BD296" s="238"/>
      <c r="BE296" s="238"/>
      <c r="BF296" s="238"/>
      <c r="BG296" s="238"/>
      <c r="BH296" s="238"/>
      <c r="BI296" s="238"/>
      <c r="BJ296" s="238"/>
      <c r="BK296" s="238"/>
      <c r="BL296" s="238"/>
      <c r="BM296" s="238"/>
      <c r="BN296" s="238"/>
      <c r="BO296" s="238"/>
      <c r="BP296" s="238"/>
      <c r="BQ296" s="238"/>
      <c r="BR296" s="238"/>
      <c r="BS296" s="238"/>
      <c r="BT296" s="238"/>
      <c r="BU296" s="238"/>
      <c r="BV296" s="238"/>
      <c r="BW296" s="238"/>
      <c r="BX296" s="238"/>
      <c r="BY296" s="238"/>
      <c r="BZ296" s="238"/>
      <c r="CA296" s="238"/>
      <c r="CB296" s="238"/>
      <c r="CC296" s="238"/>
      <c r="CD296" s="238"/>
      <c r="CE296" s="238"/>
      <c r="CF296" s="238"/>
    </row>
    <row r="297" spans="1:84">
      <c r="A297" s="534"/>
      <c r="B297" s="256"/>
      <c r="C297" s="238"/>
      <c r="D297" s="256"/>
      <c r="E297" s="256"/>
      <c r="F297" s="256"/>
      <c r="G297" s="520"/>
      <c r="H297" s="520"/>
      <c r="I297" s="520"/>
      <c r="J297" s="522"/>
      <c r="K297" s="520"/>
      <c r="L297" s="522"/>
      <c r="M297" s="522"/>
      <c r="N297" s="522"/>
      <c r="O297" s="525"/>
      <c r="P297" s="238"/>
      <c r="Q297" s="238"/>
      <c r="S297" s="238"/>
      <c r="T297" s="238"/>
      <c r="U297" s="238"/>
      <c r="V297" s="238"/>
      <c r="W297" s="238"/>
      <c r="X297" s="238"/>
      <c r="Y297" s="238"/>
      <c r="Z297" s="238"/>
      <c r="AA297" s="240"/>
      <c r="AB297" s="238"/>
      <c r="AC297" s="238"/>
      <c r="AD297" s="238"/>
      <c r="AE297" s="238"/>
      <c r="AF297" s="238"/>
      <c r="AG297" s="524"/>
      <c r="AH297" s="238"/>
      <c r="AI297" s="238"/>
      <c r="AJ297" s="238"/>
      <c r="AK297" s="238"/>
      <c r="AL297" s="238"/>
      <c r="AM297" s="238"/>
      <c r="AN297" s="238"/>
      <c r="AO297" s="238"/>
      <c r="AP297" s="238"/>
      <c r="AQ297" s="238"/>
      <c r="AR297" s="238"/>
      <c r="AS297" s="238"/>
      <c r="AT297" s="456"/>
      <c r="AU297" s="238"/>
      <c r="AV297" s="238"/>
      <c r="AW297" s="238"/>
      <c r="AX297" s="238"/>
      <c r="AY297" s="238"/>
      <c r="AZ297" s="241"/>
      <c r="BA297" s="241"/>
      <c r="BB297" s="241"/>
      <c r="BC297" s="238"/>
      <c r="BD297" s="238"/>
      <c r="BE297" s="238"/>
      <c r="BF297" s="238"/>
      <c r="BG297" s="238"/>
      <c r="BH297" s="238"/>
      <c r="BI297" s="238"/>
      <c r="BJ297" s="238"/>
      <c r="BK297" s="238"/>
      <c r="BL297" s="238"/>
      <c r="BM297" s="238"/>
      <c r="BN297" s="238"/>
      <c r="BO297" s="238"/>
      <c r="BP297" s="238"/>
      <c r="BQ297" s="238"/>
      <c r="BR297" s="238"/>
      <c r="BS297" s="238"/>
      <c r="BT297" s="238"/>
      <c r="BU297" s="238"/>
      <c r="BV297" s="238"/>
      <c r="BW297" s="238"/>
      <c r="BX297" s="238"/>
      <c r="BY297" s="238"/>
      <c r="BZ297" s="238"/>
      <c r="CA297" s="238"/>
      <c r="CB297" s="238"/>
      <c r="CC297" s="238"/>
      <c r="CD297" s="238"/>
      <c r="CE297" s="238"/>
      <c r="CF297" s="238"/>
    </row>
    <row r="298" spans="1:84">
      <c r="A298" s="534"/>
      <c r="B298" s="256"/>
      <c r="C298" s="238"/>
      <c r="D298" s="256"/>
      <c r="E298" s="256"/>
      <c r="F298" s="256"/>
      <c r="G298" s="520"/>
      <c r="H298" s="520"/>
      <c r="I298" s="520"/>
      <c r="J298" s="522"/>
      <c r="K298" s="520"/>
      <c r="L298" s="522"/>
      <c r="M298" s="522"/>
      <c r="N298" s="522"/>
      <c r="O298" s="525"/>
      <c r="P298" s="238"/>
      <c r="Q298" s="238"/>
      <c r="S298" s="238"/>
      <c r="T298" s="238"/>
      <c r="U298" s="238"/>
      <c r="V298" s="238"/>
      <c r="W298" s="238"/>
      <c r="X298" s="238"/>
      <c r="Y298" s="238"/>
      <c r="Z298" s="238"/>
      <c r="AA298" s="240"/>
      <c r="AB298" s="238"/>
      <c r="AC298" s="238"/>
      <c r="AD298" s="238"/>
      <c r="AE298" s="238"/>
      <c r="AF298" s="238"/>
      <c r="AG298" s="524"/>
      <c r="AH298" s="238"/>
      <c r="AI298" s="238"/>
      <c r="AJ298" s="238"/>
      <c r="AK298" s="238"/>
      <c r="AL298" s="238"/>
      <c r="AM298" s="238"/>
      <c r="AN298" s="238"/>
      <c r="AO298" s="238"/>
      <c r="AP298" s="238"/>
      <c r="AQ298" s="238"/>
      <c r="AR298" s="238"/>
      <c r="AS298" s="238"/>
      <c r="AT298" s="456"/>
      <c r="AU298" s="238"/>
      <c r="AV298" s="238"/>
      <c r="AW298" s="238"/>
      <c r="AX298" s="238"/>
      <c r="AY298" s="238"/>
      <c r="AZ298" s="241"/>
      <c r="BA298" s="241"/>
      <c r="BB298" s="241"/>
      <c r="BC298" s="238"/>
      <c r="BD298" s="238"/>
      <c r="BE298" s="238"/>
      <c r="BF298" s="238"/>
      <c r="BG298" s="238"/>
      <c r="BH298" s="238"/>
      <c r="BI298" s="238"/>
      <c r="BJ298" s="238"/>
      <c r="BK298" s="238"/>
      <c r="BL298" s="238"/>
      <c r="BM298" s="238"/>
      <c r="BN298" s="238"/>
      <c r="BO298" s="238"/>
      <c r="BP298" s="238"/>
      <c r="BQ298" s="238"/>
      <c r="BR298" s="238"/>
      <c r="BS298" s="238"/>
      <c r="BT298" s="238"/>
      <c r="BU298" s="238"/>
      <c r="BV298" s="238"/>
      <c r="BW298" s="238"/>
      <c r="BX298" s="238"/>
      <c r="BY298" s="238"/>
      <c r="BZ298" s="238"/>
      <c r="CA298" s="238"/>
      <c r="CB298" s="238"/>
      <c r="CC298" s="238"/>
      <c r="CD298" s="238"/>
      <c r="CE298" s="238"/>
      <c r="CF298" s="238"/>
    </row>
    <row r="299" spans="1:84">
      <c r="A299" s="534"/>
      <c r="B299" s="256"/>
      <c r="C299" s="238"/>
      <c r="D299" s="256"/>
      <c r="E299" s="256"/>
      <c r="F299" s="256"/>
      <c r="G299" s="520"/>
      <c r="H299" s="520"/>
      <c r="I299" s="520"/>
      <c r="J299" s="522"/>
      <c r="K299" s="520"/>
      <c r="L299" s="522"/>
      <c r="M299" s="522"/>
      <c r="N299" s="522"/>
      <c r="O299" s="525"/>
      <c r="P299" s="238"/>
      <c r="Q299" s="238"/>
      <c r="S299" s="238"/>
      <c r="T299" s="238"/>
      <c r="U299" s="238"/>
      <c r="V299" s="238"/>
      <c r="W299" s="238"/>
      <c r="X299" s="238"/>
      <c r="Y299" s="238"/>
      <c r="Z299" s="238"/>
      <c r="AA299" s="240"/>
      <c r="AB299" s="238"/>
      <c r="AC299" s="238"/>
      <c r="AD299" s="238"/>
      <c r="AE299" s="238"/>
      <c r="AF299" s="238"/>
      <c r="AG299" s="524"/>
      <c r="AH299" s="238"/>
      <c r="AI299" s="238"/>
      <c r="AJ299" s="238"/>
      <c r="AK299" s="238"/>
      <c r="AL299" s="238"/>
      <c r="AM299" s="238"/>
      <c r="AN299" s="238"/>
      <c r="AO299" s="238"/>
      <c r="AP299" s="238"/>
      <c r="AQ299" s="238"/>
      <c r="AR299" s="238"/>
      <c r="AS299" s="238"/>
      <c r="AT299" s="456"/>
      <c r="AU299" s="238"/>
      <c r="AV299" s="238"/>
      <c r="AW299" s="238"/>
      <c r="AX299" s="238"/>
      <c r="AY299" s="238"/>
      <c r="AZ299" s="241"/>
      <c r="BA299" s="241"/>
      <c r="BB299" s="241"/>
      <c r="BC299" s="238"/>
      <c r="BD299" s="238"/>
      <c r="BE299" s="238"/>
      <c r="BF299" s="238"/>
      <c r="BG299" s="238"/>
      <c r="BH299" s="238"/>
      <c r="BI299" s="238"/>
      <c r="BJ299" s="238"/>
      <c r="BK299" s="238"/>
      <c r="BL299" s="238"/>
      <c r="BM299" s="238"/>
      <c r="BN299" s="238"/>
      <c r="BO299" s="238"/>
      <c r="BP299" s="238"/>
      <c r="BQ299" s="238"/>
      <c r="BR299" s="238"/>
      <c r="BS299" s="238"/>
      <c r="BT299" s="238"/>
      <c r="BU299" s="238"/>
      <c r="BV299" s="238"/>
      <c r="BW299" s="238"/>
      <c r="BX299" s="238"/>
      <c r="BY299" s="238"/>
      <c r="BZ299" s="238"/>
      <c r="CA299" s="238"/>
      <c r="CB299" s="238"/>
      <c r="CC299" s="238"/>
      <c r="CD299" s="238"/>
      <c r="CE299" s="238"/>
      <c r="CF299" s="238"/>
    </row>
    <row r="300" spans="1:84">
      <c r="A300" s="534"/>
      <c r="B300" s="256"/>
      <c r="C300" s="238"/>
      <c r="D300" s="256"/>
      <c r="E300" s="256"/>
      <c r="F300" s="256"/>
      <c r="G300" s="520"/>
      <c r="H300" s="520"/>
      <c r="I300" s="520"/>
      <c r="J300" s="522"/>
      <c r="K300" s="520"/>
      <c r="L300" s="522"/>
      <c r="M300" s="522"/>
      <c r="N300" s="522"/>
      <c r="O300" s="525"/>
      <c r="P300" s="238"/>
      <c r="Q300" s="238"/>
      <c r="S300" s="238"/>
      <c r="T300" s="238"/>
      <c r="U300" s="238"/>
      <c r="V300" s="238"/>
      <c r="W300" s="238"/>
      <c r="X300" s="238"/>
      <c r="Y300" s="238"/>
      <c r="Z300" s="238"/>
      <c r="AA300" s="240"/>
      <c r="AB300" s="238"/>
      <c r="AC300" s="238"/>
      <c r="AD300" s="238"/>
      <c r="AE300" s="238"/>
      <c r="AF300" s="238"/>
      <c r="AG300" s="524"/>
      <c r="AH300" s="238"/>
      <c r="AI300" s="238"/>
      <c r="AJ300" s="238"/>
      <c r="AK300" s="238"/>
      <c r="AL300" s="238"/>
      <c r="AM300" s="238"/>
      <c r="AN300" s="238"/>
      <c r="AO300" s="238"/>
      <c r="AP300" s="238"/>
      <c r="AQ300" s="238"/>
      <c r="AR300" s="238"/>
      <c r="AS300" s="238"/>
      <c r="AT300" s="456"/>
      <c r="AU300" s="238"/>
      <c r="AV300" s="238"/>
      <c r="AW300" s="238"/>
      <c r="AX300" s="238"/>
      <c r="AY300" s="238"/>
      <c r="AZ300" s="241"/>
      <c r="BA300" s="241"/>
      <c r="BB300" s="241"/>
      <c r="BC300" s="238"/>
      <c r="BD300" s="238"/>
      <c r="BE300" s="238"/>
      <c r="BF300" s="238"/>
      <c r="BG300" s="238"/>
      <c r="BH300" s="238"/>
      <c r="BI300" s="238"/>
      <c r="BJ300" s="238"/>
      <c r="BK300" s="238"/>
      <c r="BL300" s="238"/>
      <c r="BM300" s="238"/>
      <c r="BN300" s="238"/>
      <c r="BO300" s="238"/>
      <c r="BP300" s="238"/>
      <c r="BQ300" s="238"/>
      <c r="BR300" s="238"/>
      <c r="BS300" s="238"/>
      <c r="BT300" s="238"/>
      <c r="BU300" s="238"/>
      <c r="BV300" s="238"/>
      <c r="BW300" s="238"/>
      <c r="BX300" s="238"/>
      <c r="BY300" s="238"/>
      <c r="BZ300" s="238"/>
      <c r="CA300" s="238"/>
      <c r="CB300" s="238"/>
      <c r="CC300" s="238"/>
      <c r="CD300" s="238"/>
      <c r="CE300" s="238"/>
      <c r="CF300" s="238"/>
    </row>
    <row r="301" spans="1:84">
      <c r="A301" s="534"/>
      <c r="B301" s="256"/>
      <c r="C301" s="238"/>
      <c r="D301" s="256"/>
      <c r="E301" s="256"/>
      <c r="F301" s="256"/>
      <c r="G301" s="520"/>
      <c r="H301" s="520"/>
      <c r="I301" s="520"/>
      <c r="J301" s="522"/>
      <c r="K301" s="520"/>
      <c r="L301" s="522"/>
      <c r="M301" s="522"/>
      <c r="N301" s="522"/>
      <c r="O301" s="525"/>
      <c r="P301" s="238"/>
      <c r="Q301" s="238"/>
      <c r="S301" s="238"/>
      <c r="T301" s="238"/>
      <c r="U301" s="238"/>
      <c r="V301" s="238"/>
      <c r="W301" s="238"/>
      <c r="X301" s="238"/>
      <c r="Y301" s="238"/>
      <c r="Z301" s="238"/>
      <c r="AA301" s="240"/>
      <c r="AB301" s="238"/>
      <c r="AC301" s="238"/>
      <c r="AD301" s="238"/>
      <c r="AE301" s="238"/>
      <c r="AF301" s="238"/>
      <c r="AG301" s="524"/>
      <c r="AH301" s="238"/>
      <c r="AI301" s="238"/>
      <c r="AJ301" s="238"/>
      <c r="AK301" s="238"/>
      <c r="AL301" s="238"/>
      <c r="AM301" s="238"/>
      <c r="AN301" s="238"/>
      <c r="AO301" s="238"/>
      <c r="AP301" s="238"/>
      <c r="AQ301" s="238"/>
      <c r="AR301" s="238"/>
      <c r="AS301" s="238"/>
      <c r="AT301" s="456"/>
      <c r="AU301" s="238"/>
      <c r="AV301" s="238"/>
      <c r="AW301" s="238"/>
      <c r="AX301" s="238"/>
      <c r="AY301" s="238"/>
      <c r="AZ301" s="241"/>
      <c r="BA301" s="241"/>
      <c r="BB301" s="241"/>
      <c r="BC301" s="238"/>
      <c r="BD301" s="238"/>
      <c r="BE301" s="238"/>
      <c r="BF301" s="238"/>
      <c r="BG301" s="238"/>
      <c r="BH301" s="238"/>
      <c r="BI301" s="238"/>
      <c r="BJ301" s="238"/>
      <c r="BK301" s="238"/>
      <c r="BL301" s="238"/>
      <c r="BM301" s="238"/>
      <c r="BN301" s="238"/>
      <c r="BO301" s="238"/>
      <c r="BP301" s="238"/>
      <c r="BQ301" s="238"/>
      <c r="BR301" s="238"/>
      <c r="BS301" s="238"/>
      <c r="BT301" s="238"/>
      <c r="BU301" s="238"/>
      <c r="BV301" s="238"/>
      <c r="BW301" s="238"/>
      <c r="BX301" s="238"/>
      <c r="BY301" s="238"/>
      <c r="BZ301" s="238"/>
      <c r="CA301" s="238"/>
      <c r="CB301" s="238"/>
      <c r="CC301" s="238"/>
      <c r="CD301" s="238"/>
      <c r="CE301" s="238"/>
      <c r="CF301" s="238"/>
    </row>
    <row r="302" spans="1:84">
      <c r="A302" s="534"/>
      <c r="B302" s="256"/>
      <c r="C302" s="238"/>
      <c r="D302" s="256"/>
      <c r="E302" s="256"/>
      <c r="F302" s="256"/>
      <c r="G302" s="520"/>
      <c r="H302" s="520"/>
      <c r="I302" s="520"/>
      <c r="J302" s="522"/>
      <c r="K302" s="520"/>
      <c r="L302" s="522"/>
      <c r="M302" s="522"/>
      <c r="N302" s="522"/>
      <c r="O302" s="525"/>
      <c r="P302" s="238"/>
      <c r="Q302" s="238"/>
      <c r="S302" s="238"/>
      <c r="T302" s="238"/>
      <c r="U302" s="238"/>
      <c r="V302" s="238"/>
      <c r="W302" s="238"/>
      <c r="X302" s="238"/>
      <c r="Y302" s="238"/>
      <c r="Z302" s="238"/>
      <c r="AA302" s="240"/>
      <c r="AB302" s="238"/>
      <c r="AC302" s="238"/>
      <c r="AD302" s="238"/>
      <c r="AE302" s="238"/>
      <c r="AF302" s="238"/>
      <c r="AG302" s="524"/>
      <c r="AH302" s="238"/>
      <c r="AI302" s="238"/>
      <c r="AJ302" s="238"/>
      <c r="AK302" s="238"/>
      <c r="AL302" s="238"/>
      <c r="AM302" s="238"/>
      <c r="AN302" s="238"/>
      <c r="AO302" s="238"/>
      <c r="AP302" s="238"/>
      <c r="AQ302" s="238"/>
      <c r="AR302" s="238"/>
      <c r="AS302" s="238"/>
      <c r="AT302" s="456"/>
      <c r="AU302" s="238"/>
      <c r="AV302" s="238"/>
      <c r="AW302" s="238"/>
      <c r="AX302" s="238"/>
      <c r="AY302" s="238"/>
      <c r="AZ302" s="241"/>
      <c r="BA302" s="241"/>
      <c r="BB302" s="241"/>
      <c r="BC302" s="238"/>
      <c r="BD302" s="238"/>
      <c r="BE302" s="238"/>
      <c r="BF302" s="238"/>
      <c r="BG302" s="238"/>
      <c r="BH302" s="238"/>
      <c r="BI302" s="238"/>
      <c r="BJ302" s="238"/>
      <c r="BK302" s="238"/>
      <c r="BL302" s="238"/>
      <c r="BM302" s="238"/>
      <c r="BN302" s="238"/>
      <c r="BO302" s="238"/>
      <c r="BP302" s="238"/>
      <c r="BQ302" s="238"/>
      <c r="BR302" s="238"/>
      <c r="BS302" s="238"/>
      <c r="BT302" s="238"/>
      <c r="BU302" s="238"/>
      <c r="BV302" s="238"/>
      <c r="BW302" s="238"/>
      <c r="BX302" s="238"/>
      <c r="BY302" s="238"/>
      <c r="BZ302" s="238"/>
      <c r="CA302" s="238"/>
      <c r="CB302" s="238"/>
      <c r="CC302" s="238"/>
      <c r="CD302" s="238"/>
      <c r="CE302" s="238"/>
      <c r="CF302" s="238"/>
    </row>
    <row r="303" spans="1:84">
      <c r="A303" s="534"/>
      <c r="B303" s="256"/>
      <c r="C303" s="238"/>
      <c r="D303" s="256"/>
      <c r="E303" s="256"/>
      <c r="F303" s="256"/>
      <c r="G303" s="520"/>
      <c r="H303" s="520"/>
      <c r="I303" s="520"/>
      <c r="J303" s="522"/>
      <c r="K303" s="520"/>
      <c r="L303" s="522"/>
      <c r="M303" s="522"/>
      <c r="N303" s="522"/>
      <c r="O303" s="525"/>
      <c r="P303" s="238"/>
      <c r="Q303" s="238"/>
      <c r="S303" s="238"/>
      <c r="T303" s="238"/>
      <c r="U303" s="238"/>
      <c r="V303" s="238"/>
      <c r="W303" s="238"/>
      <c r="X303" s="238"/>
      <c r="Y303" s="238"/>
      <c r="Z303" s="238"/>
      <c r="AA303" s="240"/>
      <c r="AB303" s="238"/>
      <c r="AC303" s="238"/>
      <c r="AD303" s="238"/>
      <c r="AE303" s="238"/>
      <c r="AF303" s="238"/>
      <c r="AG303" s="524"/>
      <c r="AH303" s="238"/>
      <c r="AI303" s="238"/>
      <c r="AJ303" s="238"/>
      <c r="AK303" s="238"/>
      <c r="AL303" s="238"/>
      <c r="AM303" s="238"/>
      <c r="AN303" s="238"/>
      <c r="AO303" s="238"/>
      <c r="AP303" s="238"/>
      <c r="AQ303" s="238"/>
      <c r="AR303" s="238"/>
      <c r="AS303" s="238"/>
      <c r="AT303" s="456"/>
      <c r="AU303" s="238"/>
      <c r="AV303" s="238"/>
      <c r="AW303" s="238"/>
      <c r="AX303" s="238"/>
      <c r="AY303" s="238"/>
      <c r="AZ303" s="241"/>
      <c r="BA303" s="241"/>
      <c r="BB303" s="241"/>
      <c r="BC303" s="238"/>
      <c r="BD303" s="238"/>
      <c r="BE303" s="238"/>
      <c r="BF303" s="238"/>
      <c r="BG303" s="238"/>
      <c r="BH303" s="238"/>
      <c r="BI303" s="238"/>
      <c r="BJ303" s="238"/>
      <c r="BK303" s="238"/>
      <c r="BL303" s="238"/>
      <c r="BM303" s="238"/>
      <c r="BN303" s="238"/>
      <c r="BO303" s="238"/>
      <c r="BP303" s="238"/>
      <c r="BQ303" s="238"/>
      <c r="BR303" s="238"/>
      <c r="BS303" s="238"/>
      <c r="BT303" s="238"/>
      <c r="BU303" s="238"/>
      <c r="BV303" s="238"/>
      <c r="BW303" s="238"/>
      <c r="BX303" s="238"/>
      <c r="BY303" s="238"/>
      <c r="BZ303" s="238"/>
      <c r="CA303" s="238"/>
      <c r="CB303" s="238"/>
      <c r="CC303" s="238"/>
      <c r="CD303" s="238"/>
      <c r="CE303" s="238"/>
      <c r="CF303" s="238"/>
    </row>
    <row r="304" spans="1:84">
      <c r="A304" s="534"/>
      <c r="B304" s="256"/>
      <c r="C304" s="238"/>
      <c r="D304" s="256"/>
      <c r="E304" s="256"/>
      <c r="F304" s="256"/>
      <c r="G304" s="520"/>
      <c r="H304" s="520"/>
      <c r="I304" s="520"/>
      <c r="J304" s="522"/>
      <c r="K304" s="520"/>
      <c r="L304" s="522"/>
      <c r="M304" s="522"/>
      <c r="N304" s="522"/>
      <c r="O304" s="525"/>
      <c r="P304" s="238"/>
      <c r="Q304" s="238"/>
      <c r="S304" s="238"/>
      <c r="T304" s="238"/>
      <c r="U304" s="238"/>
      <c r="V304" s="238"/>
      <c r="W304" s="238"/>
      <c r="X304" s="238"/>
      <c r="Y304" s="238"/>
      <c r="Z304" s="238"/>
      <c r="AA304" s="240"/>
      <c r="AB304" s="238"/>
      <c r="AC304" s="238"/>
      <c r="AD304" s="238"/>
      <c r="AE304" s="238"/>
      <c r="AF304" s="238"/>
      <c r="AG304" s="524"/>
      <c r="AH304" s="238"/>
      <c r="AI304" s="238"/>
      <c r="AJ304" s="238"/>
      <c r="AK304" s="238"/>
      <c r="AL304" s="238"/>
      <c r="AM304" s="238"/>
      <c r="AN304" s="238"/>
      <c r="AO304" s="238"/>
      <c r="AP304" s="238"/>
      <c r="AQ304" s="238"/>
      <c r="AR304" s="238"/>
      <c r="AS304" s="238"/>
      <c r="AT304" s="456"/>
      <c r="AU304" s="238"/>
      <c r="AV304" s="238"/>
      <c r="AW304" s="238"/>
      <c r="AX304" s="238"/>
      <c r="AY304" s="238"/>
      <c r="AZ304" s="241"/>
      <c r="BA304" s="241"/>
      <c r="BB304" s="241"/>
      <c r="BC304" s="238"/>
      <c r="BD304" s="238"/>
      <c r="BE304" s="238"/>
      <c r="BF304" s="238"/>
      <c r="BG304" s="238"/>
      <c r="BH304" s="238"/>
      <c r="BI304" s="238"/>
      <c r="BJ304" s="238"/>
      <c r="BK304" s="238"/>
      <c r="BL304" s="238"/>
      <c r="BM304" s="238"/>
      <c r="BN304" s="238"/>
      <c r="BO304" s="238"/>
      <c r="BP304" s="238"/>
      <c r="BQ304" s="238"/>
      <c r="BR304" s="238"/>
      <c r="BS304" s="238"/>
      <c r="BT304" s="238"/>
      <c r="BU304" s="238"/>
      <c r="BV304" s="238"/>
      <c r="BW304" s="238"/>
      <c r="BX304" s="238"/>
      <c r="BY304" s="238"/>
      <c r="BZ304" s="238"/>
      <c r="CA304" s="238"/>
      <c r="CB304" s="238"/>
      <c r="CC304" s="238"/>
      <c r="CD304" s="238"/>
      <c r="CE304" s="238"/>
      <c r="CF304" s="238"/>
    </row>
    <row r="305" spans="1:84">
      <c r="A305" s="534"/>
      <c r="B305" s="256"/>
      <c r="C305" s="238"/>
      <c r="D305" s="256"/>
      <c r="E305" s="256"/>
      <c r="F305" s="256"/>
      <c r="G305" s="520"/>
      <c r="H305" s="520"/>
      <c r="I305" s="520"/>
      <c r="J305" s="522"/>
      <c r="K305" s="520"/>
      <c r="L305" s="522"/>
      <c r="M305" s="522"/>
      <c r="N305" s="522"/>
      <c r="O305" s="525"/>
      <c r="P305" s="238"/>
      <c r="Q305" s="238"/>
      <c r="S305" s="238"/>
      <c r="T305" s="238"/>
      <c r="U305" s="238"/>
      <c r="V305" s="238"/>
      <c r="W305" s="238"/>
      <c r="X305" s="238"/>
      <c r="Y305" s="238"/>
      <c r="Z305" s="238"/>
      <c r="AA305" s="240"/>
      <c r="AB305" s="238"/>
      <c r="AC305" s="238"/>
      <c r="AD305" s="238"/>
      <c r="AE305" s="238"/>
      <c r="AF305" s="238"/>
      <c r="AG305" s="524"/>
      <c r="AH305" s="238"/>
      <c r="AI305" s="238"/>
      <c r="AJ305" s="238"/>
      <c r="AK305" s="238"/>
      <c r="AL305" s="238"/>
      <c r="AM305" s="238"/>
      <c r="AN305" s="238"/>
      <c r="AO305" s="238"/>
      <c r="AP305" s="238"/>
      <c r="AQ305" s="238"/>
      <c r="AR305" s="238"/>
      <c r="AS305" s="238"/>
      <c r="AT305" s="456"/>
      <c r="AU305" s="238"/>
      <c r="AV305" s="238"/>
      <c r="AW305" s="238"/>
      <c r="AX305" s="238"/>
      <c r="AY305" s="238"/>
      <c r="AZ305" s="241"/>
      <c r="BA305" s="241"/>
      <c r="BB305" s="241"/>
      <c r="BC305" s="238"/>
      <c r="BD305" s="238"/>
      <c r="BE305" s="238"/>
      <c r="BF305" s="238"/>
      <c r="BG305" s="238"/>
      <c r="BH305" s="238"/>
      <c r="BI305" s="238"/>
      <c r="BJ305" s="238"/>
      <c r="BK305" s="238"/>
      <c r="BL305" s="238"/>
      <c r="BM305" s="238"/>
      <c r="BN305" s="238"/>
      <c r="BO305" s="238"/>
      <c r="BP305" s="238"/>
      <c r="BQ305" s="238"/>
      <c r="BR305" s="238"/>
      <c r="BS305" s="238"/>
      <c r="BT305" s="238"/>
      <c r="BU305" s="238"/>
      <c r="BV305" s="238"/>
      <c r="BW305" s="238"/>
      <c r="BX305" s="238"/>
      <c r="BY305" s="238"/>
      <c r="BZ305" s="238"/>
      <c r="CA305" s="238"/>
      <c r="CB305" s="238"/>
      <c r="CC305" s="238"/>
      <c r="CD305" s="238"/>
      <c r="CE305" s="238"/>
      <c r="CF305" s="238"/>
    </row>
    <row r="306" spans="1:84">
      <c r="A306" s="534"/>
      <c r="B306" s="256"/>
      <c r="C306" s="238"/>
      <c r="D306" s="256"/>
      <c r="E306" s="256"/>
      <c r="F306" s="256"/>
      <c r="G306" s="520"/>
      <c r="H306" s="520"/>
      <c r="I306" s="520"/>
      <c r="J306" s="522"/>
      <c r="K306" s="520"/>
      <c r="L306" s="522"/>
      <c r="M306" s="522"/>
      <c r="N306" s="522"/>
      <c r="O306" s="525"/>
      <c r="P306" s="238"/>
      <c r="Q306" s="238"/>
      <c r="S306" s="238"/>
      <c r="T306" s="238"/>
      <c r="U306" s="238"/>
      <c r="V306" s="238"/>
      <c r="W306" s="238"/>
      <c r="X306" s="238"/>
      <c r="Y306" s="238"/>
      <c r="Z306" s="238"/>
      <c r="AA306" s="240"/>
      <c r="AB306" s="238"/>
      <c r="AC306" s="238"/>
      <c r="AD306" s="238"/>
      <c r="AE306" s="238"/>
      <c r="AF306" s="238"/>
      <c r="AG306" s="524"/>
      <c r="AH306" s="238"/>
      <c r="AI306" s="238"/>
      <c r="AJ306" s="238"/>
      <c r="AK306" s="238"/>
      <c r="AL306" s="238"/>
      <c r="AM306" s="238"/>
      <c r="AN306" s="238"/>
      <c r="AO306" s="238"/>
      <c r="AP306" s="238"/>
      <c r="AQ306" s="238"/>
      <c r="AR306" s="238"/>
      <c r="AS306" s="238"/>
      <c r="AT306" s="456"/>
      <c r="AU306" s="238"/>
      <c r="AV306" s="238"/>
      <c r="AW306" s="238"/>
      <c r="AX306" s="238"/>
      <c r="AY306" s="238"/>
      <c r="AZ306" s="241"/>
      <c r="BA306" s="241"/>
      <c r="BB306" s="241"/>
      <c r="BC306" s="238"/>
      <c r="BD306" s="238"/>
      <c r="BE306" s="238"/>
      <c r="BF306" s="238"/>
      <c r="BG306" s="238"/>
      <c r="BH306" s="238"/>
      <c r="BI306" s="238"/>
      <c r="BJ306" s="238"/>
      <c r="BK306" s="238"/>
      <c r="BL306" s="238"/>
      <c r="BM306" s="238"/>
      <c r="BN306" s="238"/>
      <c r="BO306" s="238"/>
      <c r="BP306" s="238"/>
      <c r="BQ306" s="238"/>
      <c r="BR306" s="238"/>
      <c r="BS306" s="238"/>
      <c r="BT306" s="238"/>
      <c r="BU306" s="238"/>
      <c r="BV306" s="238"/>
      <c r="BW306" s="238"/>
      <c r="BX306" s="238"/>
      <c r="BY306" s="238"/>
      <c r="BZ306" s="238"/>
      <c r="CA306" s="238"/>
      <c r="CB306" s="238"/>
      <c r="CC306" s="238"/>
      <c r="CD306" s="238"/>
      <c r="CE306" s="238"/>
      <c r="CF306" s="238"/>
    </row>
    <row r="307" spans="1:84">
      <c r="A307" s="534"/>
      <c r="B307" s="256"/>
      <c r="C307" s="238"/>
      <c r="D307" s="256"/>
      <c r="E307" s="256"/>
      <c r="F307" s="256"/>
      <c r="G307" s="520"/>
      <c r="H307" s="520"/>
      <c r="I307" s="520"/>
      <c r="J307" s="522"/>
      <c r="K307" s="520"/>
      <c r="L307" s="522"/>
      <c r="M307" s="522"/>
      <c r="N307" s="522"/>
      <c r="O307" s="525"/>
      <c r="P307" s="238"/>
      <c r="Q307" s="238"/>
      <c r="S307" s="238"/>
      <c r="T307" s="238"/>
      <c r="U307" s="238"/>
      <c r="V307" s="238"/>
      <c r="W307" s="238"/>
      <c r="X307" s="238"/>
      <c r="Y307" s="238"/>
      <c r="Z307" s="238"/>
      <c r="AA307" s="240"/>
      <c r="AB307" s="238"/>
      <c r="AC307" s="238"/>
      <c r="AD307" s="238"/>
      <c r="AE307" s="238"/>
      <c r="AF307" s="238"/>
      <c r="AG307" s="524"/>
      <c r="AH307" s="238"/>
      <c r="AI307" s="238"/>
      <c r="AJ307" s="238"/>
      <c r="AK307" s="238"/>
      <c r="AL307" s="238"/>
      <c r="AM307" s="238"/>
      <c r="AN307" s="238"/>
      <c r="AO307" s="238"/>
      <c r="AP307" s="238"/>
      <c r="AQ307" s="238"/>
      <c r="AR307" s="238"/>
      <c r="AS307" s="238"/>
      <c r="AT307" s="456"/>
      <c r="AU307" s="238"/>
      <c r="AV307" s="238"/>
      <c r="AW307" s="238"/>
      <c r="AX307" s="238"/>
      <c r="AY307" s="238"/>
      <c r="AZ307" s="241"/>
      <c r="BA307" s="241"/>
      <c r="BB307" s="241"/>
      <c r="BC307" s="238"/>
      <c r="BD307" s="238"/>
      <c r="BE307" s="238"/>
      <c r="BF307" s="238"/>
      <c r="BG307" s="238"/>
      <c r="BH307" s="238"/>
      <c r="BI307" s="238"/>
      <c r="BJ307" s="238"/>
      <c r="BK307" s="238"/>
      <c r="BL307" s="238"/>
      <c r="BM307" s="238"/>
      <c r="BN307" s="238"/>
      <c r="BO307" s="238"/>
      <c r="BP307" s="238"/>
      <c r="BQ307" s="238"/>
      <c r="BR307" s="238"/>
      <c r="BS307" s="238"/>
      <c r="BT307" s="238"/>
      <c r="BU307" s="238"/>
      <c r="BV307" s="238"/>
      <c r="BW307" s="238"/>
      <c r="BX307" s="238"/>
      <c r="BY307" s="238"/>
      <c r="BZ307" s="238"/>
      <c r="CA307" s="238"/>
      <c r="CB307" s="238"/>
      <c r="CC307" s="238"/>
      <c r="CD307" s="238"/>
      <c r="CE307" s="238"/>
      <c r="CF307" s="238"/>
    </row>
    <row r="308" spans="1:84">
      <c r="A308" s="534"/>
      <c r="B308" s="256"/>
      <c r="C308" s="238"/>
      <c r="D308" s="256"/>
      <c r="E308" s="256"/>
      <c r="F308" s="256"/>
      <c r="G308" s="520"/>
      <c r="H308" s="520"/>
      <c r="I308" s="520"/>
      <c r="J308" s="522"/>
      <c r="K308" s="520"/>
      <c r="L308" s="522"/>
      <c r="M308" s="522"/>
      <c r="N308" s="522"/>
      <c r="O308" s="525"/>
      <c r="P308" s="238"/>
      <c r="Q308" s="238"/>
      <c r="S308" s="238"/>
      <c r="T308" s="238"/>
      <c r="U308" s="238"/>
      <c r="V308" s="238"/>
      <c r="W308" s="238"/>
      <c r="X308" s="238"/>
      <c r="Y308" s="238"/>
      <c r="Z308" s="238"/>
      <c r="AA308" s="240"/>
      <c r="AB308" s="238"/>
      <c r="AC308" s="238"/>
      <c r="AD308" s="238"/>
      <c r="AE308" s="238"/>
      <c r="AF308" s="238"/>
      <c r="AG308" s="524"/>
      <c r="AH308" s="238"/>
      <c r="AI308" s="238"/>
      <c r="AJ308" s="238"/>
      <c r="AK308" s="238"/>
      <c r="AL308" s="238"/>
      <c r="AM308" s="238"/>
      <c r="AN308" s="238"/>
      <c r="AO308" s="238"/>
      <c r="AP308" s="238"/>
      <c r="AQ308" s="238"/>
      <c r="AR308" s="238"/>
      <c r="AS308" s="238"/>
      <c r="AT308" s="456"/>
      <c r="AU308" s="238"/>
      <c r="AV308" s="238"/>
      <c r="AW308" s="238"/>
      <c r="AX308" s="238"/>
      <c r="AY308" s="238"/>
      <c r="AZ308" s="241"/>
      <c r="BA308" s="241"/>
      <c r="BB308" s="241"/>
      <c r="BC308" s="238"/>
      <c r="BD308" s="238"/>
      <c r="BE308" s="238"/>
      <c r="BF308" s="238"/>
      <c r="BG308" s="238"/>
      <c r="BH308" s="238"/>
      <c r="BI308" s="238"/>
      <c r="BJ308" s="238"/>
      <c r="BK308" s="238"/>
      <c r="BL308" s="238"/>
      <c r="BM308" s="238"/>
      <c r="BN308" s="238"/>
      <c r="BO308" s="238"/>
      <c r="BP308" s="238"/>
      <c r="BQ308" s="238"/>
      <c r="BR308" s="238"/>
      <c r="BS308" s="238"/>
      <c r="BT308" s="238"/>
      <c r="BU308" s="238"/>
      <c r="BV308" s="238"/>
      <c r="BW308" s="238"/>
      <c r="BX308" s="238"/>
      <c r="BY308" s="238"/>
      <c r="BZ308" s="238"/>
      <c r="CA308" s="238"/>
      <c r="CB308" s="238"/>
      <c r="CC308" s="238"/>
      <c r="CD308" s="238"/>
      <c r="CE308" s="238"/>
      <c r="CF308" s="238"/>
    </row>
    <row r="309" spans="1:84">
      <c r="A309" s="534"/>
      <c r="B309" s="256"/>
      <c r="C309" s="238"/>
      <c r="D309" s="256"/>
      <c r="E309" s="256"/>
      <c r="F309" s="256"/>
      <c r="G309" s="520"/>
      <c r="H309" s="520"/>
      <c r="I309" s="520"/>
      <c r="J309" s="522"/>
      <c r="K309" s="520"/>
      <c r="L309" s="522"/>
      <c r="M309" s="522"/>
      <c r="N309" s="522"/>
      <c r="O309" s="525"/>
      <c r="P309" s="238"/>
      <c r="Q309" s="238"/>
      <c r="S309" s="238"/>
      <c r="T309" s="238"/>
      <c r="U309" s="238"/>
      <c r="V309" s="238"/>
      <c r="W309" s="238"/>
      <c r="X309" s="238"/>
      <c r="Y309" s="238"/>
      <c r="Z309" s="238"/>
      <c r="AA309" s="240"/>
      <c r="AB309" s="238"/>
      <c r="AC309" s="238"/>
      <c r="AD309" s="238"/>
      <c r="AE309" s="238"/>
      <c r="AF309" s="238"/>
      <c r="AG309" s="524"/>
      <c r="AH309" s="238"/>
      <c r="AI309" s="238"/>
      <c r="AJ309" s="238"/>
      <c r="AK309" s="238"/>
      <c r="AL309" s="238"/>
      <c r="AM309" s="238"/>
      <c r="AN309" s="238"/>
      <c r="AO309" s="238"/>
      <c r="AP309" s="238"/>
      <c r="AQ309" s="238"/>
      <c r="AR309" s="238"/>
      <c r="AS309" s="238"/>
      <c r="AT309" s="456"/>
      <c r="AU309" s="238"/>
      <c r="AV309" s="238"/>
      <c r="AW309" s="238"/>
      <c r="AX309" s="238"/>
      <c r="AY309" s="238"/>
      <c r="AZ309" s="241"/>
      <c r="BA309" s="241"/>
      <c r="BB309" s="241"/>
      <c r="BC309" s="238"/>
      <c r="BD309" s="238"/>
      <c r="BE309" s="238"/>
      <c r="BF309" s="238"/>
      <c r="BG309" s="238"/>
      <c r="BH309" s="238"/>
      <c r="BI309" s="238"/>
      <c r="BJ309" s="238"/>
      <c r="BK309" s="238"/>
      <c r="BL309" s="238"/>
      <c r="BM309" s="238"/>
      <c r="BN309" s="238"/>
      <c r="BO309" s="238"/>
      <c r="BP309" s="238"/>
      <c r="BQ309" s="238"/>
      <c r="BR309" s="238"/>
      <c r="BS309" s="238"/>
      <c r="BT309" s="238"/>
      <c r="BU309" s="238"/>
      <c r="BV309" s="238"/>
      <c r="BW309" s="238"/>
      <c r="BX309" s="238"/>
      <c r="BY309" s="238"/>
      <c r="BZ309" s="238"/>
      <c r="CA309" s="238"/>
      <c r="CB309" s="238"/>
      <c r="CC309" s="238"/>
      <c r="CD309" s="238"/>
      <c r="CE309" s="238"/>
      <c r="CF309" s="238"/>
    </row>
    <row r="310" spans="1:84">
      <c r="A310" s="534"/>
      <c r="B310" s="256"/>
      <c r="C310" s="238"/>
      <c r="D310" s="256"/>
      <c r="E310" s="256"/>
      <c r="F310" s="256"/>
      <c r="G310" s="520"/>
      <c r="H310" s="520"/>
      <c r="I310" s="520"/>
      <c r="J310" s="522"/>
      <c r="K310" s="520"/>
      <c r="L310" s="522"/>
      <c r="M310" s="522"/>
      <c r="N310" s="522"/>
      <c r="O310" s="525"/>
      <c r="P310" s="238"/>
      <c r="Q310" s="238"/>
      <c r="S310" s="238"/>
      <c r="T310" s="238"/>
      <c r="U310" s="238"/>
      <c r="V310" s="238"/>
      <c r="W310" s="238"/>
      <c r="X310" s="238"/>
      <c r="Y310" s="238"/>
      <c r="Z310" s="238"/>
      <c r="AA310" s="240"/>
      <c r="AB310" s="238"/>
      <c r="AC310" s="238"/>
      <c r="AD310" s="238"/>
      <c r="AE310" s="238"/>
      <c r="AF310" s="238"/>
      <c r="AG310" s="524"/>
      <c r="AH310" s="238"/>
      <c r="AI310" s="238"/>
      <c r="AJ310" s="238"/>
      <c r="AK310" s="238"/>
      <c r="AL310" s="238"/>
      <c r="AM310" s="238"/>
      <c r="AN310" s="238"/>
      <c r="AO310" s="238"/>
      <c r="AP310" s="238"/>
      <c r="AQ310" s="238"/>
      <c r="AR310" s="238"/>
      <c r="AS310" s="238"/>
      <c r="AT310" s="456"/>
      <c r="AU310" s="238"/>
      <c r="AV310" s="238"/>
      <c r="AW310" s="238"/>
      <c r="AX310" s="238"/>
      <c r="AY310" s="238"/>
      <c r="AZ310" s="241"/>
      <c r="BA310" s="241"/>
      <c r="BB310" s="241"/>
      <c r="BC310" s="238"/>
      <c r="BD310" s="238"/>
      <c r="BE310" s="238"/>
      <c r="BF310" s="238"/>
      <c r="BG310" s="238"/>
      <c r="BH310" s="238"/>
      <c r="BI310" s="238"/>
      <c r="BJ310" s="238"/>
      <c r="BK310" s="238"/>
      <c r="BL310" s="238"/>
      <c r="BM310" s="238"/>
      <c r="BN310" s="238"/>
      <c r="BO310" s="238"/>
      <c r="BP310" s="238"/>
      <c r="BQ310" s="238"/>
      <c r="BR310" s="238"/>
      <c r="BS310" s="238"/>
      <c r="BT310" s="238"/>
      <c r="BU310" s="238"/>
      <c r="BV310" s="238"/>
      <c r="BW310" s="238"/>
      <c r="BX310" s="238"/>
      <c r="BY310" s="238"/>
      <c r="BZ310" s="238"/>
      <c r="CA310" s="238"/>
      <c r="CB310" s="238"/>
      <c r="CC310" s="238"/>
      <c r="CD310" s="238"/>
      <c r="CE310" s="238"/>
      <c r="CF310" s="238"/>
    </row>
    <row r="311" spans="1:84">
      <c r="A311" s="534"/>
      <c r="B311" s="256"/>
      <c r="C311" s="238"/>
      <c r="D311" s="256"/>
      <c r="E311" s="256"/>
      <c r="F311" s="256"/>
      <c r="G311" s="520"/>
      <c r="H311" s="520"/>
      <c r="I311" s="520"/>
      <c r="J311" s="522"/>
      <c r="K311" s="520"/>
      <c r="L311" s="522"/>
      <c r="M311" s="522"/>
      <c r="N311" s="522"/>
      <c r="O311" s="525"/>
      <c r="P311" s="238"/>
      <c r="Q311" s="238"/>
      <c r="S311" s="238"/>
      <c r="T311" s="238"/>
      <c r="U311" s="238"/>
      <c r="V311" s="238"/>
      <c r="W311" s="238"/>
      <c r="X311" s="238"/>
      <c r="Y311" s="238"/>
      <c r="Z311" s="238"/>
      <c r="AA311" s="240"/>
      <c r="AB311" s="238"/>
      <c r="AC311" s="238"/>
      <c r="AD311" s="238"/>
      <c r="AE311" s="238"/>
      <c r="AF311" s="238"/>
      <c r="AG311" s="524"/>
      <c r="AH311" s="238"/>
      <c r="AI311" s="238"/>
      <c r="AJ311" s="238"/>
      <c r="AK311" s="238"/>
      <c r="AL311" s="238"/>
      <c r="AM311" s="238"/>
      <c r="AN311" s="238"/>
      <c r="AO311" s="238"/>
      <c r="AP311" s="238"/>
      <c r="AQ311" s="238"/>
      <c r="AR311" s="238"/>
      <c r="AS311" s="238"/>
      <c r="AT311" s="456"/>
      <c r="AU311" s="238"/>
      <c r="AV311" s="238"/>
      <c r="AW311" s="238"/>
      <c r="AX311" s="238"/>
      <c r="AY311" s="238"/>
      <c r="AZ311" s="241"/>
      <c r="BA311" s="241"/>
      <c r="BB311" s="241"/>
      <c r="BC311" s="238"/>
      <c r="BD311" s="238"/>
      <c r="BE311" s="238"/>
      <c r="BF311" s="238"/>
      <c r="BG311" s="238"/>
      <c r="BH311" s="238"/>
      <c r="BI311" s="238"/>
      <c r="BJ311" s="238"/>
      <c r="BK311" s="238"/>
      <c r="BL311" s="238"/>
      <c r="BM311" s="238"/>
      <c r="BN311" s="238"/>
      <c r="BO311" s="238"/>
      <c r="BP311" s="238"/>
      <c r="BQ311" s="238"/>
      <c r="BR311" s="238"/>
      <c r="BS311" s="238"/>
      <c r="BT311" s="238"/>
      <c r="BU311" s="238"/>
      <c r="BV311" s="238"/>
      <c r="BW311" s="238"/>
      <c r="BX311" s="238"/>
      <c r="BY311" s="238"/>
      <c r="BZ311" s="238"/>
      <c r="CA311" s="238"/>
      <c r="CB311" s="238"/>
      <c r="CC311" s="238"/>
      <c r="CD311" s="238"/>
      <c r="CE311" s="238"/>
      <c r="CF311" s="238"/>
    </row>
    <row r="312" spans="1:84">
      <c r="A312" s="534"/>
      <c r="B312" s="256"/>
      <c r="C312" s="238"/>
      <c r="D312" s="256"/>
      <c r="E312" s="256"/>
      <c r="F312" s="256"/>
      <c r="G312" s="520"/>
      <c r="H312" s="520"/>
      <c r="I312" s="520"/>
      <c r="J312" s="522"/>
      <c r="K312" s="520"/>
      <c r="L312" s="522"/>
      <c r="M312" s="522"/>
      <c r="N312" s="522"/>
      <c r="O312" s="525"/>
      <c r="P312" s="238"/>
      <c r="Q312" s="238"/>
      <c r="S312" s="238"/>
      <c r="T312" s="238"/>
      <c r="U312" s="238"/>
      <c r="V312" s="238"/>
      <c r="W312" s="238"/>
      <c r="X312" s="238"/>
      <c r="Y312" s="238"/>
      <c r="Z312" s="238"/>
      <c r="AA312" s="240"/>
      <c r="AB312" s="238"/>
      <c r="AC312" s="238"/>
      <c r="AD312" s="238"/>
      <c r="AE312" s="238"/>
      <c r="AF312" s="238"/>
      <c r="AG312" s="524"/>
      <c r="AH312" s="238"/>
      <c r="AI312" s="238"/>
      <c r="AJ312" s="238"/>
      <c r="AK312" s="238"/>
      <c r="AL312" s="238"/>
      <c r="AM312" s="238"/>
      <c r="AN312" s="238"/>
      <c r="AO312" s="238"/>
      <c r="AP312" s="238"/>
      <c r="AQ312" s="238"/>
      <c r="AR312" s="238"/>
      <c r="AS312" s="238"/>
      <c r="AT312" s="456"/>
      <c r="AU312" s="238"/>
      <c r="AV312" s="238"/>
      <c r="AW312" s="238"/>
      <c r="AX312" s="238"/>
      <c r="AY312" s="238"/>
      <c r="AZ312" s="241"/>
      <c r="BA312" s="241"/>
      <c r="BB312" s="241"/>
      <c r="BC312" s="238"/>
      <c r="BD312" s="238"/>
      <c r="BE312" s="238"/>
      <c r="BF312" s="238"/>
      <c r="BG312" s="238"/>
      <c r="BH312" s="238"/>
      <c r="BI312" s="238"/>
      <c r="BJ312" s="238"/>
      <c r="BK312" s="238"/>
      <c r="BL312" s="238"/>
      <c r="BM312" s="238"/>
      <c r="BN312" s="238"/>
      <c r="BO312" s="238"/>
      <c r="BP312" s="238"/>
      <c r="BQ312" s="238"/>
      <c r="BR312" s="238"/>
      <c r="BS312" s="238"/>
      <c r="BT312" s="238"/>
      <c r="BU312" s="238"/>
      <c r="BV312" s="238"/>
      <c r="BW312" s="238"/>
      <c r="BX312" s="238"/>
      <c r="BY312" s="238"/>
      <c r="BZ312" s="238"/>
      <c r="CA312" s="238"/>
      <c r="CB312" s="238"/>
      <c r="CC312" s="238"/>
      <c r="CD312" s="238"/>
      <c r="CE312" s="238"/>
      <c r="CF312" s="238"/>
    </row>
    <row r="313" spans="1:84">
      <c r="A313" s="534"/>
      <c r="B313" s="256"/>
      <c r="C313" s="238"/>
      <c r="D313" s="256"/>
      <c r="E313" s="256"/>
      <c r="F313" s="256"/>
      <c r="G313" s="520"/>
      <c r="H313" s="520"/>
      <c r="I313" s="520"/>
      <c r="J313" s="522"/>
      <c r="K313" s="520"/>
      <c r="L313" s="522"/>
      <c r="M313" s="522"/>
      <c r="N313" s="522"/>
      <c r="O313" s="525"/>
      <c r="P313" s="238"/>
      <c r="Q313" s="238"/>
      <c r="S313" s="238"/>
      <c r="T313" s="238"/>
      <c r="U313" s="238"/>
      <c r="V313" s="238"/>
      <c r="W313" s="238"/>
      <c r="X313" s="238"/>
      <c r="Y313" s="238"/>
      <c r="Z313" s="238"/>
      <c r="AA313" s="240"/>
      <c r="AB313" s="238"/>
      <c r="AC313" s="238"/>
      <c r="AD313" s="238"/>
      <c r="AE313" s="238"/>
      <c r="AF313" s="238"/>
      <c r="AG313" s="524"/>
      <c r="AH313" s="238"/>
      <c r="AI313" s="238"/>
      <c r="AJ313" s="238"/>
      <c r="AK313" s="238"/>
      <c r="AL313" s="238"/>
      <c r="AM313" s="238"/>
      <c r="AN313" s="238"/>
      <c r="AO313" s="238"/>
      <c r="AP313" s="238"/>
      <c r="AQ313" s="238"/>
      <c r="AR313" s="238"/>
      <c r="AS313" s="238"/>
      <c r="AT313" s="456"/>
      <c r="AU313" s="238"/>
      <c r="AV313" s="238"/>
      <c r="AW313" s="238"/>
      <c r="AX313" s="238"/>
      <c r="AY313" s="238"/>
      <c r="AZ313" s="241"/>
      <c r="BA313" s="241"/>
      <c r="BB313" s="241"/>
      <c r="BC313" s="238"/>
      <c r="BD313" s="238"/>
      <c r="BE313" s="238"/>
      <c r="BF313" s="238"/>
      <c r="BG313" s="238"/>
      <c r="BH313" s="238"/>
      <c r="BI313" s="238"/>
      <c r="BJ313" s="238"/>
      <c r="BK313" s="238"/>
      <c r="BL313" s="238"/>
      <c r="BM313" s="238"/>
      <c r="BN313" s="238"/>
      <c r="BO313" s="238"/>
      <c r="BP313" s="238"/>
      <c r="BQ313" s="238"/>
      <c r="BR313" s="238"/>
      <c r="BS313" s="238"/>
      <c r="BT313" s="238"/>
      <c r="BU313" s="238"/>
      <c r="BV313" s="238"/>
      <c r="BW313" s="238"/>
      <c r="BX313" s="238"/>
      <c r="BY313" s="238"/>
      <c r="BZ313" s="238"/>
      <c r="CA313" s="238"/>
      <c r="CB313" s="238"/>
      <c r="CC313" s="238"/>
      <c r="CD313" s="238"/>
      <c r="CE313" s="238"/>
      <c r="CF313" s="238"/>
    </row>
    <row r="314" spans="1:84">
      <c r="A314" s="534"/>
      <c r="B314" s="256"/>
      <c r="C314" s="238"/>
      <c r="D314" s="256"/>
      <c r="E314" s="256"/>
      <c r="F314" s="256"/>
      <c r="G314" s="520"/>
      <c r="H314" s="520"/>
      <c r="I314" s="520"/>
      <c r="J314" s="522"/>
      <c r="K314" s="520"/>
      <c r="L314" s="522"/>
      <c r="M314" s="522"/>
      <c r="N314" s="522"/>
      <c r="O314" s="525"/>
      <c r="P314" s="238"/>
      <c r="Q314" s="238"/>
      <c r="S314" s="238"/>
      <c r="T314" s="238"/>
      <c r="U314" s="238"/>
      <c r="V314" s="238"/>
      <c r="W314" s="238"/>
      <c r="X314" s="238"/>
      <c r="Y314" s="238"/>
      <c r="Z314" s="238"/>
      <c r="AA314" s="240"/>
      <c r="AB314" s="238"/>
      <c r="AC314" s="238"/>
      <c r="AD314" s="238"/>
      <c r="AE314" s="238"/>
      <c r="AF314" s="238"/>
      <c r="AG314" s="524"/>
      <c r="AH314" s="238"/>
      <c r="AI314" s="238"/>
      <c r="AJ314" s="238"/>
      <c r="AK314" s="238"/>
      <c r="AL314" s="238"/>
      <c r="AM314" s="238"/>
      <c r="AN314" s="238"/>
      <c r="AO314" s="238"/>
      <c r="AP314" s="238"/>
      <c r="AQ314" s="238"/>
      <c r="AR314" s="238"/>
      <c r="AS314" s="238"/>
      <c r="AT314" s="456"/>
      <c r="AU314" s="238"/>
      <c r="AV314" s="238"/>
      <c r="AW314" s="238"/>
      <c r="AX314" s="238"/>
      <c r="AY314" s="238"/>
      <c r="AZ314" s="241"/>
      <c r="BA314" s="241"/>
      <c r="BB314" s="241"/>
      <c r="BC314" s="238"/>
      <c r="BD314" s="238"/>
      <c r="BE314" s="238"/>
      <c r="BF314" s="238"/>
      <c r="BG314" s="238"/>
      <c r="BH314" s="238"/>
      <c r="BI314" s="238"/>
      <c r="BJ314" s="238"/>
      <c r="BK314" s="238"/>
      <c r="BL314" s="238"/>
      <c r="BM314" s="238"/>
      <c r="BN314" s="238"/>
      <c r="BO314" s="238"/>
      <c r="BP314" s="238"/>
      <c r="BQ314" s="238"/>
      <c r="BR314" s="238"/>
      <c r="BS314" s="238"/>
      <c r="BT314" s="238"/>
      <c r="BU314" s="238"/>
      <c r="BV314" s="238"/>
      <c r="BW314" s="238"/>
      <c r="BX314" s="238"/>
      <c r="BY314" s="238"/>
      <c r="BZ314" s="238"/>
      <c r="CA314" s="238"/>
      <c r="CB314" s="238"/>
      <c r="CC314" s="238"/>
      <c r="CD314" s="238"/>
      <c r="CE314" s="238"/>
      <c r="CF314" s="238"/>
    </row>
    <row r="315" spans="1:84">
      <c r="A315" s="534"/>
      <c r="B315" s="256"/>
      <c r="C315" s="238"/>
      <c r="D315" s="256"/>
      <c r="E315" s="256"/>
      <c r="F315" s="256"/>
      <c r="G315" s="520"/>
      <c r="H315" s="520"/>
      <c r="I315" s="520"/>
      <c r="J315" s="522"/>
      <c r="K315" s="520"/>
      <c r="L315" s="522"/>
      <c r="M315" s="522"/>
      <c r="N315" s="522"/>
      <c r="O315" s="525"/>
      <c r="P315" s="238"/>
      <c r="Q315" s="238"/>
      <c r="S315" s="238"/>
      <c r="T315" s="238"/>
      <c r="U315" s="238"/>
      <c r="V315" s="238"/>
      <c r="W315" s="238"/>
      <c r="X315" s="238"/>
      <c r="Y315" s="238"/>
      <c r="Z315" s="238"/>
      <c r="AA315" s="240"/>
      <c r="AB315" s="238"/>
      <c r="AC315" s="238"/>
      <c r="AD315" s="238"/>
      <c r="AE315" s="238"/>
      <c r="AF315" s="238"/>
      <c r="AG315" s="524"/>
      <c r="AH315" s="238"/>
      <c r="AI315" s="238"/>
      <c r="AJ315" s="238"/>
      <c r="AK315" s="238"/>
      <c r="AL315" s="238"/>
      <c r="AM315" s="238"/>
      <c r="AN315" s="238"/>
      <c r="AO315" s="238"/>
      <c r="AP315" s="238"/>
      <c r="AQ315" s="238"/>
      <c r="AR315" s="238"/>
      <c r="AS315" s="238"/>
      <c r="AT315" s="456"/>
      <c r="AU315" s="238"/>
      <c r="AV315" s="238"/>
      <c r="AW315" s="238"/>
      <c r="AX315" s="238"/>
      <c r="AY315" s="238"/>
      <c r="AZ315" s="241"/>
      <c r="BA315" s="241"/>
      <c r="BB315" s="241"/>
      <c r="BC315" s="238"/>
      <c r="BD315" s="238"/>
      <c r="BE315" s="238"/>
      <c r="BF315" s="238"/>
      <c r="BG315" s="238"/>
      <c r="BH315" s="238"/>
      <c r="BI315" s="238"/>
      <c r="BJ315" s="238"/>
      <c r="BK315" s="238"/>
      <c r="BL315" s="238"/>
      <c r="BM315" s="238"/>
      <c r="BN315" s="238"/>
      <c r="BO315" s="238"/>
      <c r="BP315" s="238"/>
      <c r="BQ315" s="238"/>
      <c r="BR315" s="238"/>
      <c r="BS315" s="238"/>
      <c r="BT315" s="238"/>
      <c r="BU315" s="238"/>
      <c r="BV315" s="238"/>
      <c r="BW315" s="238"/>
      <c r="BX315" s="238"/>
      <c r="BY315" s="238"/>
      <c r="BZ315" s="238"/>
      <c r="CA315" s="238"/>
      <c r="CB315" s="238"/>
      <c r="CC315" s="238"/>
      <c r="CD315" s="238"/>
      <c r="CE315" s="238"/>
      <c r="CF315" s="238"/>
    </row>
    <row r="316" spans="1:84">
      <c r="A316" s="534"/>
      <c r="B316" s="256"/>
      <c r="C316" s="238"/>
      <c r="D316" s="256"/>
      <c r="E316" s="256"/>
      <c r="F316" s="256"/>
      <c r="G316" s="520"/>
      <c r="H316" s="520"/>
      <c r="I316" s="520"/>
      <c r="J316" s="522"/>
      <c r="K316" s="520"/>
      <c r="L316" s="522"/>
      <c r="M316" s="522"/>
      <c r="N316" s="522"/>
      <c r="O316" s="525"/>
      <c r="P316" s="238"/>
      <c r="Q316" s="238"/>
      <c r="S316" s="238"/>
      <c r="T316" s="238"/>
      <c r="U316" s="238"/>
      <c r="V316" s="238"/>
      <c r="W316" s="238"/>
      <c r="X316" s="238"/>
      <c r="Y316" s="238"/>
      <c r="Z316" s="238"/>
      <c r="AA316" s="240"/>
      <c r="AB316" s="238"/>
      <c r="AC316" s="238"/>
      <c r="AD316" s="238"/>
      <c r="AE316" s="238"/>
      <c r="AF316" s="238"/>
      <c r="AG316" s="524"/>
      <c r="AH316" s="238"/>
      <c r="AI316" s="238"/>
      <c r="AJ316" s="238"/>
      <c r="AK316" s="238"/>
      <c r="AL316" s="238"/>
      <c r="AM316" s="238"/>
      <c r="AN316" s="238"/>
      <c r="AO316" s="238"/>
      <c r="AP316" s="238"/>
      <c r="AQ316" s="238"/>
      <c r="AR316" s="238"/>
      <c r="AS316" s="238"/>
      <c r="AT316" s="456"/>
      <c r="AU316" s="238"/>
      <c r="AV316" s="238"/>
      <c r="AW316" s="238"/>
      <c r="AX316" s="238"/>
      <c r="AY316" s="238"/>
      <c r="AZ316" s="241"/>
      <c r="BA316" s="241"/>
      <c r="BB316" s="241"/>
      <c r="BC316" s="238"/>
      <c r="BD316" s="238"/>
      <c r="BE316" s="238"/>
      <c r="BF316" s="238"/>
      <c r="BG316" s="238"/>
      <c r="BH316" s="238"/>
      <c r="BI316" s="238"/>
      <c r="BJ316" s="238"/>
      <c r="BK316" s="238"/>
      <c r="BL316" s="238"/>
      <c r="BM316" s="238"/>
      <c r="BN316" s="238"/>
      <c r="BO316" s="238"/>
      <c r="BP316" s="238"/>
      <c r="BQ316" s="238"/>
      <c r="BR316" s="238"/>
      <c r="BS316" s="238"/>
      <c r="BT316" s="238"/>
      <c r="BU316" s="238"/>
      <c r="BV316" s="238"/>
      <c r="BW316" s="238"/>
      <c r="BX316" s="238"/>
      <c r="BY316" s="238"/>
      <c r="BZ316" s="238"/>
      <c r="CA316" s="238"/>
      <c r="CB316" s="238"/>
      <c r="CC316" s="238"/>
      <c r="CD316" s="238"/>
      <c r="CE316" s="238"/>
      <c r="CF316" s="238"/>
    </row>
    <row r="317" spans="1:84">
      <c r="A317" s="534"/>
      <c r="B317" s="256"/>
      <c r="C317" s="238"/>
      <c r="D317" s="256"/>
      <c r="E317" s="256"/>
      <c r="F317" s="256"/>
      <c r="G317" s="520"/>
      <c r="H317" s="520"/>
      <c r="I317" s="520"/>
      <c r="J317" s="522"/>
      <c r="K317" s="520"/>
      <c r="L317" s="522"/>
      <c r="M317" s="522"/>
      <c r="N317" s="522"/>
      <c r="O317" s="525"/>
      <c r="P317" s="238"/>
      <c r="Q317" s="238"/>
      <c r="S317" s="238"/>
      <c r="T317" s="238"/>
      <c r="U317" s="238"/>
      <c r="V317" s="238"/>
      <c r="W317" s="238"/>
      <c r="X317" s="238"/>
      <c r="Y317" s="238"/>
      <c r="Z317" s="238"/>
      <c r="AA317" s="240"/>
      <c r="AB317" s="238"/>
      <c r="AC317" s="238"/>
      <c r="AD317" s="238"/>
      <c r="AE317" s="238"/>
      <c r="AF317" s="238"/>
      <c r="AG317" s="524"/>
      <c r="AH317" s="238"/>
      <c r="AI317" s="238"/>
      <c r="AJ317" s="238"/>
      <c r="AK317" s="238"/>
      <c r="AL317" s="238"/>
      <c r="AM317" s="238"/>
      <c r="AN317" s="238"/>
      <c r="AO317" s="238"/>
      <c r="AP317" s="238"/>
      <c r="AQ317" s="238"/>
      <c r="AR317" s="238"/>
      <c r="AS317" s="238"/>
      <c r="AT317" s="456"/>
      <c r="AU317" s="238"/>
      <c r="AV317" s="238"/>
      <c r="AW317" s="238"/>
      <c r="AX317" s="238"/>
      <c r="AY317" s="238"/>
      <c r="AZ317" s="241"/>
      <c r="BA317" s="241"/>
      <c r="BB317" s="241"/>
      <c r="BC317" s="238"/>
      <c r="BD317" s="238"/>
      <c r="BE317" s="238"/>
      <c r="BF317" s="238"/>
      <c r="BG317" s="238"/>
      <c r="BH317" s="238"/>
      <c r="BI317" s="238"/>
      <c r="BJ317" s="238"/>
      <c r="BK317" s="238"/>
      <c r="BL317" s="238"/>
      <c r="BM317" s="238"/>
      <c r="BN317" s="238"/>
      <c r="BO317" s="238"/>
      <c r="BP317" s="238"/>
      <c r="BQ317" s="238"/>
      <c r="BR317" s="238"/>
      <c r="BS317" s="238"/>
      <c r="BT317" s="238"/>
      <c r="BU317" s="238"/>
      <c r="BV317" s="238"/>
      <c r="BW317" s="238"/>
      <c r="BX317" s="238"/>
      <c r="BY317" s="238"/>
      <c r="BZ317" s="238"/>
      <c r="CA317" s="238"/>
      <c r="CB317" s="238"/>
      <c r="CC317" s="238"/>
      <c r="CD317" s="238"/>
      <c r="CE317" s="238"/>
      <c r="CF317" s="238"/>
    </row>
    <row r="318" spans="1:84">
      <c r="A318" s="534"/>
      <c r="B318" s="256"/>
      <c r="C318" s="238"/>
      <c r="D318" s="256"/>
      <c r="E318" s="256"/>
      <c r="F318" s="256"/>
      <c r="G318" s="520"/>
      <c r="H318" s="520"/>
      <c r="I318" s="520"/>
      <c r="J318" s="522"/>
      <c r="K318" s="520"/>
      <c r="L318" s="522"/>
      <c r="M318" s="522"/>
      <c r="N318" s="522"/>
      <c r="O318" s="525"/>
      <c r="P318" s="238"/>
      <c r="Q318" s="238"/>
      <c r="S318" s="238"/>
      <c r="T318" s="238"/>
      <c r="U318" s="238"/>
      <c r="V318" s="238"/>
      <c r="W318" s="238"/>
      <c r="X318" s="238"/>
      <c r="Y318" s="238"/>
      <c r="Z318" s="238"/>
      <c r="AA318" s="240"/>
      <c r="AB318" s="238"/>
      <c r="AC318" s="238"/>
      <c r="AD318" s="238"/>
      <c r="AE318" s="238"/>
      <c r="AF318" s="238"/>
      <c r="AG318" s="524"/>
      <c r="AH318" s="238"/>
      <c r="AI318" s="238"/>
      <c r="AJ318" s="238"/>
      <c r="AK318" s="238"/>
      <c r="AL318" s="238"/>
      <c r="AM318" s="238"/>
      <c r="AN318" s="238"/>
      <c r="AO318" s="238"/>
      <c r="AP318" s="238"/>
      <c r="AQ318" s="238"/>
      <c r="AR318" s="238"/>
      <c r="AS318" s="238"/>
      <c r="AT318" s="456"/>
      <c r="AU318" s="238"/>
      <c r="AV318" s="238"/>
      <c r="AW318" s="238"/>
      <c r="AX318" s="238"/>
      <c r="AY318" s="238"/>
      <c r="AZ318" s="241"/>
      <c r="BA318" s="241"/>
      <c r="BB318" s="241"/>
      <c r="BC318" s="238"/>
      <c r="BD318" s="238"/>
      <c r="BE318" s="238"/>
      <c r="BF318" s="238"/>
      <c r="BG318" s="238"/>
      <c r="BH318" s="238"/>
      <c r="BI318" s="238"/>
      <c r="BJ318" s="238"/>
      <c r="BK318" s="238"/>
      <c r="BL318" s="238"/>
      <c r="BM318" s="238"/>
      <c r="BN318" s="238"/>
      <c r="BO318" s="238"/>
      <c r="BP318" s="238"/>
      <c r="BQ318" s="238"/>
      <c r="BR318" s="238"/>
      <c r="BS318" s="238"/>
      <c r="BT318" s="238"/>
      <c r="BU318" s="238"/>
      <c r="BV318" s="238"/>
      <c r="BW318" s="238"/>
      <c r="BX318" s="238"/>
      <c r="BY318" s="238"/>
      <c r="BZ318" s="238"/>
      <c r="CA318" s="238"/>
      <c r="CB318" s="238"/>
      <c r="CC318" s="238"/>
      <c r="CD318" s="238"/>
      <c r="CE318" s="238"/>
      <c r="CF318" s="238"/>
    </row>
    <row r="319" spans="1:84">
      <c r="A319" s="534"/>
      <c r="B319" s="256"/>
      <c r="C319" s="238"/>
      <c r="D319" s="256"/>
      <c r="E319" s="256"/>
      <c r="F319" s="256"/>
      <c r="G319" s="520"/>
      <c r="H319" s="520"/>
      <c r="I319" s="520"/>
      <c r="J319" s="522"/>
      <c r="K319" s="520"/>
      <c r="L319" s="522"/>
      <c r="M319" s="522"/>
      <c r="N319" s="522"/>
      <c r="O319" s="525"/>
      <c r="P319" s="238"/>
      <c r="Q319" s="238"/>
      <c r="S319" s="238"/>
      <c r="T319" s="238"/>
      <c r="U319" s="238"/>
      <c r="V319" s="238"/>
      <c r="W319" s="238"/>
      <c r="X319" s="238"/>
      <c r="Y319" s="238"/>
      <c r="Z319" s="238"/>
      <c r="AA319" s="240"/>
      <c r="AB319" s="238"/>
      <c r="AC319" s="238"/>
      <c r="AD319" s="238"/>
      <c r="AE319" s="238"/>
      <c r="AF319" s="238"/>
      <c r="AG319" s="524"/>
      <c r="AH319" s="238"/>
      <c r="AI319" s="238"/>
      <c r="AJ319" s="238"/>
      <c r="AK319" s="238"/>
      <c r="AL319" s="238"/>
      <c r="AM319" s="238"/>
      <c r="AN319" s="238"/>
      <c r="AO319" s="238"/>
      <c r="AP319" s="238"/>
      <c r="AQ319" s="238"/>
      <c r="AR319" s="238"/>
      <c r="AS319" s="238"/>
      <c r="AT319" s="456"/>
      <c r="AU319" s="238"/>
      <c r="AV319" s="238"/>
      <c r="AW319" s="238"/>
      <c r="AX319" s="238"/>
      <c r="AY319" s="238"/>
      <c r="AZ319" s="241"/>
      <c r="BA319" s="241"/>
      <c r="BB319" s="241"/>
      <c r="BC319" s="238"/>
      <c r="BD319" s="238"/>
      <c r="BE319" s="238"/>
      <c r="BF319" s="238"/>
      <c r="BG319" s="238"/>
      <c r="BH319" s="238"/>
      <c r="BI319" s="238"/>
      <c r="BJ319" s="238"/>
      <c r="BK319" s="238"/>
      <c r="BL319" s="238"/>
      <c r="BM319" s="238"/>
      <c r="BN319" s="238"/>
      <c r="BO319" s="238"/>
      <c r="BP319" s="238"/>
      <c r="BQ319" s="238"/>
      <c r="BR319" s="238"/>
      <c r="BS319" s="238"/>
      <c r="BT319" s="238"/>
      <c r="BU319" s="238"/>
      <c r="BV319" s="238"/>
      <c r="BW319" s="238"/>
      <c r="BX319" s="238"/>
      <c r="BY319" s="238"/>
      <c r="BZ319" s="238"/>
      <c r="CA319" s="238"/>
      <c r="CB319" s="238"/>
      <c r="CC319" s="238"/>
      <c r="CD319" s="238"/>
      <c r="CE319" s="238"/>
      <c r="CF319" s="238"/>
    </row>
    <row r="320" spans="1:84">
      <c r="A320" s="534"/>
      <c r="B320" s="256"/>
      <c r="C320" s="238"/>
      <c r="D320" s="256"/>
      <c r="E320" s="256"/>
      <c r="F320" s="256"/>
      <c r="G320" s="520"/>
      <c r="H320" s="520"/>
      <c r="I320" s="520"/>
      <c r="J320" s="522"/>
      <c r="K320" s="520"/>
      <c r="L320" s="522"/>
      <c r="M320" s="522"/>
      <c r="N320" s="522"/>
      <c r="O320" s="525"/>
      <c r="P320" s="238"/>
      <c r="Q320" s="238"/>
      <c r="S320" s="238"/>
      <c r="T320" s="238"/>
      <c r="U320" s="238"/>
      <c r="V320" s="238"/>
      <c r="W320" s="238"/>
      <c r="X320" s="238"/>
      <c r="Y320" s="238"/>
      <c r="Z320" s="238"/>
      <c r="AA320" s="240"/>
      <c r="AB320" s="238"/>
      <c r="AC320" s="238"/>
      <c r="AD320" s="238"/>
      <c r="AE320" s="238"/>
      <c r="AF320" s="238"/>
      <c r="AG320" s="524"/>
      <c r="AH320" s="238"/>
      <c r="AI320" s="238"/>
      <c r="AJ320" s="238"/>
      <c r="AK320" s="238"/>
      <c r="AL320" s="238"/>
      <c r="AM320" s="238"/>
      <c r="AN320" s="238"/>
      <c r="AO320" s="238"/>
      <c r="AP320" s="238"/>
      <c r="AQ320" s="238"/>
      <c r="AR320" s="238"/>
      <c r="AS320" s="238"/>
      <c r="AT320" s="456"/>
      <c r="AU320" s="238"/>
      <c r="AV320" s="238"/>
      <c r="AW320" s="238"/>
      <c r="AX320" s="238"/>
      <c r="AY320" s="238"/>
      <c r="AZ320" s="241"/>
      <c r="BA320" s="241"/>
      <c r="BB320" s="241"/>
      <c r="BC320" s="238"/>
      <c r="BD320" s="238"/>
      <c r="BE320" s="238"/>
      <c r="BF320" s="238"/>
      <c r="BG320" s="238"/>
      <c r="BH320" s="238"/>
      <c r="BI320" s="238"/>
      <c r="BJ320" s="238"/>
      <c r="BK320" s="238"/>
      <c r="BL320" s="238"/>
      <c r="BM320" s="238"/>
      <c r="BN320" s="238"/>
      <c r="BO320" s="238"/>
      <c r="BP320" s="238"/>
      <c r="BQ320" s="238"/>
      <c r="BR320" s="238"/>
      <c r="BS320" s="238"/>
      <c r="BT320" s="238"/>
      <c r="BU320" s="238"/>
      <c r="BV320" s="238"/>
      <c r="BW320" s="238"/>
      <c r="BX320" s="238"/>
      <c r="BY320" s="238"/>
      <c r="BZ320" s="238"/>
      <c r="CA320" s="238"/>
      <c r="CB320" s="238"/>
      <c r="CC320" s="238"/>
      <c r="CD320" s="238"/>
      <c r="CE320" s="238"/>
      <c r="CF320" s="238"/>
    </row>
    <row r="321" spans="1:84">
      <c r="A321" s="534"/>
      <c r="B321" s="256"/>
      <c r="C321" s="238"/>
      <c r="D321" s="256"/>
      <c r="E321" s="256"/>
      <c r="F321" s="256"/>
      <c r="G321" s="520"/>
      <c r="H321" s="520"/>
      <c r="I321" s="520"/>
      <c r="J321" s="522"/>
      <c r="K321" s="520"/>
      <c r="L321" s="522"/>
      <c r="M321" s="522"/>
      <c r="N321" s="522"/>
      <c r="O321" s="525"/>
      <c r="P321" s="238"/>
      <c r="Q321" s="238"/>
      <c r="S321" s="238"/>
      <c r="T321" s="238"/>
      <c r="U321" s="238"/>
      <c r="V321" s="238"/>
      <c r="W321" s="238"/>
      <c r="X321" s="238"/>
      <c r="Y321" s="238"/>
      <c r="Z321" s="238"/>
      <c r="AA321" s="240"/>
      <c r="AB321" s="238"/>
      <c r="AC321" s="238"/>
      <c r="AD321" s="238"/>
      <c r="AE321" s="238"/>
      <c r="AF321" s="238"/>
      <c r="AG321" s="524"/>
      <c r="AH321" s="238"/>
      <c r="AI321" s="238"/>
      <c r="AJ321" s="238"/>
      <c r="AK321" s="238"/>
      <c r="AL321" s="238"/>
      <c r="AM321" s="238"/>
      <c r="AN321" s="238"/>
      <c r="AO321" s="238"/>
      <c r="AP321" s="238"/>
      <c r="AQ321" s="238"/>
      <c r="AR321" s="238"/>
      <c r="AS321" s="238"/>
      <c r="AT321" s="456"/>
      <c r="AU321" s="238"/>
      <c r="AV321" s="238"/>
      <c r="AW321" s="238"/>
      <c r="AX321" s="238"/>
      <c r="AY321" s="238"/>
      <c r="AZ321" s="241"/>
      <c r="BA321" s="241"/>
      <c r="BB321" s="241"/>
      <c r="BC321" s="238"/>
      <c r="BD321" s="238"/>
      <c r="BE321" s="238"/>
      <c r="BF321" s="238"/>
      <c r="BG321" s="238"/>
      <c r="BH321" s="238"/>
      <c r="BI321" s="238"/>
      <c r="BJ321" s="238"/>
      <c r="BK321" s="238"/>
      <c r="BL321" s="238"/>
      <c r="BM321" s="238"/>
      <c r="BN321" s="238"/>
      <c r="BO321" s="238"/>
      <c r="BP321" s="238"/>
      <c r="BQ321" s="238"/>
      <c r="BR321" s="238"/>
      <c r="BS321" s="238"/>
      <c r="BT321" s="238"/>
      <c r="BU321" s="238"/>
      <c r="BV321" s="238"/>
      <c r="BW321" s="238"/>
      <c r="BX321" s="238"/>
      <c r="BY321" s="238"/>
      <c r="BZ321" s="238"/>
      <c r="CA321" s="238"/>
      <c r="CB321" s="238"/>
      <c r="CC321" s="238"/>
      <c r="CD321" s="238"/>
      <c r="CE321" s="238"/>
      <c r="CF321" s="238"/>
    </row>
    <row r="322" spans="1:84">
      <c r="A322" s="534"/>
      <c r="B322" s="256"/>
      <c r="C322" s="238"/>
      <c r="D322" s="256"/>
      <c r="E322" s="256"/>
      <c r="F322" s="256"/>
      <c r="G322" s="520"/>
      <c r="H322" s="520"/>
      <c r="I322" s="520"/>
      <c r="J322" s="522"/>
      <c r="K322" s="520"/>
      <c r="L322" s="522"/>
      <c r="M322" s="522"/>
      <c r="N322" s="522"/>
      <c r="O322" s="525"/>
      <c r="P322" s="238"/>
      <c r="Q322" s="238"/>
      <c r="S322" s="238"/>
      <c r="T322" s="238"/>
      <c r="U322" s="238"/>
      <c r="V322" s="238"/>
      <c r="W322" s="238"/>
      <c r="X322" s="238"/>
      <c r="Y322" s="238"/>
      <c r="Z322" s="238"/>
      <c r="AA322" s="240"/>
      <c r="AB322" s="238"/>
      <c r="AC322" s="238"/>
      <c r="AD322" s="238"/>
      <c r="AE322" s="238"/>
      <c r="AF322" s="238"/>
      <c r="AG322" s="524"/>
      <c r="AH322" s="238"/>
      <c r="AI322" s="238"/>
      <c r="AJ322" s="238"/>
      <c r="AK322" s="238"/>
      <c r="AL322" s="238"/>
      <c r="AM322" s="238"/>
      <c r="AN322" s="238"/>
      <c r="AO322" s="238"/>
      <c r="AP322" s="238"/>
      <c r="AQ322" s="238"/>
      <c r="AR322" s="238"/>
      <c r="AS322" s="238"/>
      <c r="AT322" s="456"/>
      <c r="AU322" s="238"/>
      <c r="AV322" s="238"/>
      <c r="AW322" s="238"/>
      <c r="AX322" s="238"/>
      <c r="AY322" s="238"/>
      <c r="AZ322" s="241"/>
      <c r="BA322" s="241"/>
      <c r="BB322" s="241"/>
      <c r="BC322" s="238"/>
      <c r="BD322" s="238"/>
      <c r="BE322" s="238"/>
      <c r="BF322" s="238"/>
      <c r="BG322" s="238"/>
      <c r="BH322" s="238"/>
      <c r="BI322" s="238"/>
      <c r="BJ322" s="238"/>
      <c r="BK322" s="238"/>
      <c r="BL322" s="238"/>
      <c r="BM322" s="238"/>
      <c r="BN322" s="238"/>
      <c r="BO322" s="238"/>
      <c r="BP322" s="238"/>
      <c r="BQ322" s="238"/>
      <c r="BR322" s="238"/>
      <c r="BS322" s="238"/>
      <c r="BT322" s="238"/>
      <c r="BU322" s="238"/>
      <c r="BV322" s="238"/>
      <c r="BW322" s="238"/>
      <c r="BX322" s="238"/>
      <c r="BY322" s="238"/>
      <c r="BZ322" s="238"/>
      <c r="CA322" s="238"/>
      <c r="CB322" s="238"/>
      <c r="CC322" s="238"/>
      <c r="CD322" s="238"/>
      <c r="CE322" s="238"/>
      <c r="CF322" s="238"/>
    </row>
    <row r="323" spans="1:84">
      <c r="A323" s="534"/>
      <c r="B323" s="256"/>
      <c r="C323" s="238"/>
      <c r="D323" s="256"/>
      <c r="E323" s="256"/>
      <c r="F323" s="256"/>
      <c r="G323" s="520"/>
      <c r="H323" s="520"/>
      <c r="I323" s="520"/>
      <c r="J323" s="522"/>
      <c r="K323" s="520"/>
      <c r="L323" s="522"/>
      <c r="M323" s="522"/>
      <c r="N323" s="522"/>
      <c r="O323" s="525"/>
      <c r="P323" s="238"/>
      <c r="Q323" s="238"/>
      <c r="S323" s="238"/>
      <c r="T323" s="238"/>
      <c r="U323" s="238"/>
      <c r="V323" s="238"/>
      <c r="W323" s="238"/>
      <c r="X323" s="238"/>
      <c r="Y323" s="238"/>
      <c r="Z323" s="238"/>
      <c r="AA323" s="240"/>
      <c r="AB323" s="238"/>
      <c r="AC323" s="238"/>
      <c r="AD323" s="238"/>
      <c r="AE323" s="238"/>
      <c r="AF323" s="238"/>
      <c r="AG323" s="524"/>
      <c r="AH323" s="238"/>
      <c r="AI323" s="238"/>
      <c r="AJ323" s="238"/>
      <c r="AK323" s="238"/>
      <c r="AL323" s="238"/>
      <c r="AM323" s="238"/>
      <c r="AN323" s="238"/>
      <c r="AO323" s="238"/>
      <c r="AP323" s="238"/>
      <c r="AQ323" s="238"/>
      <c r="AR323" s="238"/>
      <c r="AS323" s="238"/>
      <c r="AT323" s="456"/>
      <c r="AU323" s="238"/>
      <c r="AV323" s="238"/>
      <c r="AW323" s="238"/>
      <c r="AX323" s="238"/>
      <c r="AY323" s="238"/>
      <c r="AZ323" s="241"/>
      <c r="BA323" s="241"/>
      <c r="BB323" s="241"/>
      <c r="BC323" s="238"/>
      <c r="BD323" s="238"/>
      <c r="BE323" s="238"/>
      <c r="BF323" s="238"/>
      <c r="BG323" s="238"/>
      <c r="BH323" s="238"/>
      <c r="BI323" s="238"/>
      <c r="BJ323" s="238"/>
      <c r="BK323" s="238"/>
      <c r="BL323" s="238"/>
      <c r="BM323" s="238"/>
      <c r="BN323" s="238"/>
      <c r="BO323" s="238"/>
      <c r="BP323" s="238"/>
      <c r="BQ323" s="238"/>
      <c r="BR323" s="238"/>
      <c r="BS323" s="238"/>
      <c r="BT323" s="238"/>
      <c r="BU323" s="238"/>
      <c r="BV323" s="238"/>
      <c r="BW323" s="238"/>
      <c r="BX323" s="238"/>
      <c r="BY323" s="238"/>
      <c r="BZ323" s="238"/>
      <c r="CA323" s="238"/>
      <c r="CB323" s="238"/>
      <c r="CC323" s="238"/>
      <c r="CD323" s="238"/>
      <c r="CE323" s="238"/>
      <c r="CF323" s="238"/>
    </row>
    <row r="324" spans="1:84">
      <c r="A324" s="534"/>
      <c r="B324" s="256"/>
      <c r="C324" s="238"/>
      <c r="D324" s="256"/>
      <c r="E324" s="256"/>
      <c r="F324" s="256"/>
      <c r="G324" s="520"/>
      <c r="H324" s="520"/>
      <c r="I324" s="520"/>
      <c r="J324" s="522"/>
      <c r="K324" s="520"/>
      <c r="L324" s="522"/>
      <c r="M324" s="522"/>
      <c r="N324" s="522"/>
      <c r="O324" s="525"/>
      <c r="P324" s="238"/>
      <c r="Q324" s="238"/>
      <c r="S324" s="238"/>
      <c r="T324" s="238"/>
      <c r="U324" s="238"/>
      <c r="V324" s="238"/>
      <c r="W324" s="238"/>
      <c r="X324" s="238"/>
      <c r="Y324" s="238"/>
      <c r="Z324" s="238"/>
      <c r="AA324" s="240"/>
      <c r="AB324" s="238"/>
      <c r="AC324" s="238"/>
      <c r="AD324" s="238"/>
      <c r="AE324" s="238"/>
      <c r="AF324" s="238"/>
      <c r="AG324" s="524"/>
      <c r="AH324" s="238"/>
      <c r="AI324" s="238"/>
      <c r="AJ324" s="238"/>
      <c r="AK324" s="238"/>
      <c r="AL324" s="238"/>
      <c r="AM324" s="238"/>
      <c r="AN324" s="238"/>
      <c r="AO324" s="238"/>
      <c r="AP324" s="238"/>
      <c r="AQ324" s="238"/>
      <c r="AR324" s="238"/>
      <c r="AS324" s="238"/>
      <c r="AT324" s="456"/>
      <c r="AU324" s="238"/>
      <c r="AV324" s="238"/>
      <c r="AW324" s="238"/>
      <c r="AX324" s="238"/>
      <c r="AY324" s="238"/>
      <c r="AZ324" s="241"/>
      <c r="BA324" s="241"/>
      <c r="BB324" s="241"/>
      <c r="BC324" s="238"/>
      <c r="BD324" s="238"/>
      <c r="BE324" s="238"/>
      <c r="BF324" s="238"/>
      <c r="BG324" s="238"/>
      <c r="BH324" s="238"/>
      <c r="BI324" s="238"/>
      <c r="BJ324" s="238"/>
      <c r="BK324" s="238"/>
      <c r="BL324" s="238"/>
      <c r="BM324" s="238"/>
      <c r="BN324" s="238"/>
      <c r="BO324" s="238"/>
      <c r="BP324" s="238"/>
      <c r="BQ324" s="238"/>
      <c r="BR324" s="238"/>
      <c r="BS324" s="238"/>
      <c r="BT324" s="238"/>
      <c r="BU324" s="238"/>
      <c r="BV324" s="238"/>
      <c r="BW324" s="238"/>
      <c r="BX324" s="238"/>
      <c r="BY324" s="238"/>
      <c r="BZ324" s="238"/>
      <c r="CA324" s="238"/>
      <c r="CB324" s="238"/>
      <c r="CC324" s="238"/>
      <c r="CD324" s="238"/>
      <c r="CE324" s="238"/>
      <c r="CF324" s="238"/>
    </row>
    <row r="325" spans="1:84">
      <c r="A325" s="534"/>
      <c r="B325" s="256"/>
      <c r="C325" s="238"/>
      <c r="D325" s="256"/>
      <c r="E325" s="256"/>
      <c r="F325" s="256"/>
      <c r="G325" s="520"/>
      <c r="H325" s="520"/>
      <c r="I325" s="520"/>
      <c r="J325" s="522"/>
      <c r="K325" s="520"/>
      <c r="L325" s="522"/>
      <c r="M325" s="522"/>
      <c r="N325" s="522"/>
      <c r="O325" s="525"/>
      <c r="P325" s="238"/>
      <c r="Q325" s="238"/>
      <c r="S325" s="238"/>
      <c r="T325" s="238"/>
      <c r="U325" s="238"/>
      <c r="V325" s="238"/>
      <c r="W325" s="238"/>
      <c r="X325" s="238"/>
      <c r="Y325" s="238"/>
      <c r="Z325" s="238"/>
      <c r="AA325" s="240"/>
      <c r="AB325" s="238"/>
      <c r="AC325" s="238"/>
      <c r="AD325" s="238"/>
      <c r="AE325" s="238"/>
      <c r="AF325" s="238"/>
      <c r="AG325" s="524"/>
      <c r="AH325" s="238"/>
      <c r="AI325" s="238"/>
      <c r="AJ325" s="238"/>
      <c r="AK325" s="238"/>
      <c r="AL325" s="238"/>
      <c r="AM325" s="238"/>
      <c r="AN325" s="238"/>
      <c r="AO325" s="238"/>
      <c r="AP325" s="238"/>
      <c r="AQ325" s="238"/>
      <c r="AR325" s="238"/>
      <c r="AS325" s="238"/>
      <c r="AT325" s="456"/>
      <c r="AU325" s="238"/>
      <c r="AV325" s="238"/>
      <c r="AW325" s="238"/>
      <c r="AX325" s="238"/>
      <c r="AY325" s="238"/>
      <c r="AZ325" s="241"/>
      <c r="BA325" s="241"/>
      <c r="BB325" s="241"/>
      <c r="BC325" s="238"/>
      <c r="BD325" s="238"/>
      <c r="BE325" s="238"/>
      <c r="BF325" s="238"/>
      <c r="BG325" s="238"/>
      <c r="BH325" s="238"/>
      <c r="BI325" s="238"/>
      <c r="BJ325" s="238"/>
      <c r="BK325" s="238"/>
      <c r="BL325" s="238"/>
      <c r="BM325" s="238"/>
      <c r="BN325" s="238"/>
      <c r="BO325" s="238"/>
      <c r="BP325" s="238"/>
      <c r="BQ325" s="238"/>
      <c r="BR325" s="238"/>
      <c r="BS325" s="238"/>
      <c r="BT325" s="238"/>
      <c r="BU325" s="238"/>
      <c r="BV325" s="238"/>
      <c r="BW325" s="238"/>
      <c r="BX325" s="238"/>
      <c r="BY325" s="238"/>
      <c r="BZ325" s="238"/>
      <c r="CA325" s="238"/>
      <c r="CB325" s="238"/>
      <c r="CC325" s="238"/>
      <c r="CD325" s="238"/>
      <c r="CE325" s="238"/>
      <c r="CF325" s="238"/>
    </row>
    <row r="326" spans="1:84">
      <c r="A326" s="534"/>
      <c r="B326" s="256"/>
      <c r="C326" s="238"/>
      <c r="D326" s="256"/>
      <c r="E326" s="256"/>
      <c r="F326" s="256"/>
      <c r="G326" s="520"/>
      <c r="H326" s="520"/>
      <c r="I326" s="520"/>
      <c r="J326" s="522"/>
      <c r="K326" s="520"/>
      <c r="L326" s="522"/>
      <c r="M326" s="522"/>
      <c r="N326" s="522"/>
      <c r="O326" s="525"/>
      <c r="P326" s="238"/>
      <c r="Q326" s="238"/>
      <c r="S326" s="238"/>
      <c r="T326" s="238"/>
      <c r="U326" s="238"/>
      <c r="V326" s="238"/>
      <c r="W326" s="238"/>
      <c r="X326" s="238"/>
      <c r="Y326" s="238"/>
      <c r="Z326" s="238"/>
      <c r="AA326" s="240"/>
      <c r="AB326" s="238"/>
      <c r="AC326" s="238"/>
      <c r="AD326" s="238"/>
      <c r="AE326" s="238"/>
      <c r="AF326" s="238"/>
      <c r="AG326" s="524"/>
      <c r="AH326" s="238"/>
      <c r="AI326" s="238"/>
      <c r="AJ326" s="238"/>
      <c r="AK326" s="238"/>
      <c r="AL326" s="238"/>
      <c r="AM326" s="238"/>
      <c r="AN326" s="238"/>
      <c r="AO326" s="238"/>
      <c r="AP326" s="238"/>
      <c r="AQ326" s="238"/>
      <c r="AR326" s="238"/>
      <c r="AS326" s="238"/>
      <c r="AT326" s="456"/>
      <c r="AU326" s="238"/>
      <c r="AV326" s="238"/>
      <c r="AW326" s="238"/>
      <c r="AX326" s="238"/>
      <c r="AY326" s="238"/>
      <c r="AZ326" s="241"/>
      <c r="BA326" s="241"/>
      <c r="BB326" s="241"/>
      <c r="BC326" s="238"/>
      <c r="BD326" s="238"/>
      <c r="BE326" s="238"/>
      <c r="BF326" s="238"/>
      <c r="BG326" s="238"/>
      <c r="BH326" s="238"/>
      <c r="BI326" s="238"/>
      <c r="BJ326" s="238"/>
      <c r="BK326" s="238"/>
      <c r="BL326" s="238"/>
      <c r="BM326" s="238"/>
      <c r="BN326" s="238"/>
      <c r="BO326" s="238"/>
      <c r="BP326" s="238"/>
      <c r="BQ326" s="238"/>
      <c r="BR326" s="238"/>
      <c r="BS326" s="238"/>
      <c r="BT326" s="238"/>
      <c r="BU326" s="238"/>
      <c r="BV326" s="238"/>
      <c r="BW326" s="238"/>
      <c r="BX326" s="238"/>
      <c r="BY326" s="238"/>
      <c r="BZ326" s="238"/>
      <c r="CA326" s="238"/>
      <c r="CB326" s="238"/>
      <c r="CC326" s="238"/>
      <c r="CD326" s="238"/>
      <c r="CE326" s="238"/>
      <c r="CF326" s="238"/>
    </row>
    <row r="327" spans="1:84">
      <c r="A327" s="534"/>
      <c r="B327" s="256"/>
      <c r="C327" s="238"/>
      <c r="D327" s="256"/>
      <c r="E327" s="256"/>
      <c r="F327" s="256"/>
      <c r="G327" s="520"/>
      <c r="H327" s="520"/>
      <c r="I327" s="520"/>
      <c r="J327" s="522"/>
      <c r="K327" s="520"/>
      <c r="L327" s="522"/>
      <c r="M327" s="522"/>
      <c r="N327" s="522"/>
      <c r="O327" s="525"/>
      <c r="P327" s="238"/>
      <c r="Q327" s="238"/>
      <c r="S327" s="238"/>
      <c r="T327" s="238"/>
      <c r="U327" s="238"/>
      <c r="V327" s="238"/>
      <c r="W327" s="238"/>
      <c r="X327" s="238"/>
      <c r="Y327" s="238"/>
      <c r="Z327" s="238"/>
      <c r="AA327" s="240"/>
      <c r="AB327" s="238"/>
      <c r="AC327" s="238"/>
      <c r="AD327" s="238"/>
      <c r="AE327" s="238"/>
      <c r="AF327" s="238"/>
      <c r="AG327" s="524"/>
      <c r="AH327" s="238"/>
      <c r="AI327" s="238"/>
      <c r="AJ327" s="238"/>
      <c r="AK327" s="238"/>
      <c r="AL327" s="238"/>
      <c r="AM327" s="238"/>
      <c r="AN327" s="238"/>
      <c r="AO327" s="238"/>
      <c r="AP327" s="238"/>
      <c r="AQ327" s="238"/>
      <c r="AR327" s="238"/>
      <c r="AS327" s="238"/>
      <c r="AT327" s="456"/>
      <c r="AU327" s="238"/>
      <c r="AV327" s="238"/>
      <c r="AW327" s="238"/>
      <c r="AX327" s="238"/>
      <c r="AY327" s="238"/>
      <c r="AZ327" s="241"/>
      <c r="BA327" s="241"/>
      <c r="BB327" s="241"/>
      <c r="BC327" s="238"/>
      <c r="BD327" s="238"/>
      <c r="BE327" s="238"/>
      <c r="BF327" s="238"/>
      <c r="BG327" s="238"/>
      <c r="BH327" s="238"/>
      <c r="BI327" s="238"/>
      <c r="BJ327" s="238"/>
      <c r="BK327" s="238"/>
      <c r="BL327" s="238"/>
      <c r="BM327" s="238"/>
      <c r="BN327" s="238"/>
      <c r="BO327" s="238"/>
      <c r="BP327" s="238"/>
      <c r="BQ327" s="238"/>
      <c r="BR327" s="238"/>
      <c r="BS327" s="238"/>
      <c r="BT327" s="238"/>
      <c r="BU327" s="238"/>
      <c r="BV327" s="238"/>
      <c r="BW327" s="238"/>
      <c r="BX327" s="238"/>
      <c r="BY327" s="238"/>
      <c r="BZ327" s="238"/>
      <c r="CA327" s="238"/>
      <c r="CB327" s="238"/>
      <c r="CC327" s="238"/>
      <c r="CD327" s="238"/>
      <c r="CE327" s="238"/>
      <c r="CF327" s="238"/>
    </row>
    <row r="328" spans="1:84">
      <c r="A328" s="534"/>
      <c r="B328" s="256"/>
      <c r="C328" s="238"/>
      <c r="D328" s="256"/>
      <c r="E328" s="256"/>
      <c r="F328" s="256"/>
      <c r="G328" s="520"/>
      <c r="H328" s="520"/>
      <c r="I328" s="520"/>
      <c r="J328" s="522"/>
      <c r="K328" s="520"/>
      <c r="L328" s="522"/>
      <c r="M328" s="522"/>
      <c r="N328" s="522"/>
      <c r="O328" s="525"/>
      <c r="P328" s="238"/>
      <c r="Q328" s="238"/>
      <c r="S328" s="238"/>
      <c r="T328" s="238"/>
      <c r="U328" s="238"/>
      <c r="V328" s="238"/>
      <c r="W328" s="238"/>
      <c r="X328" s="238"/>
      <c r="Y328" s="238"/>
      <c r="Z328" s="238"/>
      <c r="AA328" s="240"/>
      <c r="AB328" s="238"/>
      <c r="AC328" s="238"/>
      <c r="AD328" s="238"/>
      <c r="AE328" s="238"/>
      <c r="AF328" s="238"/>
      <c r="AG328" s="524"/>
      <c r="AH328" s="238"/>
      <c r="AI328" s="238"/>
      <c r="AJ328" s="238"/>
      <c r="AK328" s="238"/>
      <c r="AL328" s="238"/>
      <c r="AM328" s="238"/>
      <c r="AN328" s="238"/>
      <c r="AO328" s="238"/>
      <c r="AP328" s="238"/>
      <c r="AQ328" s="238"/>
      <c r="AR328" s="238"/>
      <c r="AS328" s="238"/>
      <c r="AT328" s="456"/>
      <c r="AU328" s="238"/>
      <c r="AV328" s="238"/>
      <c r="AW328" s="238"/>
      <c r="AX328" s="238"/>
      <c r="AY328" s="238"/>
      <c r="AZ328" s="241"/>
      <c r="BA328" s="241"/>
      <c r="BB328" s="241"/>
      <c r="BC328" s="238"/>
      <c r="BD328" s="238"/>
      <c r="BE328" s="238"/>
      <c r="BF328" s="238"/>
      <c r="BG328" s="238"/>
      <c r="BH328" s="238"/>
      <c r="BI328" s="238"/>
      <c r="BJ328" s="238"/>
      <c r="BK328" s="238"/>
      <c r="BL328" s="238"/>
      <c r="BM328" s="238"/>
      <c r="BN328" s="238"/>
      <c r="BO328" s="238"/>
      <c r="BP328" s="238"/>
      <c r="BQ328" s="238"/>
      <c r="BR328" s="238"/>
      <c r="BS328" s="238"/>
      <c r="BT328" s="238"/>
      <c r="BU328" s="238"/>
      <c r="BV328" s="238"/>
      <c r="BW328" s="238"/>
      <c r="BX328" s="238"/>
      <c r="BY328" s="238"/>
      <c r="BZ328" s="238"/>
      <c r="CA328" s="238"/>
      <c r="CB328" s="238"/>
      <c r="CC328" s="238"/>
      <c r="CD328" s="238"/>
      <c r="CE328" s="238"/>
      <c r="CF328" s="238"/>
    </row>
    <row r="329" spans="1:84">
      <c r="A329" s="534"/>
      <c r="B329" s="256"/>
      <c r="C329" s="238"/>
      <c r="D329" s="256"/>
      <c r="E329" s="256"/>
      <c r="F329" s="256"/>
      <c r="G329" s="520"/>
      <c r="H329" s="520"/>
      <c r="I329" s="520"/>
      <c r="J329" s="522"/>
      <c r="K329" s="520"/>
      <c r="L329" s="522"/>
      <c r="M329" s="522"/>
      <c r="N329" s="522"/>
      <c r="O329" s="525"/>
      <c r="P329" s="238"/>
      <c r="Q329" s="238"/>
      <c r="S329" s="238"/>
      <c r="T329" s="238"/>
      <c r="U329" s="238"/>
      <c r="V329" s="238"/>
      <c r="W329" s="238"/>
      <c r="X329" s="238"/>
      <c r="Y329" s="238"/>
      <c r="Z329" s="238"/>
      <c r="AA329" s="240"/>
      <c r="AB329" s="238"/>
      <c r="AC329" s="238"/>
      <c r="AD329" s="238"/>
      <c r="AE329" s="238"/>
      <c r="AF329" s="238"/>
      <c r="AG329" s="524"/>
      <c r="AH329" s="238"/>
      <c r="AI329" s="238"/>
      <c r="AJ329" s="238"/>
      <c r="AK329" s="238"/>
      <c r="AL329" s="238"/>
      <c r="AM329" s="238"/>
      <c r="AN329" s="238"/>
      <c r="AO329" s="238"/>
      <c r="AP329" s="238"/>
      <c r="AQ329" s="238"/>
      <c r="AR329" s="238"/>
      <c r="AS329" s="238"/>
      <c r="AT329" s="456"/>
      <c r="AU329" s="238"/>
      <c r="AV329" s="238"/>
      <c r="AW329" s="238"/>
      <c r="AX329" s="238"/>
      <c r="AY329" s="238"/>
      <c r="AZ329" s="241"/>
      <c r="BA329" s="241"/>
      <c r="BB329" s="241"/>
      <c r="BC329" s="238"/>
      <c r="BD329" s="238"/>
      <c r="BE329" s="238"/>
      <c r="BF329" s="238"/>
      <c r="BG329" s="238"/>
      <c r="BH329" s="238"/>
      <c r="BI329" s="238"/>
      <c r="BJ329" s="238"/>
      <c r="BK329" s="238"/>
      <c r="BL329" s="238"/>
      <c r="BM329" s="238"/>
      <c r="BN329" s="238"/>
      <c r="BO329" s="238"/>
      <c r="BP329" s="238"/>
      <c r="BQ329" s="238"/>
      <c r="BR329" s="238"/>
      <c r="BS329" s="238"/>
      <c r="BT329" s="238"/>
      <c r="BU329" s="238"/>
      <c r="BV329" s="238"/>
      <c r="BW329" s="238"/>
      <c r="BX329" s="238"/>
      <c r="BY329" s="238"/>
      <c r="BZ329" s="238"/>
      <c r="CA329" s="238"/>
      <c r="CB329" s="238"/>
      <c r="CC329" s="238"/>
      <c r="CD329" s="238"/>
      <c r="CE329" s="238"/>
      <c r="CF329" s="238"/>
    </row>
    <row r="330" spans="1:84">
      <c r="A330" s="534"/>
      <c r="B330" s="256"/>
      <c r="C330" s="238"/>
      <c r="D330" s="256"/>
      <c r="E330" s="256"/>
      <c r="F330" s="256"/>
      <c r="G330" s="520"/>
      <c r="H330" s="520"/>
      <c r="I330" s="520"/>
      <c r="J330" s="522"/>
      <c r="K330" s="520"/>
      <c r="L330" s="522"/>
      <c r="M330" s="522"/>
      <c r="N330" s="522"/>
      <c r="O330" s="525"/>
      <c r="P330" s="238"/>
      <c r="Q330" s="238"/>
      <c r="S330" s="238"/>
      <c r="T330" s="238"/>
      <c r="U330" s="238"/>
      <c r="V330" s="238"/>
      <c r="W330" s="238"/>
      <c r="X330" s="238"/>
      <c r="Y330" s="238"/>
      <c r="Z330" s="238"/>
      <c r="AA330" s="240"/>
      <c r="AB330" s="238"/>
      <c r="AC330" s="238"/>
      <c r="AD330" s="238"/>
      <c r="AE330" s="238"/>
      <c r="AF330" s="238"/>
      <c r="AG330" s="524"/>
      <c r="AH330" s="238"/>
      <c r="AI330" s="238"/>
      <c r="AJ330" s="238"/>
      <c r="AK330" s="238"/>
      <c r="AL330" s="238"/>
      <c r="AM330" s="238"/>
      <c r="AN330" s="238"/>
      <c r="AO330" s="238"/>
      <c r="AP330" s="238"/>
      <c r="AQ330" s="238"/>
      <c r="AR330" s="238"/>
      <c r="AS330" s="238"/>
      <c r="AT330" s="456"/>
      <c r="AU330" s="238"/>
      <c r="AV330" s="238"/>
      <c r="AW330" s="238"/>
      <c r="AX330" s="238"/>
      <c r="AY330" s="238"/>
      <c r="AZ330" s="241"/>
      <c r="BA330" s="241"/>
      <c r="BB330" s="241"/>
      <c r="BC330" s="238"/>
      <c r="BD330" s="238"/>
      <c r="BE330" s="238"/>
      <c r="BF330" s="238"/>
      <c r="BG330" s="238"/>
      <c r="BH330" s="238"/>
      <c r="BI330" s="238"/>
      <c r="BJ330" s="238"/>
      <c r="BK330" s="238"/>
      <c r="BL330" s="238"/>
      <c r="BM330" s="238"/>
      <c r="BN330" s="238"/>
      <c r="BO330" s="238"/>
      <c r="BP330" s="238"/>
      <c r="BQ330" s="238"/>
      <c r="BR330" s="238"/>
      <c r="BS330" s="238"/>
      <c r="BT330" s="238"/>
      <c r="BU330" s="238"/>
      <c r="BV330" s="238"/>
      <c r="BW330" s="238"/>
      <c r="BX330" s="238"/>
      <c r="BY330" s="238"/>
      <c r="BZ330" s="238"/>
      <c r="CA330" s="238"/>
      <c r="CB330" s="238"/>
      <c r="CC330" s="238"/>
      <c r="CD330" s="238"/>
      <c r="CE330" s="238"/>
      <c r="CF330" s="238"/>
    </row>
    <row r="331" spans="1:84">
      <c r="A331" s="534"/>
      <c r="B331" s="256"/>
      <c r="C331" s="238"/>
      <c r="D331" s="256"/>
      <c r="E331" s="256"/>
      <c r="F331" s="256"/>
      <c r="G331" s="520"/>
      <c r="H331" s="520"/>
      <c r="I331" s="520"/>
      <c r="J331" s="522"/>
      <c r="K331" s="520"/>
      <c r="L331" s="522"/>
      <c r="M331" s="522"/>
      <c r="N331" s="522"/>
      <c r="O331" s="525"/>
      <c r="P331" s="238"/>
      <c r="Q331" s="238"/>
      <c r="S331" s="238"/>
      <c r="T331" s="238"/>
      <c r="U331" s="238"/>
      <c r="V331" s="238"/>
      <c r="W331" s="238"/>
      <c r="X331" s="238"/>
      <c r="Y331" s="238"/>
      <c r="Z331" s="238"/>
      <c r="AA331" s="240"/>
      <c r="AB331" s="238"/>
      <c r="AC331" s="238"/>
      <c r="AD331" s="238"/>
      <c r="AE331" s="238"/>
      <c r="AF331" s="238"/>
      <c r="AG331" s="524"/>
      <c r="AH331" s="238"/>
      <c r="AI331" s="238"/>
      <c r="AJ331" s="238"/>
      <c r="AK331" s="238"/>
      <c r="AL331" s="238"/>
      <c r="AM331" s="238"/>
      <c r="AN331" s="238"/>
      <c r="AO331" s="238"/>
      <c r="AP331" s="238"/>
      <c r="AQ331" s="238"/>
      <c r="AR331" s="238"/>
      <c r="AS331" s="238"/>
      <c r="AT331" s="456"/>
      <c r="AU331" s="238"/>
      <c r="AV331" s="238"/>
      <c r="AW331" s="238"/>
      <c r="AX331" s="238"/>
      <c r="AY331" s="238"/>
      <c r="AZ331" s="241"/>
      <c r="BA331" s="241"/>
      <c r="BB331" s="241"/>
      <c r="BC331" s="238"/>
      <c r="BD331" s="238"/>
      <c r="BE331" s="238"/>
      <c r="BF331" s="238"/>
      <c r="BG331" s="238"/>
      <c r="BH331" s="238"/>
      <c r="BI331" s="238"/>
      <c r="BJ331" s="238"/>
      <c r="BK331" s="238"/>
      <c r="BL331" s="238"/>
      <c r="BM331" s="238"/>
      <c r="BN331" s="238"/>
      <c r="BO331" s="238"/>
      <c r="BP331" s="238"/>
      <c r="BQ331" s="238"/>
      <c r="BR331" s="238"/>
      <c r="BS331" s="238"/>
      <c r="BT331" s="238"/>
      <c r="BU331" s="238"/>
      <c r="BV331" s="238"/>
      <c r="BW331" s="238"/>
      <c r="BX331" s="238"/>
      <c r="BY331" s="238"/>
      <c r="BZ331" s="238"/>
      <c r="CA331" s="238"/>
      <c r="CB331" s="238"/>
      <c r="CC331" s="238"/>
      <c r="CD331" s="238"/>
      <c r="CE331" s="238"/>
      <c r="CF331" s="238"/>
    </row>
    <row r="332" spans="1:84">
      <c r="A332" s="534"/>
      <c r="B332" s="256"/>
      <c r="C332" s="238"/>
      <c r="D332" s="256"/>
      <c r="E332" s="256"/>
      <c r="F332" s="256"/>
      <c r="G332" s="520"/>
      <c r="H332" s="520"/>
      <c r="I332" s="520"/>
      <c r="J332" s="522"/>
      <c r="K332" s="520"/>
      <c r="L332" s="522"/>
      <c r="M332" s="522"/>
      <c r="N332" s="522"/>
      <c r="O332" s="525"/>
      <c r="P332" s="238"/>
      <c r="Q332" s="238"/>
      <c r="S332" s="238"/>
      <c r="T332" s="238"/>
      <c r="U332" s="238"/>
      <c r="V332" s="238"/>
      <c r="W332" s="238"/>
      <c r="X332" s="238"/>
      <c r="Y332" s="238"/>
      <c r="Z332" s="238"/>
      <c r="AA332" s="240"/>
      <c r="AB332" s="238"/>
      <c r="AC332" s="238"/>
      <c r="AD332" s="238"/>
      <c r="AE332" s="238"/>
      <c r="AF332" s="238"/>
      <c r="AG332" s="524"/>
      <c r="AH332" s="238"/>
      <c r="AI332" s="238"/>
      <c r="AJ332" s="238"/>
      <c r="AK332" s="238"/>
      <c r="AL332" s="238"/>
      <c r="AM332" s="238"/>
      <c r="AN332" s="238"/>
      <c r="AO332" s="238"/>
      <c r="AP332" s="238"/>
      <c r="AQ332" s="238"/>
      <c r="AR332" s="238"/>
      <c r="AS332" s="238"/>
      <c r="AT332" s="456"/>
      <c r="AU332" s="238"/>
      <c r="AV332" s="238"/>
      <c r="AW332" s="238"/>
      <c r="AX332" s="238"/>
      <c r="AY332" s="238"/>
      <c r="AZ332" s="241"/>
      <c r="BA332" s="241"/>
      <c r="BB332" s="241"/>
      <c r="BC332" s="238"/>
      <c r="BD332" s="238"/>
      <c r="BE332" s="238"/>
      <c r="BF332" s="238"/>
      <c r="BG332" s="238"/>
      <c r="BH332" s="238"/>
      <c r="BI332" s="238"/>
      <c r="BJ332" s="238"/>
      <c r="BK332" s="238"/>
      <c r="BL332" s="238"/>
      <c r="BM332" s="238"/>
      <c r="BN332" s="238"/>
      <c r="BO332" s="238"/>
      <c r="BP332" s="238"/>
      <c r="BQ332" s="238"/>
      <c r="BR332" s="238"/>
      <c r="BS332" s="238"/>
      <c r="BT332" s="238"/>
      <c r="BU332" s="238"/>
      <c r="BV332" s="238"/>
      <c r="BW332" s="238"/>
      <c r="BX332" s="238"/>
      <c r="BY332" s="238"/>
      <c r="BZ332" s="238"/>
      <c r="CA332" s="238"/>
      <c r="CB332" s="238"/>
      <c r="CC332" s="238"/>
      <c r="CD332" s="238"/>
      <c r="CE332" s="238"/>
      <c r="CF332" s="238"/>
    </row>
    <row r="333" spans="1:84">
      <c r="A333" s="534"/>
      <c r="B333" s="256"/>
      <c r="C333" s="238"/>
      <c r="D333" s="256"/>
      <c r="E333" s="256"/>
      <c r="F333" s="256"/>
      <c r="G333" s="520"/>
      <c r="H333" s="520"/>
      <c r="I333" s="520"/>
      <c r="J333" s="522"/>
      <c r="K333" s="520"/>
      <c r="L333" s="522"/>
      <c r="M333" s="522"/>
      <c r="N333" s="522"/>
      <c r="O333" s="525"/>
      <c r="P333" s="238"/>
      <c r="Q333" s="238"/>
      <c r="S333" s="238"/>
      <c r="T333" s="238"/>
      <c r="U333" s="238"/>
      <c r="V333" s="238"/>
      <c r="W333" s="238"/>
      <c r="X333" s="238"/>
      <c r="Y333" s="238"/>
      <c r="Z333" s="238"/>
      <c r="AA333" s="240"/>
      <c r="AB333" s="238"/>
      <c r="AC333" s="238"/>
      <c r="AD333" s="238"/>
      <c r="AE333" s="238"/>
      <c r="AF333" s="238"/>
      <c r="AG333" s="524"/>
      <c r="AH333" s="238"/>
      <c r="AI333" s="238"/>
      <c r="AJ333" s="238"/>
      <c r="AK333" s="238"/>
      <c r="AL333" s="238"/>
      <c r="AM333" s="238"/>
      <c r="AN333" s="238"/>
      <c r="AO333" s="238"/>
      <c r="AP333" s="238"/>
      <c r="AQ333" s="238"/>
      <c r="AR333" s="238"/>
      <c r="AS333" s="238"/>
      <c r="AT333" s="456"/>
      <c r="AU333" s="238"/>
      <c r="AV333" s="238"/>
      <c r="AW333" s="238"/>
      <c r="AX333" s="238"/>
      <c r="AY333" s="238"/>
      <c r="AZ333" s="241"/>
      <c r="BA333" s="241"/>
      <c r="BB333" s="241"/>
      <c r="BC333" s="238"/>
      <c r="BD333" s="238"/>
      <c r="BE333" s="238"/>
      <c r="BF333" s="238"/>
      <c r="BG333" s="238"/>
      <c r="BH333" s="238"/>
      <c r="BI333" s="238"/>
      <c r="BJ333" s="238"/>
      <c r="BK333" s="238"/>
      <c r="BL333" s="238"/>
      <c r="BM333" s="238"/>
      <c r="BN333" s="238"/>
      <c r="BO333" s="238"/>
      <c r="BP333" s="238"/>
      <c r="BQ333" s="238"/>
      <c r="BR333" s="238"/>
      <c r="BS333" s="238"/>
      <c r="BT333" s="238"/>
      <c r="BU333" s="238"/>
      <c r="BV333" s="238"/>
      <c r="BW333" s="238"/>
      <c r="BX333" s="238"/>
      <c r="BY333" s="238"/>
      <c r="BZ333" s="238"/>
      <c r="CA333" s="238"/>
      <c r="CB333" s="238"/>
      <c r="CC333" s="238"/>
      <c r="CD333" s="238"/>
      <c r="CE333" s="238"/>
      <c r="CF333" s="238"/>
    </row>
    <row r="334" spans="1:84">
      <c r="A334" s="534"/>
      <c r="B334" s="256"/>
      <c r="C334" s="238"/>
      <c r="D334" s="256"/>
      <c r="E334" s="256"/>
      <c r="F334" s="256"/>
      <c r="G334" s="520"/>
      <c r="H334" s="520"/>
      <c r="I334" s="520"/>
      <c r="J334" s="522"/>
      <c r="K334" s="520"/>
      <c r="L334" s="522"/>
      <c r="M334" s="522"/>
      <c r="N334" s="522"/>
      <c r="O334" s="525"/>
      <c r="P334" s="238"/>
      <c r="Q334" s="238"/>
      <c r="S334" s="238"/>
      <c r="T334" s="238"/>
      <c r="U334" s="238"/>
      <c r="V334" s="238"/>
      <c r="W334" s="238"/>
      <c r="X334" s="238"/>
      <c r="Y334" s="238"/>
      <c r="Z334" s="238"/>
      <c r="AA334" s="240"/>
      <c r="AB334" s="238"/>
      <c r="AC334" s="238"/>
      <c r="AD334" s="238"/>
      <c r="AE334" s="238"/>
      <c r="AF334" s="238"/>
      <c r="AG334" s="524"/>
      <c r="AH334" s="238"/>
      <c r="AI334" s="238"/>
      <c r="AJ334" s="238"/>
      <c r="AK334" s="238"/>
      <c r="AL334" s="238"/>
      <c r="AM334" s="238"/>
      <c r="AN334" s="238"/>
      <c r="AO334" s="238"/>
      <c r="AP334" s="238"/>
      <c r="AQ334" s="238"/>
      <c r="AR334" s="238"/>
      <c r="AS334" s="238"/>
      <c r="AT334" s="456"/>
      <c r="AU334" s="238"/>
      <c r="AV334" s="238"/>
      <c r="AW334" s="238"/>
      <c r="AX334" s="238"/>
      <c r="AY334" s="238"/>
      <c r="AZ334" s="241"/>
      <c r="BA334" s="241"/>
      <c r="BB334" s="241"/>
      <c r="BC334" s="238"/>
      <c r="BD334" s="238"/>
      <c r="BE334" s="238"/>
      <c r="BF334" s="238"/>
      <c r="BG334" s="238"/>
      <c r="BH334" s="238"/>
      <c r="BI334" s="238"/>
      <c r="BJ334" s="238"/>
      <c r="BK334" s="238"/>
      <c r="BL334" s="238"/>
      <c r="BM334" s="238"/>
      <c r="BN334" s="238"/>
      <c r="BO334" s="238"/>
      <c r="BP334" s="238"/>
      <c r="BQ334" s="238"/>
      <c r="BR334" s="238"/>
      <c r="BS334" s="238"/>
      <c r="BT334" s="238"/>
      <c r="BU334" s="238"/>
      <c r="BV334" s="238"/>
      <c r="BW334" s="238"/>
      <c r="BX334" s="238"/>
      <c r="BY334" s="238"/>
      <c r="BZ334" s="238"/>
      <c r="CA334" s="238"/>
      <c r="CB334" s="238"/>
      <c r="CC334" s="238"/>
      <c r="CD334" s="238"/>
      <c r="CE334" s="238"/>
      <c r="CF334" s="238"/>
    </row>
    <row r="335" spans="1:84">
      <c r="A335" s="534"/>
      <c r="B335" s="256"/>
      <c r="C335" s="238"/>
      <c r="D335" s="256"/>
      <c r="E335" s="256"/>
      <c r="F335" s="256"/>
      <c r="G335" s="520"/>
      <c r="H335" s="520"/>
      <c r="I335" s="520"/>
      <c r="J335" s="522"/>
      <c r="K335" s="520"/>
      <c r="L335" s="522"/>
      <c r="M335" s="522"/>
      <c r="N335" s="522"/>
      <c r="O335" s="525"/>
      <c r="P335" s="238"/>
      <c r="Q335" s="238"/>
      <c r="S335" s="238"/>
      <c r="T335" s="238"/>
      <c r="U335" s="238"/>
      <c r="V335" s="238"/>
      <c r="W335" s="238"/>
      <c r="X335" s="238"/>
      <c r="Y335" s="238"/>
      <c r="Z335" s="238"/>
      <c r="AA335" s="240"/>
      <c r="AB335" s="238"/>
      <c r="AC335" s="238"/>
      <c r="AD335" s="238"/>
      <c r="AE335" s="238"/>
      <c r="AF335" s="238"/>
      <c r="AG335" s="524"/>
      <c r="AH335" s="238"/>
      <c r="AI335" s="238"/>
      <c r="AJ335" s="238"/>
      <c r="AK335" s="238"/>
      <c r="AL335" s="238"/>
      <c r="AM335" s="238"/>
      <c r="AN335" s="238"/>
      <c r="AO335" s="238"/>
      <c r="AP335" s="238"/>
      <c r="AQ335" s="238"/>
      <c r="AR335" s="238"/>
      <c r="AS335" s="238"/>
      <c r="AT335" s="456"/>
      <c r="AU335" s="238"/>
      <c r="AV335" s="238"/>
      <c r="AW335" s="238"/>
      <c r="AX335" s="238"/>
      <c r="AY335" s="238"/>
      <c r="AZ335" s="241"/>
      <c r="BA335" s="241"/>
      <c r="BB335" s="241"/>
      <c r="BC335" s="238"/>
      <c r="BD335" s="238"/>
      <c r="BE335" s="238"/>
      <c r="BF335" s="238"/>
      <c r="BG335" s="238"/>
      <c r="BH335" s="238"/>
      <c r="BI335" s="238"/>
      <c r="BJ335" s="238"/>
      <c r="BK335" s="238"/>
      <c r="BL335" s="238"/>
      <c r="BM335" s="238"/>
      <c r="BN335" s="238"/>
      <c r="BO335" s="238"/>
      <c r="BP335" s="238"/>
      <c r="BQ335" s="238"/>
      <c r="BR335" s="238"/>
      <c r="BS335" s="238"/>
      <c r="BT335" s="238"/>
      <c r="BU335" s="238"/>
      <c r="BV335" s="238"/>
      <c r="BW335" s="238"/>
      <c r="BX335" s="238"/>
      <c r="BY335" s="238"/>
      <c r="BZ335" s="238"/>
      <c r="CA335" s="238"/>
      <c r="CB335" s="238"/>
      <c r="CC335" s="238"/>
      <c r="CD335" s="238"/>
      <c r="CE335" s="238"/>
      <c r="CF335" s="238"/>
    </row>
    <row r="336" spans="1:84">
      <c r="A336" s="534"/>
      <c r="B336" s="256"/>
      <c r="C336" s="238"/>
      <c r="D336" s="256"/>
      <c r="E336" s="256"/>
      <c r="F336" s="256"/>
      <c r="G336" s="520"/>
      <c r="H336" s="520"/>
      <c r="I336" s="520"/>
      <c r="J336" s="522"/>
      <c r="K336" s="520"/>
      <c r="L336" s="522"/>
      <c r="M336" s="522"/>
      <c r="N336" s="522"/>
      <c r="O336" s="525"/>
      <c r="P336" s="238"/>
      <c r="Q336" s="238"/>
      <c r="S336" s="238"/>
      <c r="T336" s="238"/>
      <c r="U336" s="238"/>
      <c r="V336" s="238"/>
      <c r="W336" s="238"/>
      <c r="X336" s="238"/>
      <c r="Y336" s="238"/>
      <c r="Z336" s="238"/>
      <c r="AA336" s="240"/>
      <c r="AB336" s="238"/>
      <c r="AC336" s="238"/>
      <c r="AD336" s="238"/>
      <c r="AE336" s="238"/>
      <c r="AF336" s="238"/>
      <c r="AG336" s="524"/>
      <c r="AH336" s="238"/>
      <c r="AI336" s="238"/>
      <c r="AJ336" s="238"/>
      <c r="AK336" s="238"/>
      <c r="AL336" s="238"/>
      <c r="AM336" s="238"/>
      <c r="AN336" s="238"/>
      <c r="AO336" s="238"/>
      <c r="AP336" s="238"/>
      <c r="AQ336" s="238"/>
      <c r="AR336" s="238"/>
      <c r="AS336" s="238"/>
      <c r="AT336" s="456"/>
      <c r="AU336" s="238"/>
      <c r="AV336" s="238"/>
      <c r="AW336" s="238"/>
      <c r="AX336" s="238"/>
      <c r="AY336" s="238"/>
      <c r="AZ336" s="241"/>
      <c r="BA336" s="241"/>
      <c r="BB336" s="241"/>
      <c r="BC336" s="238"/>
      <c r="BD336" s="238"/>
      <c r="BE336" s="238"/>
      <c r="BF336" s="238"/>
      <c r="BG336" s="238"/>
      <c r="BH336" s="238"/>
      <c r="BI336" s="238"/>
      <c r="BJ336" s="238"/>
      <c r="BK336" s="238"/>
      <c r="BL336" s="238"/>
      <c r="BM336" s="238"/>
      <c r="BN336" s="238"/>
      <c r="BO336" s="238"/>
      <c r="BP336" s="238"/>
      <c r="BQ336" s="238"/>
      <c r="BR336" s="238"/>
      <c r="BS336" s="238"/>
      <c r="BT336" s="238"/>
      <c r="BU336" s="238"/>
      <c r="BV336" s="238"/>
      <c r="BW336" s="238"/>
      <c r="BX336" s="238"/>
      <c r="BY336" s="238"/>
      <c r="BZ336" s="238"/>
      <c r="CA336" s="238"/>
      <c r="CB336" s="238"/>
      <c r="CC336" s="238"/>
      <c r="CD336" s="238"/>
      <c r="CE336" s="238"/>
      <c r="CF336" s="238"/>
    </row>
    <row r="337" spans="1:84">
      <c r="A337" s="534"/>
      <c r="B337" s="256"/>
      <c r="C337" s="238"/>
      <c r="D337" s="256"/>
      <c r="E337" s="256"/>
      <c r="F337" s="256"/>
      <c r="G337" s="520"/>
      <c r="H337" s="520"/>
      <c r="I337" s="520"/>
      <c r="J337" s="522"/>
      <c r="K337" s="520"/>
      <c r="L337" s="522"/>
      <c r="M337" s="522"/>
      <c r="N337" s="522"/>
      <c r="O337" s="525"/>
      <c r="P337" s="238"/>
      <c r="Q337" s="238"/>
      <c r="S337" s="238"/>
      <c r="T337" s="238"/>
      <c r="U337" s="238"/>
      <c r="V337" s="238"/>
      <c r="W337" s="238"/>
      <c r="X337" s="238"/>
      <c r="Y337" s="238"/>
      <c r="Z337" s="238"/>
      <c r="AA337" s="240"/>
      <c r="AB337" s="238"/>
      <c r="AC337" s="238"/>
      <c r="AD337" s="238"/>
      <c r="AE337" s="238"/>
      <c r="AF337" s="238"/>
      <c r="AG337" s="524"/>
      <c r="AH337" s="238"/>
      <c r="AI337" s="238"/>
      <c r="AJ337" s="238"/>
      <c r="AK337" s="238"/>
      <c r="AL337" s="238"/>
      <c r="AM337" s="238"/>
      <c r="AN337" s="238"/>
      <c r="AO337" s="238"/>
      <c r="AP337" s="238"/>
      <c r="AQ337" s="238"/>
      <c r="AR337" s="238"/>
      <c r="AS337" s="238"/>
      <c r="AT337" s="456"/>
      <c r="AU337" s="238"/>
      <c r="AV337" s="238"/>
      <c r="AW337" s="238"/>
      <c r="AX337" s="238"/>
      <c r="AY337" s="238"/>
      <c r="AZ337" s="241"/>
      <c r="BA337" s="241"/>
      <c r="BB337" s="241"/>
      <c r="BC337" s="238"/>
      <c r="BD337" s="238"/>
      <c r="BE337" s="238"/>
      <c r="BF337" s="238"/>
      <c r="BG337" s="238"/>
      <c r="BH337" s="238"/>
      <c r="BI337" s="238"/>
      <c r="BJ337" s="238"/>
      <c r="BK337" s="238"/>
      <c r="BL337" s="238"/>
      <c r="BM337" s="238"/>
      <c r="BN337" s="238"/>
      <c r="BO337" s="238"/>
      <c r="BP337" s="238"/>
      <c r="BQ337" s="238"/>
      <c r="BR337" s="238"/>
      <c r="BS337" s="238"/>
      <c r="BT337" s="238"/>
      <c r="BU337" s="238"/>
      <c r="BV337" s="238"/>
      <c r="BW337" s="238"/>
      <c r="BX337" s="238"/>
      <c r="BY337" s="238"/>
      <c r="BZ337" s="238"/>
      <c r="CA337" s="238"/>
      <c r="CB337" s="238"/>
      <c r="CC337" s="238"/>
      <c r="CD337" s="238"/>
      <c r="CE337" s="238"/>
      <c r="CF337" s="238"/>
    </row>
    <row r="338" spans="1:84">
      <c r="A338" s="534"/>
      <c r="B338" s="256"/>
      <c r="C338" s="238"/>
      <c r="D338" s="256"/>
      <c r="E338" s="256"/>
      <c r="F338" s="256"/>
      <c r="G338" s="520"/>
      <c r="H338" s="520"/>
      <c r="I338" s="520"/>
      <c r="J338" s="522"/>
      <c r="K338" s="520"/>
      <c r="L338" s="522"/>
      <c r="M338" s="522"/>
      <c r="N338" s="522"/>
      <c r="O338" s="525"/>
      <c r="P338" s="238"/>
      <c r="Q338" s="238"/>
      <c r="S338" s="238"/>
      <c r="T338" s="238"/>
      <c r="U338" s="238"/>
      <c r="V338" s="238"/>
      <c r="W338" s="238"/>
      <c r="X338" s="238"/>
      <c r="Y338" s="238"/>
      <c r="Z338" s="238"/>
      <c r="AA338" s="240"/>
      <c r="AB338" s="238"/>
      <c r="AC338" s="238"/>
      <c r="AD338" s="238"/>
      <c r="AE338" s="238"/>
      <c r="AF338" s="238"/>
      <c r="AG338" s="524"/>
      <c r="AH338" s="238"/>
      <c r="AI338" s="238"/>
      <c r="AJ338" s="238"/>
      <c r="AK338" s="238"/>
      <c r="AL338" s="238"/>
      <c r="AM338" s="238"/>
      <c r="AN338" s="238"/>
      <c r="AO338" s="238"/>
      <c r="AP338" s="238"/>
      <c r="AQ338" s="238"/>
      <c r="AR338" s="238"/>
      <c r="AS338" s="238"/>
      <c r="AT338" s="456"/>
      <c r="AU338" s="238"/>
      <c r="AV338" s="238"/>
      <c r="AW338" s="238"/>
      <c r="AX338" s="238"/>
      <c r="AY338" s="238"/>
      <c r="AZ338" s="241"/>
      <c r="BA338" s="241"/>
      <c r="BB338" s="241"/>
      <c r="BC338" s="238"/>
      <c r="BD338" s="238"/>
      <c r="BE338" s="238"/>
      <c r="BF338" s="238"/>
      <c r="BG338" s="238"/>
      <c r="BH338" s="238"/>
      <c r="BI338" s="238"/>
      <c r="BJ338" s="238"/>
      <c r="BK338" s="238"/>
      <c r="BL338" s="238"/>
      <c r="BM338" s="238"/>
      <c r="BN338" s="238"/>
      <c r="BO338" s="238"/>
      <c r="BP338" s="238"/>
      <c r="BQ338" s="238"/>
      <c r="BR338" s="238"/>
      <c r="BS338" s="238"/>
      <c r="BT338" s="238"/>
      <c r="BU338" s="238"/>
      <c r="BV338" s="238"/>
      <c r="BW338" s="238"/>
      <c r="BX338" s="238"/>
      <c r="BY338" s="238"/>
      <c r="BZ338" s="238"/>
      <c r="CA338" s="238"/>
      <c r="CB338" s="238"/>
      <c r="CC338" s="238"/>
      <c r="CD338" s="238"/>
      <c r="CE338" s="238"/>
      <c r="CF338" s="238"/>
    </row>
    <row r="339" spans="1:84">
      <c r="A339" s="534"/>
      <c r="B339" s="256"/>
      <c r="C339" s="238"/>
      <c r="D339" s="256"/>
      <c r="E339" s="256"/>
      <c r="F339" s="256"/>
      <c r="G339" s="520"/>
      <c r="H339" s="520"/>
      <c r="I339" s="520"/>
      <c r="J339" s="522"/>
      <c r="K339" s="520"/>
      <c r="L339" s="522"/>
      <c r="M339" s="522"/>
      <c r="N339" s="522"/>
      <c r="O339" s="525"/>
      <c r="P339" s="238"/>
      <c r="Q339" s="238"/>
      <c r="S339" s="238"/>
      <c r="T339" s="238"/>
      <c r="U339" s="238"/>
      <c r="V339" s="238"/>
      <c r="W339" s="238"/>
      <c r="X339" s="238"/>
      <c r="Y339" s="238"/>
      <c r="Z339" s="238"/>
      <c r="AA339" s="240"/>
      <c r="AB339" s="238"/>
      <c r="AC339" s="238"/>
      <c r="AD339" s="238"/>
      <c r="AE339" s="238"/>
      <c r="AF339" s="238"/>
      <c r="AG339" s="524"/>
      <c r="AH339" s="238"/>
      <c r="AI339" s="238"/>
      <c r="AJ339" s="238"/>
      <c r="AK339" s="238"/>
      <c r="AL339" s="238"/>
      <c r="AM339" s="238"/>
      <c r="AN339" s="238"/>
      <c r="AO339" s="238"/>
      <c r="AP339" s="238"/>
      <c r="AQ339" s="238"/>
      <c r="AR339" s="238"/>
      <c r="AS339" s="238"/>
      <c r="AT339" s="456"/>
      <c r="AU339" s="238"/>
      <c r="AV339" s="238"/>
      <c r="AW339" s="238"/>
      <c r="AX339" s="238"/>
      <c r="AY339" s="238"/>
      <c r="AZ339" s="241"/>
      <c r="BA339" s="241"/>
      <c r="BB339" s="241"/>
      <c r="BC339" s="238"/>
      <c r="BD339" s="238"/>
      <c r="BE339" s="238"/>
      <c r="BF339" s="238"/>
      <c r="BG339" s="238"/>
      <c r="BH339" s="238"/>
      <c r="BI339" s="238"/>
      <c r="BJ339" s="238"/>
      <c r="BK339" s="238"/>
      <c r="BL339" s="238"/>
      <c r="BM339" s="238"/>
      <c r="BN339" s="238"/>
      <c r="BO339" s="238"/>
      <c r="BP339" s="238"/>
      <c r="BQ339" s="238"/>
      <c r="BR339" s="238"/>
      <c r="BS339" s="238"/>
      <c r="BT339" s="238"/>
      <c r="BU339" s="238"/>
      <c r="BV339" s="238"/>
      <c r="BW339" s="238"/>
      <c r="BX339" s="238"/>
      <c r="BY339" s="238"/>
      <c r="BZ339" s="238"/>
      <c r="CA339" s="238"/>
      <c r="CB339" s="238"/>
      <c r="CC339" s="238"/>
      <c r="CD339" s="238"/>
      <c r="CE339" s="238"/>
      <c r="CF339" s="238"/>
    </row>
    <row r="340" spans="1:84">
      <c r="A340" s="534"/>
      <c r="B340" s="256"/>
      <c r="C340" s="238"/>
      <c r="D340" s="256"/>
      <c r="E340" s="256"/>
      <c r="F340" s="256"/>
      <c r="G340" s="520"/>
      <c r="H340" s="520"/>
      <c r="I340" s="520"/>
      <c r="J340" s="522"/>
      <c r="K340" s="520"/>
      <c r="L340" s="522"/>
      <c r="M340" s="522"/>
      <c r="N340" s="522"/>
      <c r="O340" s="525"/>
      <c r="P340" s="238"/>
      <c r="Q340" s="238"/>
      <c r="S340" s="238"/>
      <c r="T340" s="238"/>
      <c r="U340" s="238"/>
      <c r="V340" s="238"/>
      <c r="W340" s="238"/>
      <c r="X340" s="238"/>
      <c r="Y340" s="238"/>
      <c r="Z340" s="238"/>
      <c r="AA340" s="240"/>
      <c r="AB340" s="238"/>
      <c r="AC340" s="238"/>
      <c r="AD340" s="238"/>
      <c r="AE340" s="238"/>
      <c r="AF340" s="238"/>
      <c r="AG340" s="524"/>
      <c r="AH340" s="238"/>
      <c r="AI340" s="238"/>
      <c r="AJ340" s="238"/>
      <c r="AK340" s="238"/>
      <c r="AL340" s="238"/>
      <c r="AM340" s="238"/>
      <c r="AN340" s="238"/>
      <c r="AO340" s="238"/>
      <c r="AP340" s="238"/>
      <c r="AQ340" s="238"/>
      <c r="AR340" s="238"/>
      <c r="AS340" s="238"/>
      <c r="AT340" s="456"/>
      <c r="AU340" s="238"/>
      <c r="AV340" s="238"/>
      <c r="AW340" s="238"/>
      <c r="AX340" s="238"/>
      <c r="AY340" s="238"/>
      <c r="AZ340" s="241"/>
      <c r="BA340" s="241"/>
      <c r="BB340" s="241"/>
      <c r="BC340" s="238"/>
      <c r="BD340" s="238"/>
      <c r="BE340" s="238"/>
      <c r="BF340" s="238"/>
      <c r="BG340" s="238"/>
      <c r="BH340" s="238"/>
      <c r="BI340" s="238"/>
      <c r="BJ340" s="238"/>
      <c r="BK340" s="238"/>
      <c r="BL340" s="238"/>
      <c r="BM340" s="238"/>
      <c r="BN340" s="238"/>
      <c r="BO340" s="238"/>
      <c r="BP340" s="238"/>
      <c r="BQ340" s="238"/>
      <c r="BR340" s="238"/>
      <c r="BS340" s="238"/>
      <c r="BT340" s="238"/>
      <c r="BU340" s="238"/>
      <c r="BV340" s="238"/>
      <c r="BW340" s="238"/>
      <c r="BX340" s="238"/>
      <c r="BY340" s="238"/>
      <c r="BZ340" s="238"/>
      <c r="CA340" s="238"/>
      <c r="CB340" s="238"/>
      <c r="CC340" s="238"/>
      <c r="CD340" s="238"/>
      <c r="CE340" s="238"/>
      <c r="CF340" s="238"/>
    </row>
    <row r="341" spans="1:84">
      <c r="A341" s="534"/>
      <c r="B341" s="256"/>
      <c r="C341" s="238"/>
      <c r="D341" s="256"/>
      <c r="E341" s="256"/>
      <c r="F341" s="256"/>
      <c r="G341" s="520"/>
      <c r="H341" s="520"/>
      <c r="I341" s="520"/>
      <c r="J341" s="522"/>
      <c r="K341" s="520"/>
      <c r="L341" s="522"/>
      <c r="M341" s="522"/>
      <c r="N341" s="522"/>
      <c r="O341" s="525"/>
      <c r="P341" s="238"/>
      <c r="Q341" s="238"/>
      <c r="S341" s="238"/>
      <c r="T341" s="238"/>
      <c r="U341" s="238"/>
      <c r="V341" s="238"/>
      <c r="W341" s="238"/>
      <c r="X341" s="238"/>
      <c r="Y341" s="238"/>
      <c r="Z341" s="238"/>
      <c r="AA341" s="240"/>
      <c r="AB341" s="238"/>
      <c r="AC341" s="238"/>
      <c r="AD341" s="238"/>
      <c r="AE341" s="238"/>
      <c r="AF341" s="238"/>
      <c r="AG341" s="524"/>
      <c r="AH341" s="238"/>
      <c r="AI341" s="238"/>
      <c r="AJ341" s="238"/>
      <c r="AK341" s="238"/>
      <c r="AL341" s="238"/>
      <c r="AM341" s="238"/>
      <c r="AN341" s="238"/>
      <c r="AO341" s="238"/>
      <c r="AP341" s="238"/>
      <c r="AQ341" s="238"/>
      <c r="AR341" s="238"/>
      <c r="AS341" s="238"/>
      <c r="AT341" s="456"/>
      <c r="AU341" s="238"/>
      <c r="AV341" s="238"/>
      <c r="AW341" s="238"/>
      <c r="AX341" s="238"/>
      <c r="AY341" s="238"/>
      <c r="AZ341" s="241"/>
      <c r="BA341" s="241"/>
      <c r="BB341" s="241"/>
      <c r="BC341" s="238"/>
      <c r="BD341" s="238"/>
      <c r="BE341" s="238"/>
      <c r="BF341" s="238"/>
      <c r="BG341" s="238"/>
      <c r="BH341" s="238"/>
      <c r="BI341" s="238"/>
      <c r="BJ341" s="238"/>
      <c r="BK341" s="238"/>
      <c r="BL341" s="238"/>
      <c r="BM341" s="238"/>
      <c r="BN341" s="238"/>
      <c r="BO341" s="238"/>
      <c r="BP341" s="238"/>
      <c r="BQ341" s="238"/>
      <c r="BR341" s="238"/>
      <c r="BS341" s="238"/>
      <c r="BT341" s="238"/>
      <c r="BU341" s="238"/>
      <c r="BV341" s="238"/>
      <c r="BW341" s="238"/>
      <c r="BX341" s="238"/>
      <c r="BY341" s="238"/>
      <c r="BZ341" s="238"/>
      <c r="CA341" s="238"/>
      <c r="CB341" s="238"/>
      <c r="CC341" s="238"/>
      <c r="CD341" s="238"/>
      <c r="CE341" s="238"/>
      <c r="CF341" s="238"/>
    </row>
    <row r="342" spans="1:84">
      <c r="A342" s="534"/>
      <c r="B342" s="256"/>
      <c r="C342" s="238"/>
      <c r="D342" s="256"/>
      <c r="E342" s="256"/>
      <c r="F342" s="256"/>
      <c r="G342" s="520"/>
      <c r="H342" s="520"/>
      <c r="I342" s="520"/>
      <c r="J342" s="522"/>
      <c r="K342" s="520"/>
      <c r="L342" s="522"/>
      <c r="M342" s="522"/>
      <c r="N342" s="522"/>
      <c r="O342" s="525"/>
      <c r="P342" s="238"/>
      <c r="Q342" s="238"/>
      <c r="S342" s="238"/>
      <c r="T342" s="238"/>
      <c r="U342" s="238"/>
      <c r="V342" s="238"/>
      <c r="W342" s="238"/>
      <c r="X342" s="238"/>
      <c r="Y342" s="238"/>
      <c r="Z342" s="238"/>
      <c r="AA342" s="240"/>
      <c r="AB342" s="238"/>
      <c r="AC342" s="238"/>
      <c r="AD342" s="238"/>
      <c r="AE342" s="238"/>
      <c r="AF342" s="238"/>
      <c r="AG342" s="524"/>
      <c r="AH342" s="238"/>
      <c r="AI342" s="238"/>
      <c r="AJ342" s="238"/>
      <c r="AK342" s="238"/>
      <c r="AL342" s="238"/>
      <c r="AM342" s="238"/>
      <c r="AN342" s="238"/>
      <c r="AO342" s="238"/>
      <c r="AP342" s="238"/>
      <c r="AQ342" s="238"/>
      <c r="AR342" s="238"/>
      <c r="AS342" s="238"/>
      <c r="AT342" s="456"/>
      <c r="AU342" s="238"/>
      <c r="AV342" s="238"/>
      <c r="AW342" s="238"/>
      <c r="AX342" s="238"/>
      <c r="AY342" s="238"/>
      <c r="AZ342" s="241"/>
      <c r="BA342" s="241"/>
      <c r="BB342" s="241"/>
      <c r="BC342" s="238"/>
      <c r="BD342" s="238"/>
      <c r="BE342" s="238"/>
      <c r="BF342" s="238"/>
      <c r="BG342" s="238"/>
      <c r="BH342" s="238"/>
      <c r="BI342" s="238"/>
      <c r="BJ342" s="238"/>
      <c r="BK342" s="238"/>
      <c r="BL342" s="238"/>
      <c r="BM342" s="238"/>
      <c r="BN342" s="238"/>
      <c r="BO342" s="238"/>
      <c r="BP342" s="238"/>
      <c r="BQ342" s="238"/>
      <c r="BR342" s="238"/>
      <c r="BS342" s="238"/>
      <c r="BT342" s="238"/>
      <c r="BU342" s="238"/>
      <c r="BV342" s="238"/>
      <c r="BW342" s="238"/>
      <c r="BX342" s="238"/>
      <c r="BY342" s="238"/>
      <c r="BZ342" s="238"/>
      <c r="CA342" s="238"/>
      <c r="CB342" s="238"/>
      <c r="CC342" s="238"/>
      <c r="CD342" s="238"/>
      <c r="CE342" s="238"/>
      <c r="CF342" s="238"/>
    </row>
    <row r="343" spans="1:84">
      <c r="A343" s="534"/>
      <c r="B343" s="256"/>
      <c r="C343" s="238"/>
      <c r="D343" s="256"/>
      <c r="E343" s="256"/>
      <c r="F343" s="256"/>
      <c r="G343" s="520"/>
      <c r="H343" s="520"/>
      <c r="I343" s="520"/>
      <c r="J343" s="522"/>
      <c r="K343" s="520"/>
      <c r="L343" s="522"/>
      <c r="M343" s="522"/>
      <c r="N343" s="522"/>
      <c r="O343" s="525"/>
      <c r="P343" s="238"/>
      <c r="Q343" s="238"/>
      <c r="S343" s="238"/>
      <c r="T343" s="238"/>
      <c r="U343" s="238"/>
      <c r="V343" s="238"/>
      <c r="W343" s="238"/>
      <c r="X343" s="238"/>
      <c r="Y343" s="238"/>
      <c r="Z343" s="238"/>
      <c r="AA343" s="240"/>
      <c r="AB343" s="238"/>
      <c r="AC343" s="238"/>
      <c r="AD343" s="238"/>
      <c r="AE343" s="238"/>
      <c r="AF343" s="238"/>
      <c r="AG343" s="524"/>
      <c r="AH343" s="238"/>
      <c r="AI343" s="238"/>
      <c r="AJ343" s="238"/>
      <c r="AK343" s="238"/>
      <c r="AL343" s="238"/>
      <c r="AM343" s="238"/>
      <c r="AN343" s="238"/>
      <c r="AO343" s="238"/>
      <c r="AP343" s="238"/>
      <c r="AQ343" s="238"/>
      <c r="AR343" s="238"/>
      <c r="AS343" s="238"/>
      <c r="AT343" s="456"/>
      <c r="AU343" s="238"/>
      <c r="AV343" s="238"/>
      <c r="AW343" s="238"/>
      <c r="AX343" s="238"/>
      <c r="AY343" s="238"/>
      <c r="AZ343" s="241"/>
      <c r="BA343" s="241"/>
      <c r="BB343" s="241"/>
      <c r="BC343" s="238"/>
      <c r="BD343" s="238"/>
      <c r="BE343" s="238"/>
      <c r="BF343" s="238"/>
      <c r="BG343" s="238"/>
      <c r="BH343" s="238"/>
      <c r="BI343" s="238"/>
      <c r="BJ343" s="238"/>
      <c r="BK343" s="238"/>
      <c r="BL343" s="238"/>
      <c r="BM343" s="238"/>
      <c r="BN343" s="238"/>
      <c r="BO343" s="238"/>
      <c r="BP343" s="238"/>
      <c r="BQ343" s="238"/>
      <c r="BR343" s="238"/>
      <c r="BS343" s="238"/>
      <c r="BT343" s="238"/>
      <c r="BU343" s="238"/>
      <c r="BV343" s="238"/>
      <c r="BW343" s="238"/>
      <c r="BX343" s="238"/>
      <c r="BY343" s="238"/>
      <c r="BZ343" s="238"/>
      <c r="CA343" s="238"/>
      <c r="CB343" s="238"/>
      <c r="CC343" s="238"/>
      <c r="CD343" s="238"/>
      <c r="CE343" s="238"/>
      <c r="CF343" s="238"/>
    </row>
    <row r="344" spans="1:84">
      <c r="A344" s="534"/>
      <c r="B344" s="256"/>
      <c r="C344" s="238"/>
      <c r="D344" s="256"/>
      <c r="E344" s="256"/>
      <c r="F344" s="256"/>
      <c r="G344" s="520"/>
      <c r="H344" s="520"/>
      <c r="I344" s="520"/>
      <c r="J344" s="522"/>
      <c r="K344" s="520"/>
      <c r="L344" s="522"/>
      <c r="M344" s="522"/>
      <c r="N344" s="522"/>
      <c r="O344" s="525"/>
      <c r="P344" s="238"/>
      <c r="Q344" s="238"/>
      <c r="S344" s="238"/>
      <c r="T344" s="238"/>
      <c r="U344" s="238"/>
      <c r="V344" s="238"/>
      <c r="W344" s="238"/>
      <c r="X344" s="238"/>
      <c r="Y344" s="238"/>
      <c r="Z344" s="238"/>
      <c r="AA344" s="240"/>
      <c r="AB344" s="238"/>
      <c r="AC344" s="238"/>
      <c r="AD344" s="238"/>
      <c r="AE344" s="238"/>
      <c r="AF344" s="238"/>
      <c r="AG344" s="524"/>
      <c r="AH344" s="238"/>
      <c r="AI344" s="238"/>
      <c r="AJ344" s="238"/>
      <c r="AK344" s="238"/>
      <c r="AL344" s="238"/>
      <c r="AM344" s="238"/>
      <c r="AN344" s="238"/>
      <c r="AO344" s="238"/>
      <c r="AP344" s="238"/>
      <c r="AQ344" s="238"/>
      <c r="AR344" s="238"/>
      <c r="AS344" s="238"/>
      <c r="AT344" s="456"/>
      <c r="AU344" s="238"/>
      <c r="AV344" s="238"/>
      <c r="AW344" s="238"/>
      <c r="AX344" s="238"/>
      <c r="AY344" s="238"/>
      <c r="AZ344" s="241"/>
      <c r="BA344" s="241"/>
      <c r="BB344" s="241"/>
      <c r="BC344" s="238"/>
      <c r="BD344" s="238"/>
      <c r="BE344" s="238"/>
      <c r="BF344" s="238"/>
      <c r="BG344" s="238"/>
      <c r="BH344" s="238"/>
      <c r="BI344" s="238"/>
      <c r="BJ344" s="238"/>
      <c r="BK344" s="238"/>
      <c r="BL344" s="238"/>
      <c r="BM344" s="238"/>
      <c r="BN344" s="238"/>
      <c r="BO344" s="238"/>
      <c r="BP344" s="238"/>
      <c r="BQ344" s="238"/>
      <c r="BR344" s="238"/>
      <c r="BS344" s="238"/>
      <c r="BT344" s="238"/>
      <c r="BU344" s="238"/>
      <c r="BV344" s="238"/>
      <c r="BW344" s="238"/>
      <c r="BX344" s="238"/>
      <c r="BY344" s="238"/>
      <c r="BZ344" s="238"/>
      <c r="CA344" s="238"/>
      <c r="CB344" s="238"/>
      <c r="CC344" s="238"/>
      <c r="CD344" s="238"/>
      <c r="CE344" s="238"/>
      <c r="CF344" s="238"/>
    </row>
    <row r="345" spans="1:84">
      <c r="A345" s="534"/>
      <c r="B345" s="256"/>
      <c r="C345" s="238"/>
      <c r="D345" s="256"/>
      <c r="E345" s="256"/>
      <c r="F345" s="256"/>
      <c r="G345" s="520"/>
      <c r="H345" s="520"/>
      <c r="I345" s="520"/>
      <c r="J345" s="522"/>
      <c r="K345" s="520"/>
      <c r="L345" s="522"/>
      <c r="M345" s="522"/>
      <c r="N345" s="522"/>
      <c r="O345" s="525"/>
      <c r="P345" s="238"/>
      <c r="Q345" s="238"/>
      <c r="S345" s="238"/>
      <c r="T345" s="238"/>
      <c r="U345" s="238"/>
      <c r="V345" s="238"/>
      <c r="W345" s="238"/>
      <c r="X345" s="238"/>
      <c r="Y345" s="238"/>
      <c r="Z345" s="238"/>
      <c r="AA345" s="240"/>
      <c r="AB345" s="238"/>
      <c r="AC345" s="238"/>
      <c r="AD345" s="238"/>
      <c r="AE345" s="238"/>
      <c r="AF345" s="238"/>
      <c r="AG345" s="524"/>
      <c r="AH345" s="238"/>
      <c r="AI345" s="238"/>
      <c r="AJ345" s="238"/>
      <c r="AK345" s="238"/>
      <c r="AL345" s="238"/>
      <c r="AM345" s="238"/>
      <c r="AN345" s="238"/>
      <c r="AO345" s="238"/>
      <c r="AP345" s="238"/>
      <c r="AQ345" s="238"/>
      <c r="AR345" s="238"/>
      <c r="AS345" s="238"/>
      <c r="AT345" s="456"/>
      <c r="AU345" s="238"/>
      <c r="AV345" s="238"/>
      <c r="AW345" s="238"/>
      <c r="AX345" s="238"/>
      <c r="AY345" s="238"/>
      <c r="AZ345" s="241"/>
      <c r="BA345" s="241"/>
      <c r="BB345" s="241"/>
      <c r="BC345" s="238"/>
      <c r="BD345" s="238"/>
      <c r="BE345" s="238"/>
      <c r="BF345" s="238"/>
      <c r="BG345" s="238"/>
      <c r="BH345" s="238"/>
      <c r="BI345" s="238"/>
      <c r="BJ345" s="238"/>
      <c r="BK345" s="238"/>
      <c r="BL345" s="238"/>
      <c r="BM345" s="238"/>
      <c r="BN345" s="238"/>
      <c r="BO345" s="238"/>
      <c r="BP345" s="238"/>
      <c r="BQ345" s="238"/>
      <c r="BR345" s="238"/>
      <c r="BS345" s="238"/>
      <c r="BT345" s="238"/>
      <c r="BU345" s="238"/>
      <c r="BV345" s="238"/>
      <c r="BW345" s="238"/>
      <c r="BX345" s="238"/>
      <c r="BY345" s="238"/>
      <c r="BZ345" s="238"/>
      <c r="CA345" s="238"/>
      <c r="CB345" s="238"/>
      <c r="CC345" s="238"/>
      <c r="CD345" s="238"/>
      <c r="CE345" s="238"/>
      <c r="CF345" s="238"/>
    </row>
    <row r="346" spans="1:84">
      <c r="A346" s="534"/>
      <c r="B346" s="256"/>
      <c r="C346" s="238"/>
      <c r="D346" s="256"/>
      <c r="E346" s="256"/>
      <c r="F346" s="256"/>
      <c r="G346" s="520"/>
      <c r="H346" s="520"/>
      <c r="I346" s="520"/>
      <c r="J346" s="522"/>
      <c r="K346" s="520"/>
      <c r="L346" s="522"/>
      <c r="M346" s="522"/>
      <c r="N346" s="522"/>
      <c r="O346" s="525"/>
      <c r="P346" s="238"/>
      <c r="Q346" s="238"/>
      <c r="S346" s="238"/>
      <c r="T346" s="238"/>
      <c r="U346" s="238"/>
      <c r="V346" s="238"/>
      <c r="W346" s="238"/>
      <c r="X346" s="238"/>
      <c r="Y346" s="238"/>
      <c r="Z346" s="238"/>
      <c r="AA346" s="240"/>
      <c r="AB346" s="238"/>
      <c r="AC346" s="238"/>
      <c r="AD346" s="238"/>
      <c r="AE346" s="238"/>
      <c r="AF346" s="238"/>
      <c r="AG346" s="524"/>
      <c r="AH346" s="238"/>
      <c r="AI346" s="238"/>
      <c r="AJ346" s="238"/>
      <c r="AK346" s="238"/>
      <c r="AL346" s="238"/>
      <c r="AM346" s="238"/>
      <c r="AN346" s="238"/>
      <c r="AO346" s="238"/>
      <c r="AP346" s="238"/>
      <c r="AQ346" s="238"/>
      <c r="AR346" s="238"/>
      <c r="AS346" s="238"/>
      <c r="AT346" s="456"/>
      <c r="AU346" s="238"/>
      <c r="AV346" s="238"/>
      <c r="AW346" s="238"/>
      <c r="AX346" s="238"/>
      <c r="AY346" s="238"/>
      <c r="AZ346" s="241"/>
      <c r="BA346" s="241"/>
      <c r="BB346" s="241"/>
      <c r="BC346" s="238"/>
      <c r="BD346" s="238"/>
      <c r="BE346" s="238"/>
      <c r="BF346" s="238"/>
      <c r="BG346" s="238"/>
      <c r="BH346" s="238"/>
      <c r="BI346" s="238"/>
      <c r="BJ346" s="238"/>
      <c r="BK346" s="238"/>
      <c r="BL346" s="238"/>
      <c r="BM346" s="238"/>
      <c r="BN346" s="238"/>
      <c r="BO346" s="238"/>
      <c r="BP346" s="238"/>
      <c r="BQ346" s="238"/>
      <c r="BR346" s="238"/>
      <c r="BS346" s="238"/>
      <c r="BT346" s="238"/>
      <c r="BU346" s="238"/>
      <c r="BV346" s="238"/>
      <c r="BW346" s="238"/>
      <c r="BX346" s="238"/>
      <c r="BY346" s="238"/>
      <c r="BZ346" s="238"/>
      <c r="CA346" s="238"/>
      <c r="CB346" s="238"/>
      <c r="CC346" s="238"/>
      <c r="CD346" s="238"/>
      <c r="CE346" s="238"/>
      <c r="CF346" s="238"/>
    </row>
    <row r="347" spans="1:84">
      <c r="A347" s="534"/>
      <c r="B347" s="256"/>
      <c r="C347" s="238"/>
      <c r="D347" s="256"/>
      <c r="E347" s="256"/>
      <c r="F347" s="256"/>
      <c r="G347" s="520"/>
      <c r="H347" s="520"/>
      <c r="I347" s="520"/>
      <c r="J347" s="522"/>
      <c r="K347" s="520"/>
      <c r="L347" s="522"/>
      <c r="M347" s="522"/>
      <c r="N347" s="522"/>
      <c r="O347" s="525"/>
      <c r="P347" s="238"/>
      <c r="Q347" s="238"/>
      <c r="S347" s="238"/>
      <c r="T347" s="238"/>
      <c r="U347" s="238"/>
      <c r="V347" s="238"/>
      <c r="W347" s="238"/>
      <c r="X347" s="238"/>
      <c r="Y347" s="238"/>
      <c r="Z347" s="238"/>
      <c r="AA347" s="240"/>
      <c r="AB347" s="238"/>
      <c r="AC347" s="238"/>
      <c r="AD347" s="238"/>
      <c r="AE347" s="238"/>
      <c r="AF347" s="238"/>
      <c r="AG347" s="524"/>
      <c r="AH347" s="238"/>
      <c r="AI347" s="238"/>
      <c r="AJ347" s="238"/>
      <c r="AK347" s="238"/>
      <c r="AL347" s="238"/>
      <c r="AM347" s="238"/>
      <c r="AN347" s="238"/>
      <c r="AO347" s="238"/>
      <c r="AP347" s="238"/>
      <c r="AQ347" s="238"/>
      <c r="AR347" s="238"/>
      <c r="AS347" s="238"/>
      <c r="AT347" s="456"/>
      <c r="AU347" s="238"/>
      <c r="AV347" s="238"/>
      <c r="AW347" s="238"/>
      <c r="AX347" s="238"/>
      <c r="AY347" s="238"/>
      <c r="AZ347" s="241"/>
      <c r="BA347" s="241"/>
      <c r="BB347" s="241"/>
      <c r="BC347" s="238"/>
      <c r="BD347" s="238"/>
      <c r="BE347" s="238"/>
      <c r="BF347" s="238"/>
      <c r="BG347" s="238"/>
      <c r="BH347" s="238"/>
      <c r="BI347" s="238"/>
      <c r="BJ347" s="238"/>
      <c r="BK347" s="238"/>
      <c r="BL347" s="238"/>
      <c r="BM347" s="238"/>
      <c r="BN347" s="238"/>
      <c r="BO347" s="238"/>
      <c r="BP347" s="238"/>
      <c r="BQ347" s="238"/>
      <c r="BR347" s="238"/>
      <c r="BS347" s="238"/>
      <c r="BT347" s="238"/>
      <c r="BU347" s="238"/>
      <c r="BV347" s="238"/>
      <c r="BW347" s="238"/>
      <c r="BX347" s="238"/>
      <c r="BY347" s="238"/>
      <c r="BZ347" s="238"/>
      <c r="CA347" s="238"/>
      <c r="CB347" s="238"/>
      <c r="CC347" s="238"/>
      <c r="CD347" s="238"/>
      <c r="CE347" s="238"/>
      <c r="CF347" s="238"/>
    </row>
    <row r="348" spans="1:84">
      <c r="A348" s="534"/>
      <c r="B348" s="256"/>
      <c r="C348" s="238"/>
      <c r="D348" s="256"/>
      <c r="E348" s="256"/>
      <c r="F348" s="256"/>
      <c r="G348" s="520"/>
      <c r="H348" s="520"/>
      <c r="I348" s="520"/>
      <c r="J348" s="522"/>
      <c r="K348" s="520"/>
      <c r="L348" s="522"/>
      <c r="M348" s="522"/>
      <c r="N348" s="522"/>
      <c r="O348" s="525"/>
      <c r="P348" s="238"/>
      <c r="Q348" s="238"/>
      <c r="S348" s="238"/>
      <c r="T348" s="238"/>
      <c r="U348" s="238"/>
      <c r="V348" s="238"/>
      <c r="W348" s="238"/>
      <c r="X348" s="238"/>
      <c r="Y348" s="238"/>
      <c r="Z348" s="238"/>
      <c r="AA348" s="240"/>
      <c r="AB348" s="238"/>
      <c r="AC348" s="238"/>
      <c r="AD348" s="238"/>
      <c r="AE348" s="238"/>
      <c r="AF348" s="238"/>
      <c r="AG348" s="524"/>
      <c r="AH348" s="238"/>
      <c r="AI348" s="238"/>
      <c r="AJ348" s="238"/>
      <c r="AK348" s="238"/>
      <c r="AL348" s="238"/>
      <c r="AM348" s="238"/>
      <c r="AN348" s="238"/>
      <c r="AO348" s="238"/>
      <c r="AP348" s="238"/>
      <c r="AQ348" s="238"/>
      <c r="AR348" s="238"/>
      <c r="AS348" s="238"/>
      <c r="AT348" s="456"/>
      <c r="AU348" s="238"/>
      <c r="AV348" s="238"/>
      <c r="AW348" s="238"/>
      <c r="AX348" s="238"/>
      <c r="AY348" s="238"/>
      <c r="AZ348" s="241"/>
      <c r="BA348" s="241"/>
      <c r="BB348" s="241"/>
      <c r="BC348" s="238"/>
      <c r="BD348" s="238"/>
      <c r="BE348" s="238"/>
      <c r="BF348" s="238"/>
      <c r="BG348" s="238"/>
      <c r="BH348" s="238"/>
      <c r="BI348" s="238"/>
      <c r="BJ348" s="238"/>
      <c r="BK348" s="238"/>
      <c r="BL348" s="238"/>
      <c r="BM348" s="238"/>
      <c r="BN348" s="238"/>
      <c r="BO348" s="238"/>
      <c r="BP348" s="238"/>
      <c r="BQ348" s="238"/>
      <c r="BR348" s="238"/>
      <c r="BS348" s="238"/>
      <c r="BT348" s="238"/>
      <c r="BU348" s="238"/>
      <c r="BV348" s="238"/>
      <c r="BW348" s="238"/>
      <c r="BX348" s="238"/>
      <c r="BY348" s="238"/>
      <c r="BZ348" s="238"/>
      <c r="CA348" s="238"/>
      <c r="CB348" s="238"/>
      <c r="CC348" s="238"/>
      <c r="CD348" s="238"/>
      <c r="CE348" s="238"/>
      <c r="CF348" s="238"/>
    </row>
    <row r="349" spans="1:84">
      <c r="A349" s="534"/>
      <c r="B349" s="256"/>
      <c r="C349" s="238"/>
      <c r="D349" s="256"/>
      <c r="E349" s="256"/>
      <c r="F349" s="256"/>
      <c r="G349" s="520"/>
      <c r="H349" s="520"/>
      <c r="I349" s="520"/>
      <c r="J349" s="522"/>
      <c r="K349" s="520"/>
      <c r="L349" s="522"/>
      <c r="M349" s="522"/>
      <c r="N349" s="522"/>
      <c r="O349" s="535"/>
      <c r="P349" s="238"/>
      <c r="Q349" s="238"/>
      <c r="S349" s="238"/>
      <c r="T349" s="238"/>
      <c r="U349" s="238"/>
      <c r="V349" s="238"/>
      <c r="W349" s="238"/>
      <c r="X349" s="238"/>
      <c r="Y349" s="238"/>
      <c r="Z349" s="238"/>
      <c r="AA349" s="240"/>
      <c r="AB349" s="238"/>
      <c r="AC349" s="238"/>
      <c r="AD349" s="238"/>
      <c r="AE349" s="238"/>
      <c r="AF349" s="238"/>
      <c r="AG349" s="524"/>
      <c r="AH349" s="238"/>
      <c r="AI349" s="238"/>
      <c r="AJ349" s="238"/>
      <c r="AK349" s="238"/>
      <c r="AL349" s="238"/>
      <c r="AM349" s="238"/>
      <c r="AN349" s="238"/>
      <c r="AO349" s="238"/>
      <c r="AP349" s="238"/>
      <c r="AQ349" s="238"/>
      <c r="AR349" s="238"/>
      <c r="AS349" s="238"/>
      <c r="AT349" s="456"/>
      <c r="AU349" s="238"/>
      <c r="AV349" s="238"/>
      <c r="AW349" s="238"/>
      <c r="AX349" s="238"/>
      <c r="AY349" s="238"/>
      <c r="AZ349" s="241"/>
      <c r="BA349" s="241"/>
      <c r="BB349" s="241"/>
      <c r="BC349" s="238"/>
      <c r="BD349" s="238"/>
      <c r="BE349" s="238"/>
      <c r="BF349" s="238"/>
      <c r="BG349" s="238"/>
      <c r="BH349" s="238"/>
      <c r="BI349" s="238"/>
      <c r="BJ349" s="238"/>
      <c r="BK349" s="238"/>
      <c r="BL349" s="238"/>
      <c r="BM349" s="238"/>
      <c r="BN349" s="238"/>
      <c r="BO349" s="238"/>
      <c r="BP349" s="238"/>
      <c r="BQ349" s="238"/>
      <c r="BR349" s="238"/>
      <c r="BS349" s="238"/>
      <c r="BT349" s="238"/>
      <c r="BU349" s="238"/>
      <c r="BV349" s="238"/>
      <c r="BW349" s="238"/>
      <c r="BX349" s="238"/>
      <c r="BY349" s="238"/>
      <c r="BZ349" s="238"/>
      <c r="CA349" s="238"/>
      <c r="CB349" s="238"/>
      <c r="CC349" s="238"/>
      <c r="CD349" s="238"/>
      <c r="CE349" s="238"/>
      <c r="CF349" s="238"/>
    </row>
    <row r="350" spans="1:84">
      <c r="A350" s="534"/>
      <c r="B350" s="256"/>
      <c r="C350" s="238"/>
      <c r="D350" s="256"/>
      <c r="E350" s="256"/>
      <c r="F350" s="256"/>
      <c r="G350" s="520"/>
      <c r="H350" s="520"/>
      <c r="I350" s="520"/>
      <c r="J350" s="238"/>
      <c r="K350" s="520"/>
      <c r="L350" s="238"/>
      <c r="M350" s="238"/>
      <c r="N350" s="238"/>
      <c r="O350" s="535"/>
      <c r="P350" s="238"/>
      <c r="Q350" s="238"/>
      <c r="S350" s="238"/>
      <c r="T350" s="238"/>
      <c r="U350" s="238"/>
      <c r="V350" s="238"/>
      <c r="W350" s="238"/>
      <c r="X350" s="238"/>
      <c r="Y350" s="238"/>
      <c r="Z350" s="238"/>
      <c r="AA350" s="240"/>
      <c r="AB350" s="238"/>
      <c r="AC350" s="238"/>
      <c r="AD350" s="238"/>
      <c r="AE350" s="238"/>
      <c r="AF350" s="238"/>
      <c r="AG350" s="524"/>
      <c r="AH350" s="238"/>
      <c r="AI350" s="238"/>
      <c r="AJ350" s="238"/>
      <c r="AK350" s="238"/>
      <c r="AL350" s="238"/>
      <c r="AM350" s="238"/>
      <c r="AN350" s="238"/>
      <c r="AO350" s="238"/>
      <c r="AP350" s="238"/>
      <c r="AQ350" s="238"/>
      <c r="AR350" s="238"/>
      <c r="AS350" s="238"/>
      <c r="AT350" s="456"/>
      <c r="AU350" s="238"/>
      <c r="AV350" s="238"/>
      <c r="AW350" s="238"/>
      <c r="AX350" s="238"/>
      <c r="AY350" s="238"/>
      <c r="AZ350" s="241"/>
      <c r="BA350" s="241"/>
      <c r="BB350" s="241"/>
      <c r="BC350" s="238"/>
      <c r="BD350" s="238"/>
      <c r="BE350" s="238"/>
      <c r="BF350" s="238"/>
      <c r="BG350" s="238"/>
      <c r="BH350" s="238"/>
      <c r="BI350" s="238"/>
      <c r="BJ350" s="238"/>
      <c r="BK350" s="238"/>
      <c r="BL350" s="238"/>
      <c r="BM350" s="238"/>
      <c r="BN350" s="238"/>
      <c r="BO350" s="238"/>
      <c r="BP350" s="238"/>
      <c r="BQ350" s="238"/>
      <c r="BR350" s="238"/>
      <c r="BS350" s="238"/>
      <c r="BT350" s="238"/>
      <c r="BU350" s="238"/>
      <c r="BV350" s="238"/>
      <c r="BW350" s="238"/>
      <c r="BX350" s="238"/>
      <c r="BY350" s="238"/>
      <c r="BZ350" s="238"/>
      <c r="CA350" s="238"/>
      <c r="CB350" s="238"/>
      <c r="CC350" s="238"/>
      <c r="CD350" s="238"/>
      <c r="CE350" s="238"/>
      <c r="CF350" s="238"/>
    </row>
    <row r="351" spans="1:84">
      <c r="A351" s="534"/>
      <c r="B351" s="256"/>
      <c r="C351" s="238"/>
      <c r="D351" s="256"/>
      <c r="E351" s="256"/>
      <c r="F351" s="256"/>
      <c r="G351" s="520"/>
      <c r="H351" s="520"/>
      <c r="I351" s="536"/>
      <c r="J351" s="238"/>
      <c r="K351" s="520"/>
      <c r="L351" s="238"/>
      <c r="M351" s="238"/>
      <c r="N351" s="238"/>
      <c r="O351" s="535"/>
      <c r="P351" s="238"/>
      <c r="Q351" s="238"/>
      <c r="S351" s="238"/>
      <c r="T351" s="238"/>
      <c r="U351" s="238"/>
      <c r="V351" s="238"/>
      <c r="W351" s="238"/>
      <c r="X351" s="238"/>
      <c r="Y351" s="238"/>
      <c r="Z351" s="238"/>
      <c r="AA351" s="240"/>
      <c r="AB351" s="238"/>
      <c r="AC351" s="238"/>
      <c r="AD351" s="238"/>
      <c r="AE351" s="238"/>
      <c r="AF351" s="238"/>
      <c r="AG351" s="524"/>
      <c r="AH351" s="238"/>
      <c r="AI351" s="238"/>
      <c r="AJ351" s="238"/>
      <c r="AK351" s="238"/>
      <c r="AL351" s="238"/>
      <c r="AM351" s="238"/>
      <c r="AN351" s="238"/>
      <c r="AO351" s="238"/>
      <c r="AP351" s="238"/>
      <c r="AQ351" s="238"/>
      <c r="AR351" s="238"/>
      <c r="AS351" s="238"/>
      <c r="AT351" s="456"/>
      <c r="AU351" s="238"/>
      <c r="AV351" s="238"/>
      <c r="AW351" s="238"/>
      <c r="AX351" s="238"/>
      <c r="AY351" s="238"/>
      <c r="AZ351" s="241"/>
      <c r="BA351" s="241"/>
      <c r="BB351" s="241"/>
      <c r="BC351" s="238"/>
      <c r="BD351" s="238"/>
      <c r="BE351" s="238"/>
      <c r="BF351" s="238"/>
      <c r="BG351" s="238"/>
      <c r="BH351" s="238"/>
      <c r="BI351" s="238"/>
      <c r="BJ351" s="238"/>
      <c r="BK351" s="238"/>
      <c r="BL351" s="238"/>
      <c r="BM351" s="238"/>
      <c r="BN351" s="238"/>
      <c r="BO351" s="238"/>
      <c r="BP351" s="238"/>
      <c r="BQ351" s="238"/>
      <c r="BR351" s="238"/>
      <c r="BS351" s="238"/>
      <c r="BT351" s="238"/>
      <c r="BU351" s="238"/>
      <c r="BV351" s="238"/>
      <c r="BW351" s="238"/>
      <c r="BX351" s="238"/>
      <c r="BY351" s="238"/>
      <c r="BZ351" s="238"/>
      <c r="CA351" s="238"/>
      <c r="CB351" s="238"/>
      <c r="CC351" s="238"/>
      <c r="CD351" s="238"/>
      <c r="CE351" s="238"/>
      <c r="CF351" s="238"/>
    </row>
    <row r="352" spans="1:84">
      <c r="A352" s="534"/>
      <c r="B352" s="256"/>
      <c r="C352" s="238"/>
      <c r="D352" s="256"/>
      <c r="E352" s="256"/>
      <c r="F352" s="256"/>
      <c r="G352" s="536"/>
      <c r="H352" s="536"/>
      <c r="I352" s="536"/>
      <c r="J352" s="238"/>
      <c r="K352" s="238"/>
      <c r="L352" s="238"/>
      <c r="M352" s="238"/>
      <c r="N352" s="238"/>
      <c r="O352" s="535"/>
      <c r="P352" s="238"/>
      <c r="Q352" s="238"/>
      <c r="S352" s="238"/>
      <c r="T352" s="238"/>
      <c r="U352" s="238"/>
      <c r="V352" s="238"/>
      <c r="W352" s="238"/>
      <c r="X352" s="238"/>
      <c r="Y352" s="238"/>
      <c r="Z352" s="238"/>
      <c r="AA352" s="240"/>
      <c r="AB352" s="238"/>
      <c r="AC352" s="238"/>
      <c r="AD352" s="238"/>
      <c r="AE352" s="238"/>
      <c r="AF352" s="238"/>
      <c r="AG352" s="524"/>
      <c r="AH352" s="238"/>
      <c r="AI352" s="238"/>
      <c r="AJ352" s="238"/>
      <c r="AK352" s="238"/>
      <c r="AL352" s="238"/>
      <c r="AM352" s="238"/>
      <c r="AN352" s="238"/>
      <c r="AO352" s="238"/>
      <c r="AP352" s="238"/>
      <c r="AQ352" s="238"/>
      <c r="AR352" s="238"/>
      <c r="AS352" s="238"/>
      <c r="AT352" s="456"/>
      <c r="AU352" s="238"/>
      <c r="AV352" s="238"/>
      <c r="AW352" s="238"/>
      <c r="AX352" s="238"/>
      <c r="AY352" s="238"/>
      <c r="AZ352" s="241"/>
      <c r="BA352" s="241"/>
      <c r="BB352" s="241"/>
      <c r="BC352" s="238"/>
      <c r="BD352" s="238"/>
      <c r="BE352" s="238"/>
      <c r="BF352" s="238"/>
      <c r="BG352" s="238"/>
      <c r="BH352" s="238"/>
      <c r="BI352" s="238"/>
      <c r="BJ352" s="238"/>
      <c r="BK352" s="238"/>
      <c r="BL352" s="238"/>
      <c r="BM352" s="238"/>
      <c r="BN352" s="238"/>
      <c r="BO352" s="238"/>
      <c r="BP352" s="238"/>
      <c r="BQ352" s="238"/>
      <c r="BR352" s="238"/>
      <c r="BS352" s="238"/>
      <c r="BT352" s="238"/>
      <c r="BU352" s="238"/>
      <c r="BV352" s="238"/>
      <c r="BW352" s="238"/>
      <c r="BX352" s="238"/>
      <c r="BY352" s="238"/>
      <c r="BZ352" s="238"/>
      <c r="CA352" s="238"/>
      <c r="CB352" s="238"/>
      <c r="CC352" s="238"/>
      <c r="CD352" s="238"/>
      <c r="CE352" s="238"/>
      <c r="CF352" s="238"/>
    </row>
    <row r="353" spans="1:84">
      <c r="A353" s="534"/>
      <c r="B353" s="256"/>
      <c r="C353" s="238"/>
      <c r="D353" s="256"/>
      <c r="E353" s="256"/>
      <c r="F353" s="256"/>
      <c r="G353" s="536"/>
      <c r="H353" s="536"/>
      <c r="I353" s="536"/>
      <c r="J353" s="238"/>
      <c r="K353" s="238"/>
      <c r="L353" s="238"/>
      <c r="M353" s="238"/>
      <c r="N353" s="238"/>
      <c r="O353" s="535"/>
      <c r="P353" s="238"/>
      <c r="Q353" s="238"/>
      <c r="S353" s="238"/>
      <c r="T353" s="238"/>
      <c r="U353" s="238"/>
      <c r="V353" s="238"/>
      <c r="W353" s="238"/>
      <c r="X353" s="238"/>
      <c r="Y353" s="238"/>
      <c r="Z353" s="238"/>
      <c r="AA353" s="240"/>
      <c r="AB353" s="238"/>
      <c r="AC353" s="238"/>
      <c r="AD353" s="238"/>
      <c r="AE353" s="238"/>
      <c r="AF353" s="238"/>
      <c r="AG353" s="524"/>
      <c r="AH353" s="238"/>
      <c r="AI353" s="238"/>
      <c r="AJ353" s="238"/>
      <c r="AK353" s="238"/>
      <c r="AL353" s="238"/>
      <c r="AM353" s="238"/>
      <c r="AN353" s="238"/>
      <c r="AO353" s="238"/>
      <c r="AP353" s="238"/>
      <c r="AQ353" s="238"/>
      <c r="AR353" s="238"/>
      <c r="AS353" s="238"/>
      <c r="AT353" s="456"/>
      <c r="AU353" s="238"/>
      <c r="AV353" s="238"/>
      <c r="AW353" s="238"/>
      <c r="AX353" s="238"/>
      <c r="AY353" s="238"/>
      <c r="AZ353" s="241"/>
      <c r="BA353" s="241"/>
      <c r="BB353" s="241"/>
      <c r="BC353" s="238"/>
      <c r="BD353" s="238"/>
      <c r="BE353" s="238"/>
      <c r="BF353" s="238"/>
      <c r="BG353" s="238"/>
      <c r="BH353" s="238"/>
      <c r="BI353" s="238"/>
      <c r="BJ353" s="238"/>
      <c r="BK353" s="238"/>
      <c r="BL353" s="238"/>
      <c r="BM353" s="238"/>
      <c r="BN353" s="238"/>
      <c r="BO353" s="238"/>
      <c r="BP353" s="238"/>
      <c r="BQ353" s="238"/>
      <c r="BR353" s="238"/>
      <c r="BS353" s="238"/>
      <c r="BT353" s="238"/>
      <c r="BU353" s="238"/>
      <c r="BV353" s="238"/>
      <c r="BW353" s="238"/>
      <c r="BX353" s="238"/>
      <c r="BY353" s="238"/>
      <c r="BZ353" s="238"/>
      <c r="CA353" s="238"/>
      <c r="CB353" s="238"/>
      <c r="CC353" s="238"/>
      <c r="CD353" s="238"/>
      <c r="CE353" s="238"/>
      <c r="CF353" s="238"/>
    </row>
    <row r="354" spans="1:84">
      <c r="A354" s="534"/>
      <c r="B354" s="256"/>
      <c r="C354" s="238"/>
      <c r="D354" s="256"/>
      <c r="E354" s="256"/>
      <c r="F354" s="256"/>
      <c r="G354" s="536"/>
      <c r="H354" s="536"/>
      <c r="I354" s="536"/>
      <c r="J354" s="238"/>
      <c r="K354" s="238"/>
      <c r="L354" s="238"/>
      <c r="M354" s="238"/>
      <c r="N354" s="238"/>
      <c r="O354" s="535"/>
      <c r="P354" s="238"/>
      <c r="Q354" s="238"/>
      <c r="S354" s="238"/>
      <c r="T354" s="238"/>
      <c r="U354" s="238"/>
      <c r="V354" s="238"/>
      <c r="W354" s="238"/>
      <c r="X354" s="238"/>
      <c r="Y354" s="238"/>
      <c r="Z354" s="238"/>
      <c r="AA354" s="240"/>
      <c r="AB354" s="238"/>
      <c r="AC354" s="238"/>
      <c r="AD354" s="238"/>
      <c r="AE354" s="238"/>
      <c r="AF354" s="238"/>
      <c r="AG354" s="524"/>
      <c r="AH354" s="238"/>
      <c r="AI354" s="238"/>
      <c r="AJ354" s="238"/>
      <c r="AK354" s="238"/>
      <c r="AL354" s="238"/>
      <c r="AM354" s="238"/>
      <c r="AN354" s="238"/>
      <c r="AO354" s="238"/>
      <c r="AP354" s="238"/>
      <c r="AQ354" s="238"/>
      <c r="AR354" s="238"/>
      <c r="AS354" s="238"/>
      <c r="AT354" s="456"/>
      <c r="AU354" s="238"/>
      <c r="AV354" s="238"/>
      <c r="AW354" s="238"/>
      <c r="AX354" s="238"/>
      <c r="AY354" s="238"/>
      <c r="AZ354" s="241"/>
      <c r="BA354" s="241"/>
      <c r="BB354" s="241"/>
      <c r="BC354" s="238"/>
      <c r="BD354" s="238"/>
      <c r="BE354" s="238"/>
      <c r="BF354" s="238"/>
      <c r="BG354" s="238"/>
      <c r="BH354" s="238"/>
      <c r="BI354" s="238"/>
      <c r="BJ354" s="238"/>
      <c r="BK354" s="238"/>
      <c r="BL354" s="238"/>
      <c r="BM354" s="238"/>
      <c r="BN354" s="238"/>
      <c r="BO354" s="238"/>
      <c r="BP354" s="238"/>
      <c r="BQ354" s="238"/>
      <c r="BR354" s="238"/>
      <c r="BS354" s="238"/>
      <c r="BT354" s="238"/>
      <c r="BU354" s="238"/>
      <c r="BV354" s="238"/>
      <c r="BW354" s="238"/>
      <c r="BX354" s="238"/>
      <c r="BY354" s="238"/>
      <c r="BZ354" s="238"/>
      <c r="CA354" s="238"/>
      <c r="CB354" s="238"/>
      <c r="CC354" s="238"/>
      <c r="CD354" s="238"/>
      <c r="CE354" s="238"/>
      <c r="CF354" s="238"/>
    </row>
    <row r="355" spans="1:84">
      <c r="A355" s="534"/>
      <c r="B355" s="256"/>
      <c r="C355" s="238"/>
      <c r="D355" s="256"/>
      <c r="E355" s="256"/>
      <c r="F355" s="256"/>
      <c r="G355" s="536"/>
      <c r="H355" s="536"/>
      <c r="I355" s="536"/>
      <c r="J355" s="238"/>
      <c r="K355" s="238"/>
      <c r="L355" s="238"/>
      <c r="M355" s="238"/>
      <c r="N355" s="238"/>
      <c r="O355" s="535"/>
      <c r="P355" s="238"/>
      <c r="Q355" s="238"/>
      <c r="S355" s="238"/>
      <c r="T355" s="238"/>
      <c r="U355" s="238"/>
      <c r="V355" s="238"/>
      <c r="W355" s="238"/>
      <c r="X355" s="238"/>
      <c r="Y355" s="238"/>
      <c r="Z355" s="238"/>
      <c r="AA355" s="240"/>
      <c r="AB355" s="238"/>
      <c r="AC355" s="238"/>
      <c r="AD355" s="238"/>
      <c r="AE355" s="238"/>
      <c r="AF355" s="238"/>
      <c r="AG355" s="524"/>
      <c r="AH355" s="238"/>
      <c r="AI355" s="238"/>
      <c r="AJ355" s="238"/>
      <c r="AK355" s="238"/>
      <c r="AL355" s="238"/>
      <c r="AM355" s="238"/>
      <c r="AN355" s="238"/>
      <c r="AO355" s="238"/>
      <c r="AP355" s="238"/>
      <c r="AQ355" s="238"/>
      <c r="AR355" s="238"/>
      <c r="AS355" s="238"/>
      <c r="AT355" s="456"/>
      <c r="AU355" s="238"/>
      <c r="AV355" s="238"/>
      <c r="AW355" s="238"/>
      <c r="AX355" s="238"/>
      <c r="AY355" s="238"/>
      <c r="AZ355" s="241"/>
      <c r="BA355" s="241"/>
      <c r="BB355" s="241"/>
      <c r="BC355" s="238"/>
      <c r="BD355" s="238"/>
      <c r="BE355" s="238"/>
      <c r="BF355" s="238"/>
      <c r="BG355" s="238"/>
      <c r="BH355" s="238"/>
      <c r="BI355" s="238"/>
      <c r="BJ355" s="238"/>
      <c r="BK355" s="238"/>
      <c r="BL355" s="238"/>
      <c r="BM355" s="238"/>
      <c r="BN355" s="238"/>
      <c r="BO355" s="238"/>
      <c r="BP355" s="238"/>
      <c r="BQ355" s="238"/>
      <c r="BR355" s="238"/>
      <c r="BS355" s="238"/>
      <c r="BT355" s="238"/>
      <c r="BU355" s="238"/>
      <c r="BV355" s="238"/>
      <c r="BW355" s="238"/>
      <c r="BX355" s="238"/>
      <c r="BY355" s="238"/>
      <c r="BZ355" s="238"/>
      <c r="CA355" s="238"/>
      <c r="CB355" s="238"/>
      <c r="CC355" s="238"/>
      <c r="CD355" s="238"/>
      <c r="CE355" s="238"/>
      <c r="CF355" s="238"/>
    </row>
    <row r="356" spans="1:84">
      <c r="A356" s="534"/>
      <c r="B356" s="256"/>
      <c r="C356" s="238"/>
      <c r="D356" s="256"/>
      <c r="E356" s="256"/>
      <c r="F356" s="256"/>
      <c r="G356" s="536"/>
      <c r="H356" s="536"/>
      <c r="I356" s="536"/>
      <c r="J356" s="238"/>
      <c r="K356" s="536"/>
      <c r="L356" s="238"/>
      <c r="M356" s="238"/>
      <c r="N356" s="238"/>
      <c r="O356" s="535"/>
      <c r="P356" s="238"/>
      <c r="Q356" s="238"/>
      <c r="S356" s="238"/>
      <c r="T356" s="238"/>
      <c r="U356" s="238"/>
      <c r="V356" s="238"/>
      <c r="W356" s="238"/>
      <c r="X356" s="238"/>
      <c r="Y356" s="238"/>
      <c r="Z356" s="238"/>
      <c r="AA356" s="240"/>
      <c r="AB356" s="238"/>
      <c r="AC356" s="238"/>
      <c r="AD356" s="238"/>
      <c r="AE356" s="238"/>
      <c r="AF356" s="238"/>
      <c r="AG356" s="524"/>
      <c r="AH356" s="238"/>
      <c r="AI356" s="238"/>
      <c r="AJ356" s="238"/>
      <c r="AK356" s="238"/>
      <c r="AL356" s="238"/>
      <c r="AM356" s="238"/>
      <c r="AN356" s="238"/>
      <c r="AO356" s="238"/>
      <c r="AP356" s="238"/>
      <c r="AQ356" s="238"/>
      <c r="AR356" s="238"/>
      <c r="AS356" s="238"/>
      <c r="AT356" s="456"/>
      <c r="AU356" s="238"/>
      <c r="AV356" s="238"/>
      <c r="AW356" s="238"/>
      <c r="AX356" s="238"/>
      <c r="AY356" s="238"/>
      <c r="AZ356" s="241"/>
      <c r="BA356" s="241"/>
      <c r="BB356" s="241"/>
      <c r="BC356" s="238"/>
      <c r="BD356" s="238"/>
      <c r="BE356" s="238"/>
      <c r="BF356" s="238"/>
      <c r="BG356" s="238"/>
      <c r="BH356" s="238"/>
      <c r="BI356" s="238"/>
      <c r="BJ356" s="238"/>
      <c r="BK356" s="238"/>
      <c r="BL356" s="238"/>
      <c r="BM356" s="238"/>
      <c r="BN356" s="238"/>
      <c r="BO356" s="238"/>
      <c r="BP356" s="238"/>
      <c r="BQ356" s="238"/>
      <c r="BR356" s="238"/>
      <c r="BS356" s="238"/>
      <c r="BT356" s="238"/>
      <c r="BU356" s="238"/>
      <c r="BV356" s="238"/>
      <c r="BW356" s="238"/>
      <c r="BX356" s="238"/>
      <c r="BY356" s="238"/>
      <c r="BZ356" s="238"/>
      <c r="CA356" s="238"/>
      <c r="CB356" s="238"/>
      <c r="CC356" s="238"/>
      <c r="CD356" s="238"/>
      <c r="CE356" s="238"/>
      <c r="CF356" s="238"/>
    </row>
    <row r="357" spans="1:84">
      <c r="A357" s="534"/>
      <c r="B357" s="256"/>
      <c r="C357" s="238"/>
      <c r="D357" s="256"/>
      <c r="E357" s="256"/>
      <c r="F357" s="256"/>
      <c r="G357" s="536"/>
      <c r="H357" s="536"/>
      <c r="I357" s="536"/>
      <c r="J357" s="238"/>
      <c r="K357" s="536"/>
      <c r="L357" s="238"/>
      <c r="M357" s="238"/>
      <c r="N357" s="238"/>
      <c r="O357" s="535"/>
      <c r="P357" s="238"/>
      <c r="Q357" s="238"/>
      <c r="S357" s="238"/>
      <c r="T357" s="238"/>
      <c r="U357" s="238"/>
      <c r="V357" s="238"/>
      <c r="W357" s="238"/>
      <c r="X357" s="238"/>
      <c r="Y357" s="238"/>
      <c r="Z357" s="238"/>
      <c r="AA357" s="240"/>
      <c r="AB357" s="238"/>
      <c r="AC357" s="238"/>
      <c r="AD357" s="238"/>
      <c r="AE357" s="238"/>
      <c r="AF357" s="238"/>
      <c r="AG357" s="524"/>
      <c r="AH357" s="238"/>
      <c r="AI357" s="238"/>
      <c r="AJ357" s="238"/>
      <c r="AK357" s="238"/>
      <c r="AL357" s="238"/>
      <c r="AM357" s="238"/>
      <c r="AN357" s="238"/>
      <c r="AO357" s="238"/>
      <c r="AP357" s="238"/>
      <c r="AQ357" s="238"/>
      <c r="AR357" s="238"/>
      <c r="AS357" s="238"/>
      <c r="AT357" s="456"/>
      <c r="AU357" s="238"/>
      <c r="AV357" s="238"/>
      <c r="AW357" s="238"/>
      <c r="AX357" s="238"/>
      <c r="AY357" s="238"/>
      <c r="AZ357" s="241"/>
      <c r="BA357" s="241"/>
      <c r="BB357" s="241"/>
      <c r="BC357" s="238"/>
      <c r="BD357" s="238"/>
      <c r="BE357" s="238"/>
      <c r="BF357" s="238"/>
      <c r="BG357" s="238"/>
      <c r="BH357" s="238"/>
      <c r="BI357" s="238"/>
      <c r="BJ357" s="238"/>
      <c r="BK357" s="238"/>
      <c r="BL357" s="238"/>
      <c r="BM357" s="238"/>
      <c r="BN357" s="238"/>
      <c r="BO357" s="238"/>
      <c r="BP357" s="238"/>
      <c r="BQ357" s="238"/>
      <c r="BR357" s="238"/>
      <c r="BS357" s="238"/>
      <c r="BT357" s="238"/>
      <c r="BU357" s="238"/>
      <c r="BV357" s="238"/>
      <c r="BW357" s="238"/>
      <c r="BX357" s="238"/>
      <c r="BY357" s="238"/>
      <c r="BZ357" s="238"/>
      <c r="CA357" s="238"/>
      <c r="CB357" s="238"/>
      <c r="CC357" s="238"/>
      <c r="CD357" s="238"/>
      <c r="CE357" s="238"/>
      <c r="CF357" s="238"/>
    </row>
    <row r="358" spans="1:84">
      <c r="A358" s="534"/>
      <c r="B358" s="256"/>
      <c r="C358" s="238"/>
      <c r="D358" s="256"/>
      <c r="E358" s="256"/>
      <c r="F358" s="256"/>
      <c r="G358" s="536"/>
      <c r="H358" s="536"/>
      <c r="I358" s="536"/>
      <c r="J358" s="238"/>
      <c r="K358" s="536"/>
      <c r="L358" s="238"/>
      <c r="M358" s="238"/>
      <c r="N358" s="238"/>
      <c r="O358" s="535"/>
      <c r="P358" s="238"/>
      <c r="Q358" s="238"/>
      <c r="S358" s="238"/>
      <c r="T358" s="238"/>
      <c r="U358" s="238"/>
      <c r="V358" s="238"/>
      <c r="W358" s="238"/>
      <c r="X358" s="238"/>
      <c r="Y358" s="238"/>
      <c r="Z358" s="238"/>
      <c r="AA358" s="240"/>
      <c r="AB358" s="238"/>
      <c r="AC358" s="238"/>
      <c r="AD358" s="238"/>
      <c r="AE358" s="238"/>
      <c r="AF358" s="238"/>
      <c r="AG358" s="524"/>
      <c r="AH358" s="238"/>
      <c r="AI358" s="238"/>
      <c r="AJ358" s="238"/>
      <c r="AK358" s="238"/>
      <c r="AL358" s="238"/>
      <c r="AM358" s="238"/>
      <c r="AN358" s="238"/>
      <c r="AO358" s="238"/>
      <c r="AP358" s="238"/>
      <c r="AQ358" s="238"/>
      <c r="AR358" s="238"/>
      <c r="AS358" s="238"/>
      <c r="AT358" s="456"/>
      <c r="AU358" s="238"/>
      <c r="AV358" s="238"/>
      <c r="AW358" s="238"/>
      <c r="AX358" s="238"/>
      <c r="AY358" s="238"/>
      <c r="AZ358" s="241"/>
      <c r="BA358" s="241"/>
      <c r="BB358" s="241"/>
      <c r="BC358" s="238"/>
      <c r="BD358" s="238"/>
      <c r="BE358" s="238"/>
      <c r="BF358" s="238"/>
      <c r="BG358" s="238"/>
      <c r="BH358" s="238"/>
      <c r="BI358" s="238"/>
      <c r="BJ358" s="238"/>
      <c r="BK358" s="238"/>
      <c r="BL358" s="238"/>
      <c r="BM358" s="238"/>
      <c r="BN358" s="238"/>
      <c r="BO358" s="238"/>
      <c r="BP358" s="238"/>
      <c r="BQ358" s="238"/>
      <c r="BR358" s="238"/>
      <c r="BS358" s="238"/>
      <c r="BT358" s="238"/>
      <c r="BU358" s="238"/>
      <c r="BV358" s="238"/>
      <c r="BW358" s="238"/>
      <c r="BX358" s="238"/>
      <c r="BY358" s="238"/>
      <c r="BZ358" s="238"/>
      <c r="CA358" s="238"/>
      <c r="CB358" s="238"/>
      <c r="CC358" s="238"/>
      <c r="CD358" s="238"/>
      <c r="CE358" s="238"/>
      <c r="CF358" s="238"/>
    </row>
    <row r="359" spans="1:84">
      <c r="A359" s="534"/>
      <c r="B359" s="256"/>
      <c r="C359" s="238"/>
      <c r="D359" s="256"/>
      <c r="E359" s="256"/>
      <c r="F359" s="256"/>
      <c r="G359" s="536"/>
      <c r="H359" s="536"/>
      <c r="I359" s="536"/>
      <c r="J359" s="238"/>
      <c r="K359" s="536"/>
      <c r="L359" s="238"/>
      <c r="M359" s="238"/>
      <c r="N359" s="238"/>
      <c r="O359" s="535"/>
      <c r="P359" s="238"/>
      <c r="Q359" s="238"/>
      <c r="S359" s="238"/>
      <c r="T359" s="238"/>
      <c r="U359" s="238"/>
      <c r="V359" s="238"/>
      <c r="W359" s="238"/>
      <c r="X359" s="238"/>
      <c r="Y359" s="238"/>
      <c r="Z359" s="238"/>
      <c r="AA359" s="240"/>
      <c r="AB359" s="238"/>
      <c r="AC359" s="238"/>
      <c r="AD359" s="238"/>
      <c r="AE359" s="238"/>
      <c r="AF359" s="238"/>
      <c r="AG359" s="524"/>
      <c r="AH359" s="238"/>
      <c r="AI359" s="238"/>
      <c r="AJ359" s="238"/>
      <c r="AK359" s="238"/>
      <c r="AL359" s="238"/>
      <c r="AM359" s="238"/>
      <c r="AN359" s="238"/>
      <c r="AO359" s="238"/>
      <c r="AP359" s="238"/>
      <c r="AQ359" s="238"/>
      <c r="AR359" s="238"/>
      <c r="AS359" s="238"/>
      <c r="AT359" s="456"/>
      <c r="AU359" s="238"/>
      <c r="AV359" s="238"/>
      <c r="AW359" s="238"/>
      <c r="AX359" s="238"/>
      <c r="AY359" s="238"/>
      <c r="AZ359" s="241"/>
      <c r="BA359" s="241"/>
      <c r="BB359" s="241"/>
      <c r="BC359" s="238"/>
      <c r="BD359" s="238"/>
      <c r="BE359" s="238"/>
      <c r="BF359" s="238"/>
      <c r="BG359" s="238"/>
      <c r="BH359" s="238"/>
      <c r="BI359" s="238"/>
      <c r="BJ359" s="238"/>
      <c r="BK359" s="238"/>
      <c r="BL359" s="238"/>
      <c r="BM359" s="238"/>
      <c r="BN359" s="238"/>
      <c r="BO359" s="238"/>
      <c r="BP359" s="238"/>
      <c r="BQ359" s="238"/>
      <c r="BR359" s="238"/>
      <c r="BS359" s="238"/>
      <c r="BT359" s="238"/>
      <c r="BU359" s="238"/>
      <c r="BV359" s="238"/>
      <c r="BW359" s="238"/>
      <c r="BX359" s="238"/>
      <c r="BY359" s="238"/>
      <c r="BZ359" s="238"/>
      <c r="CA359" s="238"/>
      <c r="CB359" s="238"/>
      <c r="CC359" s="238"/>
      <c r="CD359" s="238"/>
      <c r="CE359" s="238"/>
      <c r="CF359" s="238"/>
    </row>
    <row r="360" spans="1:84">
      <c r="A360" s="534"/>
      <c r="B360" s="256"/>
      <c r="C360" s="238"/>
      <c r="D360" s="256"/>
      <c r="E360" s="256"/>
      <c r="F360" s="256"/>
      <c r="G360" s="536"/>
      <c r="H360" s="536"/>
      <c r="I360" s="536"/>
      <c r="J360" s="238"/>
      <c r="K360" s="536"/>
      <c r="L360" s="238"/>
      <c r="M360" s="238"/>
      <c r="N360" s="238"/>
      <c r="O360" s="535"/>
      <c r="P360" s="238"/>
      <c r="Q360" s="238"/>
      <c r="S360" s="238"/>
      <c r="T360" s="238"/>
      <c r="U360" s="238"/>
      <c r="V360" s="238"/>
      <c r="W360" s="238"/>
      <c r="X360" s="238"/>
      <c r="Y360" s="238"/>
      <c r="Z360" s="238"/>
      <c r="AA360" s="240"/>
      <c r="AB360" s="238"/>
      <c r="AC360" s="238"/>
      <c r="AD360" s="238"/>
      <c r="AE360" s="238"/>
      <c r="AF360" s="238"/>
      <c r="AG360" s="524"/>
      <c r="AH360" s="238"/>
      <c r="AI360" s="238"/>
      <c r="AJ360" s="238"/>
      <c r="AK360" s="238"/>
      <c r="AL360" s="238"/>
      <c r="AM360" s="238"/>
      <c r="AN360" s="238"/>
      <c r="AO360" s="238"/>
      <c r="AP360" s="238"/>
      <c r="AQ360" s="238"/>
      <c r="AR360" s="238"/>
      <c r="AS360" s="238"/>
      <c r="AT360" s="456"/>
      <c r="AU360" s="238"/>
      <c r="AV360" s="238"/>
      <c r="AW360" s="238"/>
      <c r="AX360" s="238"/>
      <c r="AY360" s="238"/>
      <c r="AZ360" s="241"/>
      <c r="BA360" s="241"/>
      <c r="BB360" s="241"/>
      <c r="BC360" s="238"/>
      <c r="BD360" s="238"/>
      <c r="BE360" s="238"/>
      <c r="BF360" s="238"/>
      <c r="BG360" s="238"/>
      <c r="BH360" s="238"/>
      <c r="BI360" s="238"/>
      <c r="BJ360" s="238"/>
      <c r="BK360" s="238"/>
      <c r="BL360" s="238"/>
      <c r="BM360" s="238"/>
      <c r="BN360" s="238"/>
      <c r="BO360" s="238"/>
      <c r="BP360" s="238"/>
      <c r="BQ360" s="238"/>
      <c r="BR360" s="238"/>
      <c r="BS360" s="238"/>
      <c r="BT360" s="238"/>
      <c r="BU360" s="238"/>
      <c r="BV360" s="238"/>
      <c r="BW360" s="238"/>
      <c r="BX360" s="238"/>
      <c r="BY360" s="238"/>
      <c r="BZ360" s="238"/>
      <c r="CA360" s="238"/>
      <c r="CB360" s="238"/>
      <c r="CC360" s="238"/>
      <c r="CD360" s="238"/>
      <c r="CE360" s="238"/>
      <c r="CF360" s="238"/>
    </row>
    <row r="361" spans="1:84">
      <c r="A361" s="534"/>
      <c r="B361" s="256"/>
      <c r="C361" s="238"/>
      <c r="D361" s="256"/>
      <c r="E361" s="256"/>
      <c r="F361" s="256"/>
      <c r="G361" s="536"/>
      <c r="H361" s="536"/>
      <c r="I361" s="536"/>
      <c r="J361" s="238"/>
      <c r="K361" s="536"/>
      <c r="L361" s="238"/>
      <c r="M361" s="238"/>
      <c r="N361" s="238"/>
      <c r="O361" s="535"/>
      <c r="P361" s="238"/>
      <c r="Q361" s="238"/>
      <c r="S361" s="238"/>
      <c r="T361" s="238"/>
      <c r="U361" s="238"/>
      <c r="V361" s="238"/>
      <c r="W361" s="238"/>
      <c r="X361" s="238"/>
      <c r="Y361" s="238"/>
      <c r="Z361" s="238"/>
      <c r="AA361" s="240"/>
      <c r="AB361" s="238"/>
      <c r="AC361" s="238"/>
      <c r="AD361" s="238"/>
      <c r="AE361" s="238"/>
      <c r="AF361" s="238"/>
      <c r="AG361" s="524"/>
      <c r="AH361" s="238"/>
      <c r="AI361" s="238"/>
      <c r="AJ361" s="238"/>
      <c r="AK361" s="238"/>
      <c r="AL361" s="238"/>
      <c r="AM361" s="238"/>
      <c r="AN361" s="238"/>
      <c r="AO361" s="238"/>
      <c r="AP361" s="238"/>
      <c r="AQ361" s="238"/>
      <c r="AR361" s="238"/>
      <c r="AS361" s="238"/>
      <c r="AT361" s="456"/>
      <c r="AU361" s="238"/>
      <c r="AV361" s="238"/>
      <c r="AW361" s="238"/>
      <c r="AX361" s="238"/>
      <c r="AY361" s="238"/>
      <c r="AZ361" s="241"/>
      <c r="BA361" s="241"/>
      <c r="BB361" s="241"/>
      <c r="BC361" s="238"/>
      <c r="BD361" s="238"/>
      <c r="BE361" s="238"/>
      <c r="BF361" s="238"/>
      <c r="BG361" s="238"/>
      <c r="BH361" s="238"/>
      <c r="BI361" s="238"/>
      <c r="BJ361" s="238"/>
      <c r="BK361" s="238"/>
      <c r="BL361" s="238"/>
      <c r="BM361" s="238"/>
      <c r="BN361" s="238"/>
      <c r="BO361" s="238"/>
      <c r="BP361" s="238"/>
      <c r="BQ361" s="238"/>
      <c r="BR361" s="238"/>
      <c r="BS361" s="238"/>
      <c r="BT361" s="238"/>
      <c r="BU361" s="238"/>
      <c r="BV361" s="238"/>
      <c r="BW361" s="238"/>
      <c r="BX361" s="238"/>
      <c r="BY361" s="238"/>
      <c r="BZ361" s="238"/>
      <c r="CA361" s="238"/>
      <c r="CB361" s="238"/>
      <c r="CC361" s="238"/>
      <c r="CD361" s="238"/>
      <c r="CE361" s="238"/>
      <c r="CF361" s="238"/>
    </row>
    <row r="362" spans="1:84">
      <c r="A362" s="534"/>
      <c r="B362" s="256"/>
      <c r="C362" s="238"/>
      <c r="D362" s="256"/>
      <c r="E362" s="256"/>
      <c r="F362" s="256"/>
      <c r="G362" s="537"/>
      <c r="H362" s="537"/>
      <c r="I362" s="536"/>
      <c r="J362" s="238"/>
      <c r="K362" s="536"/>
      <c r="L362" s="238"/>
      <c r="M362" s="238"/>
      <c r="N362" s="238"/>
      <c r="O362" s="535"/>
      <c r="P362" s="238"/>
      <c r="Q362" s="238"/>
      <c r="S362" s="238"/>
      <c r="T362" s="238"/>
      <c r="U362" s="238"/>
      <c r="V362" s="238"/>
      <c r="W362" s="238"/>
      <c r="X362" s="238"/>
      <c r="Y362" s="238"/>
      <c r="Z362" s="238"/>
      <c r="AA362" s="240"/>
      <c r="AB362" s="238"/>
      <c r="AC362" s="238"/>
      <c r="AD362" s="238"/>
      <c r="AE362" s="238"/>
      <c r="AF362" s="238"/>
      <c r="AG362" s="524"/>
      <c r="AH362" s="238"/>
      <c r="AI362" s="238"/>
      <c r="AJ362" s="238"/>
      <c r="AK362" s="238"/>
      <c r="AL362" s="238"/>
      <c r="AM362" s="238"/>
      <c r="AN362" s="238"/>
      <c r="AO362" s="238"/>
      <c r="AP362" s="238"/>
      <c r="AQ362" s="238"/>
      <c r="AR362" s="238"/>
      <c r="AS362" s="238"/>
      <c r="AT362" s="456"/>
      <c r="AU362" s="238"/>
      <c r="AV362" s="238"/>
      <c r="AW362" s="238"/>
      <c r="AX362" s="238"/>
      <c r="AY362" s="238"/>
      <c r="AZ362" s="241"/>
      <c r="BA362" s="241"/>
      <c r="BB362" s="241"/>
      <c r="BC362" s="238"/>
      <c r="BD362" s="238"/>
      <c r="BE362" s="238"/>
      <c r="BF362" s="238"/>
      <c r="BG362" s="238"/>
      <c r="BH362" s="238"/>
      <c r="BI362" s="238"/>
      <c r="BJ362" s="238"/>
      <c r="BK362" s="238"/>
      <c r="BL362" s="238"/>
      <c r="BM362" s="238"/>
      <c r="BN362" s="238"/>
      <c r="BO362" s="238"/>
      <c r="BP362" s="238"/>
      <c r="BQ362" s="238"/>
      <c r="BR362" s="238"/>
      <c r="BS362" s="238"/>
      <c r="BT362" s="238"/>
      <c r="BU362" s="238"/>
      <c r="BV362" s="238"/>
      <c r="BW362" s="238"/>
      <c r="BX362" s="238"/>
      <c r="BY362" s="238"/>
      <c r="BZ362" s="238"/>
      <c r="CA362" s="238"/>
      <c r="CB362" s="238"/>
      <c r="CC362" s="238"/>
      <c r="CD362" s="238"/>
      <c r="CE362" s="238"/>
      <c r="CF362" s="238"/>
    </row>
    <row r="363" spans="1:84">
      <c r="A363" s="534"/>
      <c r="B363" s="256"/>
      <c r="C363" s="238"/>
      <c r="D363" s="256"/>
      <c r="E363" s="256"/>
      <c r="F363" s="256"/>
      <c r="G363" s="238"/>
      <c r="H363" s="238"/>
      <c r="I363" s="537"/>
      <c r="J363" s="238"/>
      <c r="K363" s="537"/>
      <c r="L363" s="238"/>
      <c r="M363" s="238"/>
      <c r="N363" s="238"/>
      <c r="O363" s="535"/>
      <c r="P363" s="238"/>
      <c r="Q363" s="238"/>
      <c r="S363" s="238"/>
      <c r="T363" s="238"/>
      <c r="U363" s="238"/>
      <c r="V363" s="238"/>
      <c r="W363" s="238"/>
      <c r="X363" s="238"/>
      <c r="Y363" s="238"/>
      <c r="Z363" s="238"/>
      <c r="AA363" s="240"/>
      <c r="AB363" s="238"/>
      <c r="AC363" s="238"/>
      <c r="AD363" s="238"/>
      <c r="AE363" s="238"/>
      <c r="AF363" s="238"/>
      <c r="AG363" s="524"/>
      <c r="AH363" s="238"/>
      <c r="AI363" s="238"/>
      <c r="AJ363" s="238"/>
      <c r="AK363" s="238"/>
      <c r="AL363" s="238"/>
      <c r="AM363" s="238"/>
      <c r="AN363" s="238"/>
      <c r="AO363" s="238"/>
      <c r="AP363" s="238"/>
      <c r="AQ363" s="238"/>
      <c r="AR363" s="238"/>
      <c r="AS363" s="238"/>
      <c r="AT363" s="456"/>
      <c r="AU363" s="238"/>
      <c r="AV363" s="238"/>
      <c r="AW363" s="238"/>
      <c r="AX363" s="238"/>
      <c r="AY363" s="238"/>
      <c r="AZ363" s="241"/>
      <c r="BA363" s="241"/>
      <c r="BB363" s="241"/>
      <c r="BC363" s="238"/>
      <c r="BD363" s="238"/>
      <c r="BE363" s="238"/>
      <c r="BF363" s="238"/>
      <c r="BG363" s="238"/>
      <c r="BH363" s="238"/>
      <c r="BI363" s="238"/>
      <c r="BJ363" s="238"/>
      <c r="BK363" s="238"/>
      <c r="BL363" s="238"/>
      <c r="BM363" s="238"/>
      <c r="BN363" s="238"/>
      <c r="BO363" s="238"/>
      <c r="BP363" s="238"/>
      <c r="BQ363" s="238"/>
      <c r="BR363" s="238"/>
      <c r="BS363" s="238"/>
      <c r="BT363" s="238"/>
      <c r="BU363" s="238"/>
      <c r="BV363" s="238"/>
      <c r="BW363" s="238"/>
      <c r="BX363" s="238"/>
      <c r="BY363" s="238"/>
      <c r="BZ363" s="238"/>
      <c r="CA363" s="238"/>
      <c r="CB363" s="238"/>
      <c r="CC363" s="238"/>
      <c r="CD363" s="238"/>
      <c r="CE363" s="238"/>
      <c r="CF363" s="238"/>
    </row>
    <row r="364" spans="1:84">
      <c r="A364" s="534"/>
      <c r="B364" s="256"/>
      <c r="C364" s="238"/>
      <c r="D364" s="256"/>
      <c r="E364" s="256"/>
      <c r="F364" s="256"/>
      <c r="G364" s="238"/>
      <c r="H364" s="238"/>
      <c r="I364" s="238"/>
      <c r="J364" s="238"/>
      <c r="K364" s="238"/>
      <c r="L364" s="238"/>
      <c r="M364" s="238"/>
      <c r="N364" s="238"/>
      <c r="O364" s="535"/>
      <c r="P364" s="238"/>
      <c r="Q364" s="238"/>
      <c r="S364" s="238"/>
      <c r="T364" s="238"/>
      <c r="U364" s="238"/>
      <c r="V364" s="238"/>
      <c r="W364" s="238"/>
      <c r="X364" s="238"/>
      <c r="Y364" s="238"/>
      <c r="Z364" s="238"/>
      <c r="AA364" s="240"/>
      <c r="AB364" s="238"/>
      <c r="AC364" s="238"/>
      <c r="AD364" s="238"/>
      <c r="AE364" s="238"/>
      <c r="AF364" s="238"/>
      <c r="AG364" s="524"/>
      <c r="AH364" s="238"/>
      <c r="AI364" s="238"/>
      <c r="AJ364" s="238"/>
      <c r="AK364" s="238"/>
      <c r="AL364" s="238"/>
      <c r="AM364" s="238"/>
      <c r="AN364" s="238"/>
      <c r="AO364" s="238"/>
      <c r="AP364" s="238"/>
      <c r="AQ364" s="238"/>
      <c r="AR364" s="238"/>
      <c r="AS364" s="238"/>
      <c r="AT364" s="456"/>
      <c r="AU364" s="238"/>
      <c r="AV364" s="238"/>
      <c r="AW364" s="238"/>
      <c r="AX364" s="238"/>
      <c r="AY364" s="238"/>
      <c r="AZ364" s="241"/>
      <c r="BA364" s="241"/>
      <c r="BB364" s="241"/>
      <c r="BC364" s="238"/>
      <c r="BD364" s="238"/>
      <c r="BE364" s="238"/>
      <c r="BF364" s="238"/>
      <c r="BG364" s="238"/>
      <c r="BH364" s="238"/>
      <c r="BI364" s="238"/>
      <c r="BJ364" s="238"/>
      <c r="BK364" s="238"/>
      <c r="BL364" s="238"/>
      <c r="BM364" s="238"/>
      <c r="BN364" s="238"/>
      <c r="BO364" s="238"/>
      <c r="BP364" s="238"/>
      <c r="BQ364" s="238"/>
      <c r="BR364" s="238"/>
      <c r="BS364" s="238"/>
      <c r="BT364" s="238"/>
      <c r="BU364" s="238"/>
      <c r="BV364" s="238"/>
      <c r="BW364" s="238"/>
      <c r="BX364" s="238"/>
      <c r="BY364" s="238"/>
      <c r="BZ364" s="238"/>
      <c r="CA364" s="238"/>
      <c r="CB364" s="238"/>
      <c r="CC364" s="238"/>
      <c r="CD364" s="238"/>
      <c r="CE364" s="238"/>
      <c r="CF364" s="238"/>
    </row>
    <row r="365" spans="1:84">
      <c r="A365" s="534"/>
      <c r="B365" s="256"/>
      <c r="C365" s="238"/>
      <c r="D365" s="256"/>
      <c r="E365" s="256"/>
      <c r="F365" s="256"/>
      <c r="G365" s="238"/>
      <c r="H365" s="238"/>
      <c r="I365" s="238"/>
      <c r="J365" s="238"/>
      <c r="K365" s="238"/>
      <c r="L365" s="238"/>
      <c r="M365" s="238"/>
      <c r="N365" s="238"/>
      <c r="O365" s="535"/>
      <c r="P365" s="238"/>
      <c r="Q365" s="238"/>
      <c r="S365" s="238"/>
      <c r="T365" s="238"/>
      <c r="U365" s="238"/>
      <c r="V365" s="238"/>
      <c r="W365" s="238"/>
      <c r="X365" s="238"/>
      <c r="Y365" s="238"/>
      <c r="Z365" s="238"/>
      <c r="AA365" s="240"/>
      <c r="AB365" s="238"/>
      <c r="AC365" s="238"/>
      <c r="AD365" s="238"/>
      <c r="AE365" s="238"/>
      <c r="AF365" s="238"/>
      <c r="AG365" s="524"/>
      <c r="AH365" s="238"/>
      <c r="AI365" s="238"/>
      <c r="AJ365" s="238"/>
      <c r="AK365" s="238"/>
      <c r="AL365" s="238"/>
      <c r="AM365" s="238"/>
      <c r="AN365" s="238"/>
      <c r="AO365" s="238"/>
      <c r="AP365" s="238"/>
      <c r="AQ365" s="238"/>
      <c r="AR365" s="238"/>
      <c r="AS365" s="238"/>
      <c r="AT365" s="456"/>
      <c r="AU365" s="238"/>
      <c r="AV365" s="238"/>
      <c r="AW365" s="238"/>
      <c r="AX365" s="238"/>
      <c r="AY365" s="238"/>
      <c r="AZ365" s="241"/>
      <c r="BA365" s="241"/>
      <c r="BB365" s="241"/>
      <c r="BC365" s="238"/>
      <c r="BD365" s="238"/>
      <c r="BE365" s="238"/>
      <c r="BF365" s="238"/>
      <c r="BG365" s="238"/>
      <c r="BH365" s="238"/>
      <c r="BI365" s="238"/>
      <c r="BJ365" s="238"/>
      <c r="BK365" s="238"/>
      <c r="BL365" s="238"/>
      <c r="BM365" s="238"/>
      <c r="BN365" s="238"/>
      <c r="BO365" s="238"/>
      <c r="BP365" s="238"/>
      <c r="BQ365" s="238"/>
      <c r="BR365" s="238"/>
      <c r="BS365" s="238"/>
      <c r="BT365" s="238"/>
      <c r="BU365" s="238"/>
      <c r="BV365" s="238"/>
      <c r="BW365" s="238"/>
      <c r="BX365" s="238"/>
      <c r="BY365" s="238"/>
      <c r="BZ365" s="238"/>
      <c r="CA365" s="238"/>
      <c r="CB365" s="238"/>
      <c r="CC365" s="238"/>
      <c r="CD365" s="238"/>
      <c r="CE365" s="238"/>
      <c r="CF365" s="238"/>
    </row>
    <row r="366" spans="1:84">
      <c r="A366" s="534"/>
      <c r="B366" s="256"/>
      <c r="C366" s="238"/>
      <c r="D366" s="256"/>
      <c r="E366" s="256"/>
      <c r="F366" s="256"/>
      <c r="G366" s="238"/>
      <c r="H366" s="238"/>
      <c r="I366" s="238"/>
      <c r="J366" s="238"/>
      <c r="K366" s="238"/>
      <c r="L366" s="238"/>
      <c r="M366" s="238"/>
      <c r="N366" s="238"/>
      <c r="O366" s="535"/>
      <c r="P366" s="238"/>
      <c r="Q366" s="238"/>
      <c r="S366" s="238"/>
      <c r="T366" s="238"/>
      <c r="U366" s="238"/>
      <c r="V366" s="238"/>
      <c r="W366" s="238"/>
      <c r="X366" s="238"/>
      <c r="Y366" s="238"/>
      <c r="Z366" s="238"/>
      <c r="AA366" s="240"/>
      <c r="AB366" s="238"/>
      <c r="AC366" s="238"/>
      <c r="AD366" s="238"/>
      <c r="AE366" s="238"/>
      <c r="AF366" s="238"/>
      <c r="AG366" s="524"/>
      <c r="AH366" s="238"/>
      <c r="AI366" s="238"/>
      <c r="AJ366" s="238"/>
      <c r="AK366" s="238"/>
      <c r="AL366" s="238"/>
      <c r="AM366" s="238"/>
      <c r="AN366" s="238"/>
      <c r="AO366" s="238"/>
      <c r="AP366" s="238"/>
      <c r="AQ366" s="238"/>
      <c r="AR366" s="238"/>
      <c r="AS366" s="238"/>
      <c r="AT366" s="456"/>
      <c r="AU366" s="238"/>
      <c r="AV366" s="238"/>
      <c r="AW366" s="238"/>
      <c r="AX366" s="238"/>
      <c r="AY366" s="238"/>
      <c r="AZ366" s="241"/>
      <c r="BA366" s="241"/>
      <c r="BB366" s="241"/>
      <c r="BC366" s="238"/>
      <c r="BD366" s="238"/>
      <c r="BE366" s="238"/>
      <c r="BF366" s="238"/>
      <c r="BG366" s="238"/>
      <c r="BH366" s="238"/>
      <c r="BI366" s="238"/>
      <c r="BJ366" s="238"/>
      <c r="BK366" s="238"/>
      <c r="BL366" s="238"/>
      <c r="BM366" s="238"/>
      <c r="BN366" s="238"/>
      <c r="BO366" s="238"/>
      <c r="BP366" s="238"/>
      <c r="BQ366" s="238"/>
      <c r="BR366" s="238"/>
      <c r="BS366" s="238"/>
      <c r="BT366" s="238"/>
      <c r="BU366" s="238"/>
      <c r="BV366" s="238"/>
      <c r="BW366" s="238"/>
      <c r="BX366" s="238"/>
      <c r="BY366" s="238"/>
      <c r="BZ366" s="238"/>
      <c r="CA366" s="238"/>
      <c r="CB366" s="238"/>
      <c r="CC366" s="238"/>
      <c r="CD366" s="238"/>
      <c r="CE366" s="238"/>
      <c r="CF366" s="238"/>
    </row>
    <row r="367" spans="1:84">
      <c r="A367" s="534"/>
      <c r="B367" s="256"/>
      <c r="C367" s="238"/>
      <c r="D367" s="256"/>
      <c r="E367" s="256"/>
      <c r="F367" s="256"/>
      <c r="G367" s="238"/>
      <c r="H367" s="238"/>
      <c r="I367" s="238"/>
      <c r="J367" s="238"/>
      <c r="K367" s="238"/>
      <c r="L367" s="238"/>
      <c r="M367" s="238"/>
      <c r="N367" s="238"/>
      <c r="O367" s="535"/>
      <c r="P367" s="238"/>
      <c r="Q367" s="238"/>
      <c r="S367" s="238"/>
      <c r="T367" s="238"/>
      <c r="U367" s="238"/>
      <c r="V367" s="238"/>
      <c r="W367" s="238"/>
      <c r="X367" s="238"/>
      <c r="Y367" s="238"/>
      <c r="Z367" s="238"/>
      <c r="AA367" s="240"/>
      <c r="AB367" s="238"/>
      <c r="AC367" s="238"/>
      <c r="AD367" s="238"/>
      <c r="AE367" s="238"/>
      <c r="AF367" s="238"/>
      <c r="AG367" s="524"/>
      <c r="AH367" s="238"/>
      <c r="AI367" s="238"/>
      <c r="AJ367" s="238"/>
      <c r="AK367" s="238"/>
      <c r="AL367" s="238"/>
      <c r="AM367" s="238"/>
      <c r="AN367" s="238"/>
      <c r="AO367" s="238"/>
      <c r="AP367" s="238"/>
      <c r="AQ367" s="238"/>
      <c r="AR367" s="238"/>
      <c r="AS367" s="238"/>
      <c r="AT367" s="456"/>
      <c r="AU367" s="238"/>
      <c r="AV367" s="238"/>
      <c r="AW367" s="238"/>
      <c r="AX367" s="238"/>
      <c r="AY367" s="238"/>
      <c r="AZ367" s="241"/>
      <c r="BA367" s="241"/>
      <c r="BB367" s="241"/>
      <c r="BC367" s="238"/>
      <c r="BD367" s="238"/>
      <c r="BE367" s="238"/>
      <c r="BF367" s="238"/>
      <c r="BG367" s="238"/>
      <c r="BH367" s="238"/>
      <c r="BI367" s="238"/>
      <c r="BJ367" s="238"/>
      <c r="BK367" s="238"/>
      <c r="BL367" s="238"/>
      <c r="BM367" s="238"/>
      <c r="BN367" s="238"/>
      <c r="BO367" s="238"/>
      <c r="BP367" s="238"/>
      <c r="BQ367" s="238"/>
      <c r="BR367" s="238"/>
      <c r="BS367" s="238"/>
      <c r="BT367" s="238"/>
      <c r="BU367" s="238"/>
      <c r="BV367" s="238"/>
      <c r="BW367" s="238"/>
      <c r="BX367" s="238"/>
      <c r="BY367" s="238"/>
      <c r="BZ367" s="238"/>
      <c r="CA367" s="238"/>
      <c r="CB367" s="238"/>
      <c r="CC367" s="238"/>
      <c r="CD367" s="238"/>
      <c r="CE367" s="238"/>
      <c r="CF367" s="238"/>
    </row>
    <row r="368" spans="1:84">
      <c r="A368" s="534"/>
      <c r="B368" s="256"/>
      <c r="C368" s="238"/>
      <c r="D368" s="256"/>
      <c r="E368" s="256"/>
      <c r="F368" s="256"/>
      <c r="G368" s="238"/>
      <c r="H368" s="238"/>
      <c r="I368" s="238"/>
      <c r="J368" s="238"/>
      <c r="K368" s="238"/>
      <c r="L368" s="238"/>
      <c r="M368" s="238"/>
      <c r="N368" s="238"/>
      <c r="O368" s="535"/>
      <c r="P368" s="238"/>
      <c r="Q368" s="238"/>
      <c r="S368" s="238"/>
      <c r="T368" s="238"/>
      <c r="U368" s="238"/>
      <c r="V368" s="238"/>
      <c r="W368" s="238"/>
      <c r="X368" s="238"/>
      <c r="Y368" s="238"/>
      <c r="Z368" s="238"/>
      <c r="AA368" s="240"/>
      <c r="AB368" s="238"/>
      <c r="AC368" s="238"/>
      <c r="AD368" s="238"/>
      <c r="AE368" s="238"/>
      <c r="AF368" s="238"/>
      <c r="AG368" s="524"/>
      <c r="AH368" s="238"/>
      <c r="AI368" s="238"/>
      <c r="AJ368" s="238"/>
      <c r="AK368" s="238"/>
      <c r="AL368" s="238"/>
      <c r="AM368" s="238"/>
      <c r="AN368" s="238"/>
      <c r="AO368" s="238"/>
      <c r="AP368" s="238"/>
      <c r="AQ368" s="238"/>
      <c r="AR368" s="238"/>
      <c r="AS368" s="238"/>
      <c r="AT368" s="456"/>
      <c r="AU368" s="238"/>
      <c r="AV368" s="238"/>
      <c r="AW368" s="238"/>
      <c r="AX368" s="238"/>
      <c r="AY368" s="238"/>
      <c r="AZ368" s="241"/>
      <c r="BA368" s="241"/>
      <c r="BB368" s="241"/>
      <c r="BC368" s="238"/>
      <c r="BD368" s="238"/>
      <c r="BE368" s="238"/>
      <c r="BF368" s="238"/>
      <c r="BG368" s="238"/>
      <c r="BH368" s="238"/>
      <c r="BI368" s="238"/>
      <c r="BJ368" s="238"/>
      <c r="BK368" s="238"/>
      <c r="BL368" s="238"/>
      <c r="BM368" s="238"/>
      <c r="BN368" s="238"/>
      <c r="BO368" s="238"/>
      <c r="BP368" s="238"/>
      <c r="BQ368" s="238"/>
      <c r="BR368" s="238"/>
      <c r="BS368" s="238"/>
      <c r="BT368" s="238"/>
      <c r="BU368" s="238"/>
      <c r="BV368" s="238"/>
      <c r="BW368" s="238"/>
      <c r="BX368" s="238"/>
      <c r="BY368" s="238"/>
      <c r="BZ368" s="238"/>
      <c r="CA368" s="238"/>
      <c r="CB368" s="238"/>
      <c r="CC368" s="238"/>
      <c r="CD368" s="238"/>
      <c r="CE368" s="238"/>
      <c r="CF368" s="238"/>
    </row>
    <row r="369" spans="1:84">
      <c r="A369" s="534"/>
      <c r="B369" s="256"/>
      <c r="C369" s="238"/>
      <c r="D369" s="256"/>
      <c r="E369" s="256"/>
      <c r="F369" s="256"/>
      <c r="G369" s="238"/>
      <c r="H369" s="238"/>
      <c r="I369" s="238"/>
      <c r="J369" s="238"/>
      <c r="K369" s="238"/>
      <c r="L369" s="238"/>
      <c r="M369" s="238"/>
      <c r="N369" s="238"/>
      <c r="O369" s="535"/>
      <c r="P369" s="238"/>
      <c r="Q369" s="238"/>
      <c r="S369" s="238"/>
      <c r="T369" s="238"/>
      <c r="U369" s="238"/>
      <c r="V369" s="238"/>
      <c r="W369" s="238"/>
      <c r="X369" s="238"/>
      <c r="Y369" s="238"/>
      <c r="Z369" s="238"/>
      <c r="AA369" s="240"/>
      <c r="AB369" s="238"/>
      <c r="AC369" s="238"/>
      <c r="AD369" s="238"/>
      <c r="AE369" s="238"/>
      <c r="AF369" s="238"/>
      <c r="AG369" s="524"/>
      <c r="AH369" s="238"/>
      <c r="AI369" s="238"/>
      <c r="AJ369" s="238"/>
      <c r="AK369" s="238"/>
      <c r="AL369" s="238"/>
      <c r="AM369" s="238"/>
      <c r="AN369" s="238"/>
      <c r="AO369" s="238"/>
      <c r="AP369" s="238"/>
      <c r="AQ369" s="238"/>
      <c r="AR369" s="238"/>
      <c r="AS369" s="238"/>
      <c r="AT369" s="456"/>
      <c r="AU369" s="238"/>
      <c r="AV369" s="238"/>
      <c r="AW369" s="238"/>
      <c r="AX369" s="238"/>
      <c r="AY369" s="238"/>
      <c r="AZ369" s="241"/>
      <c r="BA369" s="241"/>
      <c r="BB369" s="241"/>
      <c r="BC369" s="238"/>
      <c r="BD369" s="238"/>
      <c r="BE369" s="238"/>
      <c r="BF369" s="238"/>
      <c r="BG369" s="238"/>
      <c r="BH369" s="238"/>
      <c r="BI369" s="238"/>
      <c r="BJ369" s="238"/>
      <c r="BK369" s="238"/>
      <c r="BL369" s="238"/>
      <c r="BM369" s="238"/>
      <c r="BN369" s="238"/>
      <c r="BO369" s="238"/>
      <c r="BP369" s="238"/>
      <c r="BQ369" s="238"/>
      <c r="BR369" s="238"/>
      <c r="BS369" s="238"/>
      <c r="BT369" s="238"/>
      <c r="BU369" s="238"/>
      <c r="BV369" s="238"/>
      <c r="BW369" s="238"/>
      <c r="BX369" s="238"/>
      <c r="BY369" s="238"/>
      <c r="BZ369" s="238"/>
      <c r="CA369" s="238"/>
      <c r="CB369" s="238"/>
      <c r="CC369" s="238"/>
      <c r="CD369" s="238"/>
      <c r="CE369" s="238"/>
      <c r="CF369" s="238"/>
    </row>
    <row r="370" spans="1:84">
      <c r="A370" s="534"/>
      <c r="B370" s="256"/>
      <c r="C370" s="238"/>
      <c r="D370" s="256"/>
      <c r="E370" s="256"/>
      <c r="F370" s="256"/>
      <c r="G370" s="238"/>
      <c r="H370" s="238"/>
      <c r="I370" s="238"/>
      <c r="J370" s="238"/>
      <c r="K370" s="238"/>
      <c r="L370" s="238"/>
      <c r="M370" s="238"/>
      <c r="N370" s="238"/>
      <c r="O370" s="535"/>
      <c r="P370" s="238"/>
      <c r="Q370" s="238"/>
      <c r="S370" s="238"/>
      <c r="T370" s="238"/>
      <c r="U370" s="238"/>
      <c r="V370" s="238"/>
      <c r="W370" s="238"/>
      <c r="X370" s="238"/>
      <c r="Y370" s="238"/>
      <c r="Z370" s="238"/>
      <c r="AA370" s="240"/>
      <c r="AB370" s="238"/>
      <c r="AC370" s="238"/>
      <c r="AD370" s="238"/>
      <c r="AE370" s="238"/>
      <c r="AF370" s="238"/>
      <c r="AG370" s="524"/>
      <c r="AH370" s="238"/>
      <c r="AI370" s="238"/>
      <c r="AJ370" s="238"/>
      <c r="AK370" s="238"/>
      <c r="AL370" s="238"/>
      <c r="AM370" s="238"/>
      <c r="AN370" s="238"/>
      <c r="AO370" s="238"/>
      <c r="AP370" s="238"/>
      <c r="AQ370" s="238"/>
      <c r="AR370" s="238"/>
      <c r="AS370" s="238"/>
      <c r="AT370" s="456"/>
      <c r="AU370" s="238"/>
      <c r="AV370" s="238"/>
      <c r="AW370" s="238"/>
      <c r="AX370" s="238"/>
      <c r="AY370" s="238"/>
      <c r="AZ370" s="241"/>
      <c r="BA370" s="241"/>
      <c r="BB370" s="241"/>
      <c r="BC370" s="238"/>
      <c r="BD370" s="238"/>
      <c r="BE370" s="238"/>
      <c r="BF370" s="238"/>
      <c r="BG370" s="238"/>
      <c r="BH370" s="238"/>
      <c r="BI370" s="238"/>
      <c r="BJ370" s="238"/>
      <c r="BK370" s="238"/>
      <c r="BL370" s="238"/>
      <c r="BM370" s="238"/>
      <c r="BN370" s="238"/>
      <c r="BO370" s="238"/>
      <c r="BP370" s="238"/>
      <c r="BQ370" s="238"/>
      <c r="BR370" s="238"/>
      <c r="BS370" s="238"/>
      <c r="BT370" s="238"/>
      <c r="BU370" s="238"/>
      <c r="BV370" s="238"/>
      <c r="BW370" s="238"/>
      <c r="BX370" s="238"/>
      <c r="BY370" s="238"/>
      <c r="BZ370" s="238"/>
      <c r="CA370" s="238"/>
      <c r="CB370" s="238"/>
      <c r="CC370" s="238"/>
      <c r="CD370" s="238"/>
      <c r="CE370" s="238"/>
      <c r="CF370" s="238"/>
    </row>
    <row r="371" spans="1:84">
      <c r="A371" s="534"/>
      <c r="B371" s="256"/>
      <c r="C371" s="238"/>
      <c r="D371" s="256"/>
      <c r="E371" s="256"/>
      <c r="F371" s="256"/>
      <c r="G371" s="238"/>
      <c r="H371" s="238"/>
      <c r="I371" s="238"/>
      <c r="J371" s="238"/>
      <c r="K371" s="238"/>
      <c r="L371" s="238"/>
      <c r="M371" s="238"/>
      <c r="N371" s="238"/>
      <c r="O371" s="535"/>
      <c r="P371" s="238"/>
      <c r="Q371" s="238"/>
      <c r="S371" s="238"/>
      <c r="T371" s="238"/>
      <c r="U371" s="238"/>
      <c r="V371" s="238"/>
      <c r="W371" s="238"/>
      <c r="X371" s="238"/>
      <c r="Y371" s="238"/>
      <c r="Z371" s="238"/>
      <c r="AA371" s="240"/>
      <c r="AB371" s="238"/>
      <c r="AC371" s="238"/>
      <c r="AD371" s="238"/>
      <c r="AE371" s="238"/>
      <c r="AF371" s="238"/>
      <c r="AG371" s="524"/>
      <c r="AH371" s="238"/>
      <c r="AI371" s="238"/>
      <c r="AJ371" s="238"/>
      <c r="AK371" s="238"/>
      <c r="AL371" s="238"/>
      <c r="AM371" s="238"/>
      <c r="AN371" s="238"/>
      <c r="AO371" s="238"/>
      <c r="AP371" s="238"/>
      <c r="AQ371" s="238"/>
      <c r="AR371" s="238"/>
      <c r="AS371" s="238"/>
      <c r="AT371" s="456"/>
      <c r="AU371" s="238"/>
      <c r="AV371" s="238"/>
      <c r="AW371" s="238"/>
      <c r="AX371" s="238"/>
      <c r="AY371" s="238"/>
      <c r="AZ371" s="241"/>
      <c r="BA371" s="241"/>
      <c r="BB371" s="241"/>
      <c r="BC371" s="238"/>
      <c r="BD371" s="238"/>
      <c r="BE371" s="238"/>
      <c r="BF371" s="238"/>
      <c r="BG371" s="238"/>
      <c r="BH371" s="238"/>
      <c r="BI371" s="238"/>
      <c r="BJ371" s="238"/>
      <c r="BK371" s="238"/>
      <c r="BL371" s="238"/>
      <c r="BM371" s="238"/>
      <c r="BN371" s="238"/>
      <c r="BO371" s="238"/>
      <c r="BP371" s="238"/>
      <c r="BQ371" s="238"/>
      <c r="BR371" s="238"/>
      <c r="BS371" s="238"/>
      <c r="BT371" s="238"/>
      <c r="BU371" s="238"/>
      <c r="BV371" s="238"/>
      <c r="BW371" s="238"/>
      <c r="BX371" s="238"/>
      <c r="BY371" s="238"/>
      <c r="BZ371" s="238"/>
      <c r="CA371" s="238"/>
      <c r="CB371" s="238"/>
      <c r="CC371" s="238"/>
      <c r="CD371" s="238"/>
      <c r="CE371" s="238"/>
      <c r="CF371" s="238"/>
    </row>
    <row r="372" spans="1:84">
      <c r="A372" s="534"/>
      <c r="B372" s="256"/>
      <c r="C372" s="238"/>
      <c r="D372" s="256"/>
      <c r="E372" s="256"/>
      <c r="F372" s="256"/>
      <c r="G372" s="238"/>
      <c r="H372" s="238"/>
      <c r="I372" s="238"/>
      <c r="J372" s="238"/>
      <c r="K372" s="238"/>
      <c r="L372" s="238"/>
      <c r="M372" s="238"/>
      <c r="N372" s="238"/>
      <c r="O372" s="535"/>
      <c r="P372" s="238"/>
      <c r="Q372" s="238"/>
      <c r="S372" s="238"/>
      <c r="T372" s="238"/>
      <c r="U372" s="238"/>
      <c r="V372" s="238"/>
      <c r="W372" s="238"/>
      <c r="X372" s="238"/>
      <c r="Y372" s="238"/>
      <c r="Z372" s="238"/>
      <c r="AA372" s="240"/>
      <c r="AB372" s="238"/>
      <c r="AC372" s="238"/>
      <c r="AD372" s="238"/>
      <c r="AE372" s="238"/>
      <c r="AF372" s="238"/>
      <c r="AG372" s="524"/>
      <c r="AH372" s="238"/>
      <c r="AI372" s="238"/>
      <c r="AJ372" s="238"/>
      <c r="AK372" s="238"/>
      <c r="AL372" s="238"/>
      <c r="AM372" s="238"/>
      <c r="AN372" s="238"/>
      <c r="AO372" s="238"/>
      <c r="AP372" s="238"/>
      <c r="AQ372" s="238"/>
      <c r="AR372" s="238"/>
      <c r="AS372" s="238"/>
      <c r="AT372" s="456"/>
      <c r="AU372" s="238"/>
      <c r="AV372" s="238"/>
      <c r="AW372" s="238"/>
      <c r="AX372" s="238"/>
      <c r="AY372" s="238"/>
      <c r="AZ372" s="241"/>
      <c r="BA372" s="241"/>
      <c r="BB372" s="241"/>
      <c r="BC372" s="238"/>
      <c r="BD372" s="238"/>
      <c r="BE372" s="238"/>
      <c r="BF372" s="238"/>
      <c r="BG372" s="238"/>
      <c r="BH372" s="238"/>
      <c r="BI372" s="238"/>
      <c r="BJ372" s="238"/>
      <c r="BK372" s="238"/>
      <c r="BL372" s="238"/>
      <c r="BM372" s="238"/>
      <c r="BN372" s="238"/>
      <c r="BO372" s="238"/>
      <c r="BP372" s="238"/>
      <c r="BQ372" s="238"/>
      <c r="BR372" s="238"/>
      <c r="BS372" s="238"/>
      <c r="BT372" s="238"/>
      <c r="BU372" s="238"/>
      <c r="BV372" s="238"/>
      <c r="BW372" s="238"/>
      <c r="BX372" s="238"/>
      <c r="BY372" s="238"/>
      <c r="BZ372" s="238"/>
      <c r="CA372" s="238"/>
      <c r="CB372" s="238"/>
      <c r="CC372" s="238"/>
      <c r="CD372" s="238"/>
      <c r="CE372" s="238"/>
      <c r="CF372" s="238"/>
    </row>
    <row r="373" spans="1:84">
      <c r="A373" s="534"/>
      <c r="B373" s="256"/>
      <c r="C373" s="238"/>
      <c r="D373" s="256"/>
      <c r="E373" s="256"/>
      <c r="F373" s="256"/>
      <c r="G373" s="238"/>
      <c r="H373" s="238"/>
      <c r="I373" s="238"/>
      <c r="J373" s="238"/>
      <c r="K373" s="238"/>
      <c r="L373" s="238"/>
      <c r="M373" s="238"/>
      <c r="N373" s="238"/>
      <c r="O373" s="535"/>
      <c r="P373" s="238"/>
      <c r="Q373" s="238"/>
      <c r="S373" s="238"/>
      <c r="T373" s="238"/>
      <c r="U373" s="238"/>
      <c r="V373" s="238"/>
      <c r="W373" s="238"/>
      <c r="X373" s="238"/>
      <c r="Y373" s="238"/>
      <c r="Z373" s="238"/>
      <c r="AA373" s="240"/>
      <c r="AB373" s="238"/>
      <c r="AC373" s="238"/>
      <c r="AD373" s="238"/>
      <c r="AE373" s="238"/>
      <c r="AF373" s="238"/>
      <c r="AG373" s="524"/>
      <c r="AH373" s="238"/>
      <c r="AI373" s="238"/>
      <c r="AJ373" s="238"/>
      <c r="AK373" s="238"/>
      <c r="AL373" s="238"/>
      <c r="AM373" s="238"/>
      <c r="AN373" s="238"/>
      <c r="AO373" s="238"/>
      <c r="AP373" s="238"/>
      <c r="AQ373" s="238"/>
      <c r="AR373" s="238"/>
      <c r="AS373" s="238"/>
      <c r="AT373" s="456"/>
      <c r="AU373" s="238"/>
      <c r="AV373" s="238"/>
      <c r="AW373" s="238"/>
      <c r="AX373" s="238"/>
      <c r="AY373" s="238"/>
      <c r="AZ373" s="241"/>
      <c r="BA373" s="241"/>
      <c r="BB373" s="241"/>
      <c r="BC373" s="238"/>
      <c r="BD373" s="238"/>
      <c r="BE373" s="238"/>
      <c r="BF373" s="238"/>
      <c r="BG373" s="238"/>
      <c r="BH373" s="238"/>
      <c r="BI373" s="238"/>
      <c r="BJ373" s="238"/>
      <c r="BK373" s="238"/>
      <c r="BL373" s="238"/>
      <c r="BM373" s="238"/>
      <c r="BN373" s="238"/>
      <c r="BO373" s="238"/>
      <c r="BP373" s="238"/>
      <c r="BQ373" s="238"/>
      <c r="BR373" s="238"/>
      <c r="BS373" s="238"/>
      <c r="BT373" s="238"/>
      <c r="BU373" s="238"/>
      <c r="BV373" s="238"/>
      <c r="BW373" s="238"/>
      <c r="BX373" s="238"/>
      <c r="BY373" s="238"/>
      <c r="BZ373" s="238"/>
      <c r="CA373" s="238"/>
      <c r="CB373" s="238"/>
      <c r="CC373" s="238"/>
      <c r="CD373" s="238"/>
      <c r="CE373" s="238"/>
      <c r="CF373" s="238"/>
    </row>
    <row r="374" spans="1:84">
      <c r="A374" s="534"/>
      <c r="B374" s="256"/>
      <c r="C374" s="238"/>
      <c r="D374" s="256"/>
      <c r="E374" s="256"/>
      <c r="F374" s="256"/>
      <c r="G374" s="238"/>
      <c r="H374" s="238"/>
      <c r="I374" s="238"/>
      <c r="J374" s="238"/>
      <c r="K374" s="238"/>
      <c r="L374" s="238"/>
      <c r="M374" s="238"/>
      <c r="N374" s="238"/>
      <c r="O374" s="535"/>
      <c r="P374" s="238"/>
      <c r="Q374" s="238"/>
      <c r="S374" s="238"/>
      <c r="T374" s="238"/>
      <c r="U374" s="238"/>
      <c r="V374" s="238"/>
      <c r="W374" s="238"/>
      <c r="X374" s="238"/>
      <c r="Y374" s="238"/>
      <c r="Z374" s="238"/>
      <c r="AA374" s="240"/>
      <c r="AB374" s="238"/>
      <c r="AC374" s="238"/>
      <c r="AD374" s="238"/>
      <c r="AE374" s="238"/>
      <c r="AF374" s="238"/>
      <c r="AG374" s="524"/>
      <c r="AH374" s="238"/>
      <c r="AI374" s="238"/>
      <c r="AJ374" s="238"/>
      <c r="AK374" s="238"/>
      <c r="AL374" s="238"/>
      <c r="AM374" s="238"/>
      <c r="AN374" s="238"/>
      <c r="AO374" s="238"/>
      <c r="AP374" s="238"/>
      <c r="AQ374" s="238"/>
      <c r="AR374" s="238"/>
      <c r="AS374" s="238"/>
      <c r="AT374" s="456"/>
      <c r="AU374" s="238"/>
      <c r="AV374" s="238"/>
      <c r="AW374" s="238"/>
      <c r="AX374" s="238"/>
      <c r="AY374" s="238"/>
      <c r="AZ374" s="241"/>
      <c r="BA374" s="241"/>
      <c r="BB374" s="241"/>
      <c r="BC374" s="238"/>
      <c r="BD374" s="238"/>
      <c r="BE374" s="238"/>
      <c r="BF374" s="238"/>
      <c r="BG374" s="238"/>
      <c r="BH374" s="238"/>
      <c r="BI374" s="238"/>
      <c r="BJ374" s="238"/>
      <c r="BK374" s="238"/>
      <c r="BL374" s="238"/>
      <c r="BM374" s="238"/>
      <c r="BN374" s="238"/>
      <c r="BO374" s="238"/>
      <c r="BP374" s="238"/>
      <c r="BQ374" s="238"/>
      <c r="BR374" s="238"/>
      <c r="BS374" s="238"/>
      <c r="BT374" s="238"/>
      <c r="BU374" s="238"/>
      <c r="BV374" s="238"/>
      <c r="BW374" s="238"/>
      <c r="BX374" s="238"/>
      <c r="BY374" s="238"/>
      <c r="BZ374" s="238"/>
      <c r="CA374" s="238"/>
      <c r="CB374" s="238"/>
      <c r="CC374" s="238"/>
      <c r="CD374" s="238"/>
      <c r="CE374" s="238"/>
      <c r="CF374" s="238"/>
    </row>
    <row r="375" spans="1:84">
      <c r="A375" s="534"/>
      <c r="B375" s="256"/>
      <c r="C375" s="238"/>
      <c r="D375" s="256"/>
      <c r="E375" s="256"/>
      <c r="F375" s="256"/>
      <c r="G375" s="238"/>
      <c r="H375" s="238"/>
      <c r="I375" s="238"/>
      <c r="J375" s="238"/>
      <c r="K375" s="238"/>
      <c r="L375" s="238"/>
      <c r="M375" s="238"/>
      <c r="N375" s="238"/>
      <c r="O375" s="535"/>
      <c r="P375" s="238"/>
      <c r="Q375" s="238"/>
      <c r="S375" s="238"/>
      <c r="T375" s="238"/>
      <c r="U375" s="238"/>
      <c r="V375" s="238"/>
      <c r="W375" s="238"/>
      <c r="X375" s="238"/>
      <c r="Y375" s="238"/>
      <c r="Z375" s="238"/>
      <c r="AA375" s="240"/>
      <c r="AB375" s="238"/>
      <c r="AC375" s="238"/>
      <c r="AD375" s="238"/>
      <c r="AE375" s="238"/>
      <c r="AF375" s="238"/>
      <c r="AG375" s="524"/>
      <c r="AH375" s="238"/>
      <c r="AI375" s="238"/>
      <c r="AJ375" s="238"/>
      <c r="AK375" s="238"/>
      <c r="AL375" s="238"/>
      <c r="AM375" s="238"/>
      <c r="AN375" s="238"/>
      <c r="AO375" s="238"/>
      <c r="AP375" s="238"/>
      <c r="AQ375" s="238"/>
      <c r="AR375" s="238"/>
      <c r="AS375" s="238"/>
      <c r="AT375" s="456"/>
      <c r="AU375" s="238"/>
      <c r="AV375" s="238"/>
      <c r="AW375" s="238"/>
      <c r="AX375" s="238"/>
      <c r="AY375" s="238"/>
      <c r="AZ375" s="241"/>
      <c r="BA375" s="241"/>
      <c r="BB375" s="241"/>
      <c r="BC375" s="238"/>
      <c r="BD375" s="238"/>
      <c r="BE375" s="238"/>
      <c r="BF375" s="238"/>
      <c r="BG375" s="238"/>
      <c r="BH375" s="238"/>
      <c r="BI375" s="238"/>
      <c r="BJ375" s="238"/>
      <c r="BK375" s="238"/>
      <c r="BL375" s="238"/>
      <c r="BM375" s="238"/>
      <c r="BN375" s="238"/>
      <c r="BO375" s="238"/>
      <c r="BP375" s="238"/>
      <c r="BQ375" s="238"/>
      <c r="BR375" s="238"/>
      <c r="BS375" s="238"/>
      <c r="BT375" s="238"/>
      <c r="BU375" s="238"/>
      <c r="BV375" s="238"/>
      <c r="BW375" s="238"/>
      <c r="BX375" s="238"/>
      <c r="BY375" s="238"/>
      <c r="BZ375" s="238"/>
      <c r="CA375" s="238"/>
      <c r="CB375" s="238"/>
      <c r="CC375" s="238"/>
      <c r="CD375" s="238"/>
      <c r="CE375" s="238"/>
      <c r="CF375" s="238"/>
    </row>
    <row r="376" spans="1:84">
      <c r="A376" s="534"/>
      <c r="B376" s="256"/>
      <c r="C376" s="238"/>
      <c r="D376" s="256"/>
      <c r="E376" s="256"/>
      <c r="F376" s="256"/>
      <c r="G376" s="238"/>
      <c r="H376" s="238"/>
      <c r="I376" s="238"/>
      <c r="J376" s="238"/>
      <c r="K376" s="238"/>
      <c r="L376" s="238"/>
      <c r="M376" s="238"/>
      <c r="N376" s="238"/>
      <c r="O376" s="535"/>
      <c r="P376" s="238"/>
      <c r="Q376" s="238"/>
      <c r="S376" s="238"/>
      <c r="T376" s="238"/>
      <c r="U376" s="238"/>
      <c r="V376" s="238"/>
      <c r="W376" s="238"/>
      <c r="X376" s="238"/>
      <c r="Y376" s="238"/>
      <c r="Z376" s="238"/>
      <c r="AA376" s="240"/>
      <c r="AB376" s="238"/>
      <c r="AC376" s="238"/>
      <c r="AD376" s="238"/>
      <c r="AE376" s="238"/>
      <c r="AF376" s="238"/>
      <c r="AG376" s="524"/>
      <c r="AH376" s="238"/>
      <c r="AI376" s="238"/>
      <c r="AJ376" s="238"/>
      <c r="AK376" s="238"/>
      <c r="AL376" s="238"/>
      <c r="AM376" s="238"/>
      <c r="AN376" s="238"/>
      <c r="AO376" s="238"/>
      <c r="AP376" s="238"/>
      <c r="AQ376" s="238"/>
      <c r="AR376" s="238"/>
      <c r="AS376" s="238"/>
      <c r="AT376" s="456"/>
      <c r="AU376" s="238"/>
      <c r="AV376" s="238"/>
      <c r="AW376" s="238"/>
      <c r="AX376" s="238"/>
      <c r="AY376" s="238"/>
      <c r="AZ376" s="241"/>
      <c r="BA376" s="241"/>
      <c r="BB376" s="241"/>
      <c r="BC376" s="238"/>
      <c r="BD376" s="238"/>
      <c r="BE376" s="238"/>
      <c r="BF376" s="238"/>
      <c r="BG376" s="238"/>
      <c r="BH376" s="238"/>
      <c r="BI376" s="238"/>
      <c r="BJ376" s="238"/>
      <c r="BK376" s="238"/>
      <c r="BL376" s="238"/>
      <c r="BM376" s="238"/>
      <c r="BN376" s="238"/>
      <c r="BO376" s="238"/>
      <c r="BP376" s="238"/>
      <c r="BQ376" s="238"/>
      <c r="BR376" s="238"/>
      <c r="BS376" s="238"/>
      <c r="BT376" s="238"/>
      <c r="BU376" s="238"/>
      <c r="BV376" s="238"/>
      <c r="BW376" s="238"/>
      <c r="BX376" s="238"/>
      <c r="BY376" s="238"/>
      <c r="BZ376" s="238"/>
      <c r="CA376" s="238"/>
      <c r="CB376" s="238"/>
      <c r="CC376" s="238"/>
      <c r="CD376" s="238"/>
      <c r="CE376" s="238"/>
      <c r="CF376" s="238"/>
    </row>
    <row r="377" spans="1:84">
      <c r="A377" s="534"/>
      <c r="B377" s="256"/>
      <c r="C377" s="238"/>
      <c r="D377" s="256"/>
      <c r="E377" s="256"/>
      <c r="F377" s="256"/>
      <c r="G377" s="238"/>
      <c r="H377" s="238"/>
      <c r="I377" s="238"/>
      <c r="J377" s="238"/>
      <c r="K377" s="238"/>
      <c r="L377" s="238"/>
      <c r="M377" s="238"/>
      <c r="N377" s="238"/>
      <c r="O377" s="535"/>
      <c r="P377" s="238"/>
      <c r="Q377" s="238"/>
      <c r="S377" s="238"/>
      <c r="T377" s="238"/>
      <c r="U377" s="238"/>
      <c r="V377" s="238"/>
      <c r="W377" s="238"/>
      <c r="X377" s="238"/>
      <c r="Y377" s="238"/>
      <c r="Z377" s="238"/>
      <c r="AA377" s="240"/>
      <c r="AB377" s="238"/>
      <c r="AC377" s="238"/>
      <c r="AD377" s="238"/>
      <c r="AE377" s="238"/>
      <c r="AF377" s="238"/>
      <c r="AG377" s="524"/>
      <c r="AH377" s="238"/>
      <c r="AI377" s="238"/>
      <c r="AJ377" s="238"/>
      <c r="AK377" s="238"/>
      <c r="AL377" s="238"/>
      <c r="AM377" s="238"/>
      <c r="AN377" s="238"/>
      <c r="AO377" s="238"/>
      <c r="AP377" s="238"/>
      <c r="AQ377" s="238"/>
      <c r="AR377" s="238"/>
      <c r="AS377" s="238"/>
      <c r="AT377" s="456"/>
      <c r="AU377" s="238"/>
      <c r="AV377" s="238"/>
      <c r="AW377" s="238"/>
      <c r="AX377" s="238"/>
      <c r="AY377" s="238"/>
      <c r="AZ377" s="241"/>
      <c r="BA377" s="241"/>
      <c r="BB377" s="241"/>
      <c r="BC377" s="238"/>
      <c r="BD377" s="238"/>
      <c r="BE377" s="238"/>
      <c r="BF377" s="238"/>
      <c r="BG377" s="238"/>
      <c r="BH377" s="238"/>
      <c r="BI377" s="238"/>
      <c r="BJ377" s="238"/>
      <c r="BK377" s="238"/>
      <c r="BL377" s="238"/>
      <c r="BM377" s="238"/>
      <c r="BN377" s="238"/>
      <c r="BO377" s="238"/>
      <c r="BP377" s="238"/>
      <c r="BQ377" s="238"/>
      <c r="BR377" s="238"/>
      <c r="BS377" s="238"/>
      <c r="BT377" s="238"/>
      <c r="BU377" s="238"/>
      <c r="BV377" s="238"/>
      <c r="BW377" s="238"/>
      <c r="BX377" s="238"/>
      <c r="BY377" s="238"/>
      <c r="BZ377" s="238"/>
      <c r="CA377" s="238"/>
      <c r="CB377" s="238"/>
      <c r="CC377" s="238"/>
      <c r="CD377" s="238"/>
      <c r="CE377" s="238"/>
      <c r="CF377" s="238"/>
    </row>
    <row r="378" spans="1:84">
      <c r="A378" s="534"/>
      <c r="B378" s="256"/>
      <c r="C378" s="238"/>
      <c r="D378" s="256"/>
      <c r="E378" s="256"/>
      <c r="F378" s="256"/>
      <c r="G378" s="238"/>
      <c r="H378" s="238"/>
      <c r="I378" s="238"/>
      <c r="J378" s="238"/>
      <c r="K378" s="238"/>
      <c r="L378" s="238"/>
      <c r="M378" s="238"/>
      <c r="N378" s="238"/>
      <c r="O378" s="535"/>
      <c r="P378" s="238"/>
      <c r="Q378" s="238"/>
      <c r="S378" s="238"/>
      <c r="T378" s="238"/>
      <c r="U378" s="238"/>
      <c r="V378" s="238"/>
      <c r="W378" s="238"/>
      <c r="X378" s="238"/>
      <c r="Y378" s="238"/>
      <c r="Z378" s="238"/>
      <c r="AA378" s="240"/>
      <c r="AB378" s="238"/>
      <c r="AC378" s="238"/>
      <c r="AD378" s="238"/>
      <c r="AE378" s="238"/>
      <c r="AF378" s="238"/>
      <c r="AG378" s="524"/>
      <c r="AH378" s="238"/>
      <c r="AI378" s="238"/>
      <c r="AJ378" s="238"/>
      <c r="AK378" s="238"/>
      <c r="AL378" s="238"/>
      <c r="AM378" s="238"/>
      <c r="AN378" s="238"/>
      <c r="AO378" s="238"/>
      <c r="AP378" s="238"/>
      <c r="AQ378" s="238"/>
      <c r="AR378" s="238"/>
      <c r="AS378" s="238"/>
      <c r="AT378" s="456"/>
      <c r="AU378" s="238"/>
      <c r="AV378" s="238"/>
      <c r="AW378" s="238"/>
      <c r="AX378" s="238"/>
      <c r="AY378" s="238"/>
      <c r="AZ378" s="241"/>
      <c r="BA378" s="241"/>
      <c r="BB378" s="241"/>
      <c r="BC378" s="238"/>
      <c r="BD378" s="238"/>
      <c r="BE378" s="238"/>
      <c r="BF378" s="238"/>
      <c r="BG378" s="238"/>
      <c r="BH378" s="238"/>
      <c r="BI378" s="238"/>
      <c r="BJ378" s="238"/>
      <c r="BK378" s="238"/>
      <c r="BL378" s="238"/>
      <c r="BM378" s="238"/>
      <c r="BN378" s="238"/>
      <c r="BO378" s="238"/>
      <c r="BP378" s="238"/>
      <c r="BQ378" s="238"/>
      <c r="BR378" s="238"/>
      <c r="BS378" s="238"/>
      <c r="BT378" s="238"/>
      <c r="BU378" s="238"/>
      <c r="BV378" s="238"/>
      <c r="BW378" s="238"/>
      <c r="BX378" s="238"/>
      <c r="BY378" s="238"/>
      <c r="BZ378" s="238"/>
      <c r="CA378" s="238"/>
      <c r="CB378" s="238"/>
      <c r="CC378" s="238"/>
      <c r="CD378" s="238"/>
      <c r="CE378" s="238"/>
      <c r="CF378" s="238"/>
    </row>
    <row r="379" spans="1:84">
      <c r="A379" s="534"/>
      <c r="B379" s="256"/>
      <c r="C379" s="238"/>
      <c r="D379" s="256"/>
      <c r="E379" s="256"/>
      <c r="F379" s="256"/>
      <c r="G379" s="238"/>
      <c r="H379" s="238"/>
      <c r="I379" s="238"/>
      <c r="J379" s="238"/>
      <c r="K379" s="238"/>
      <c r="L379" s="238"/>
      <c r="M379" s="238"/>
      <c r="N379" s="238"/>
      <c r="O379" s="535"/>
      <c r="P379" s="238"/>
      <c r="Q379" s="238"/>
      <c r="S379" s="238"/>
      <c r="T379" s="238"/>
      <c r="U379" s="238"/>
      <c r="V379" s="238"/>
      <c r="W379" s="238"/>
      <c r="X379" s="238"/>
      <c r="Y379" s="238"/>
      <c r="Z379" s="238"/>
      <c r="AA379" s="240"/>
      <c r="AB379" s="238"/>
      <c r="AC379" s="238"/>
      <c r="AD379" s="238"/>
      <c r="AE379" s="238"/>
      <c r="AF379" s="238"/>
      <c r="AG379" s="524"/>
      <c r="AH379" s="238"/>
      <c r="AI379" s="238"/>
      <c r="AJ379" s="238"/>
      <c r="AK379" s="238"/>
      <c r="AL379" s="238"/>
      <c r="AM379" s="238"/>
      <c r="AN379" s="238"/>
      <c r="AO379" s="238"/>
      <c r="AP379" s="238"/>
      <c r="AQ379" s="238"/>
      <c r="AR379" s="238"/>
      <c r="AS379" s="238"/>
      <c r="AT379" s="456"/>
      <c r="AU379" s="238"/>
      <c r="AV379" s="238"/>
      <c r="AW379" s="238"/>
      <c r="AX379" s="238"/>
      <c r="AY379" s="238"/>
      <c r="AZ379" s="241"/>
      <c r="BA379" s="241"/>
      <c r="BB379" s="241"/>
      <c r="BC379" s="238"/>
      <c r="BD379" s="238"/>
      <c r="BE379" s="238"/>
      <c r="BF379" s="238"/>
      <c r="BG379" s="238"/>
      <c r="BH379" s="238"/>
      <c r="BI379" s="238"/>
      <c r="BJ379" s="238"/>
      <c r="BK379" s="238"/>
      <c r="BL379" s="238"/>
      <c r="BM379" s="238"/>
      <c r="BN379" s="238"/>
      <c r="BO379" s="238"/>
      <c r="BP379" s="238"/>
      <c r="BQ379" s="238"/>
      <c r="BR379" s="238"/>
      <c r="BS379" s="238"/>
      <c r="BT379" s="238"/>
      <c r="BU379" s="238"/>
      <c r="BV379" s="238"/>
      <c r="BW379" s="238"/>
      <c r="BX379" s="238"/>
      <c r="BY379" s="238"/>
      <c r="BZ379" s="238"/>
      <c r="CA379" s="238"/>
      <c r="CB379" s="238"/>
      <c r="CC379" s="238"/>
      <c r="CD379" s="238"/>
      <c r="CE379" s="238"/>
      <c r="CF379" s="238"/>
    </row>
    <row r="380" spans="1:84">
      <c r="A380" s="534"/>
      <c r="B380" s="256"/>
      <c r="C380" s="238"/>
      <c r="D380" s="256"/>
      <c r="E380" s="256"/>
      <c r="F380" s="256"/>
      <c r="G380" s="238"/>
      <c r="H380" s="238"/>
      <c r="I380" s="238"/>
      <c r="J380" s="238"/>
      <c r="K380" s="238"/>
      <c r="L380" s="238"/>
      <c r="M380" s="238"/>
      <c r="N380" s="238"/>
      <c r="O380" s="535"/>
      <c r="P380" s="238"/>
      <c r="Q380" s="238"/>
      <c r="S380" s="238"/>
      <c r="T380" s="238"/>
      <c r="U380" s="238"/>
      <c r="V380" s="238"/>
      <c r="W380" s="238"/>
      <c r="X380" s="238"/>
      <c r="Y380" s="238"/>
      <c r="Z380" s="238"/>
      <c r="AA380" s="240"/>
      <c r="AB380" s="238"/>
      <c r="AC380" s="238"/>
      <c r="AD380" s="238"/>
      <c r="AE380" s="238"/>
      <c r="AF380" s="238"/>
      <c r="AG380" s="524"/>
      <c r="AH380" s="238"/>
      <c r="AI380" s="238"/>
      <c r="AJ380" s="238"/>
      <c r="AK380" s="238"/>
      <c r="AL380" s="238"/>
      <c r="AM380" s="238"/>
      <c r="AO380" s="238"/>
      <c r="AP380" s="238"/>
      <c r="AQ380" s="238"/>
      <c r="AR380" s="238"/>
      <c r="AS380" s="238"/>
      <c r="AT380" s="456"/>
      <c r="AU380" s="238"/>
      <c r="AV380" s="238"/>
      <c r="AW380" s="238"/>
      <c r="AX380" s="238"/>
      <c r="AY380" s="238"/>
      <c r="AZ380" s="241"/>
      <c r="BA380" s="241"/>
      <c r="BB380" s="241"/>
      <c r="BC380" s="238"/>
      <c r="BD380" s="238"/>
      <c r="BE380" s="238"/>
      <c r="BF380" s="238"/>
      <c r="BG380" s="238"/>
      <c r="BH380" s="238"/>
      <c r="BI380" s="238"/>
      <c r="BJ380" s="238"/>
      <c r="BK380" s="238"/>
      <c r="BL380" s="238"/>
      <c r="BM380" s="238"/>
      <c r="BN380" s="238"/>
      <c r="BO380" s="238"/>
      <c r="BP380" s="238"/>
      <c r="BQ380" s="238"/>
      <c r="BR380" s="238"/>
      <c r="BS380" s="238"/>
      <c r="BT380" s="238"/>
      <c r="BU380" s="238"/>
      <c r="BV380" s="238"/>
      <c r="BW380" s="238"/>
      <c r="BX380" s="238"/>
      <c r="BY380" s="238"/>
      <c r="BZ380" s="238"/>
      <c r="CA380" s="238"/>
      <c r="CB380" s="238"/>
      <c r="CC380" s="238"/>
      <c r="CD380" s="238"/>
      <c r="CE380" s="238"/>
      <c r="CF380" s="238"/>
    </row>
    <row r="381" spans="1:84">
      <c r="A381" s="534"/>
      <c r="B381" s="256"/>
      <c r="C381" s="238"/>
      <c r="D381" s="256"/>
      <c r="E381" s="256"/>
      <c r="F381" s="256"/>
      <c r="G381" s="238"/>
      <c r="H381" s="238"/>
      <c r="I381" s="238"/>
      <c r="J381" s="238"/>
      <c r="K381" s="238"/>
      <c r="L381" s="238"/>
      <c r="M381" s="238"/>
      <c r="N381" s="238"/>
      <c r="O381" s="535"/>
      <c r="P381" s="238"/>
      <c r="Q381" s="238"/>
      <c r="S381" s="238"/>
      <c r="T381" s="238"/>
      <c r="U381" s="238"/>
      <c r="V381" s="238"/>
      <c r="W381" s="238"/>
      <c r="X381" s="238"/>
      <c r="Y381" s="238"/>
      <c r="Z381" s="238"/>
      <c r="AA381" s="240"/>
      <c r="AB381" s="238"/>
      <c r="AC381" s="238"/>
      <c r="AD381" s="238"/>
      <c r="AE381" s="238"/>
      <c r="AF381" s="238"/>
      <c r="AG381" s="524"/>
      <c r="AH381" s="238"/>
      <c r="AI381" s="238"/>
      <c r="AJ381" s="238"/>
      <c r="AK381" s="238"/>
      <c r="AL381" s="238"/>
      <c r="AM381" s="238"/>
      <c r="AO381" s="238"/>
      <c r="AP381" s="238"/>
      <c r="AQ381" s="238"/>
      <c r="AR381" s="238"/>
      <c r="AS381" s="238"/>
      <c r="AT381" s="456"/>
      <c r="AU381" s="238"/>
      <c r="AV381" s="238"/>
      <c r="AW381" s="238"/>
      <c r="AX381" s="238"/>
      <c r="AY381" s="238"/>
      <c r="AZ381" s="241"/>
      <c r="BA381" s="241"/>
      <c r="BB381" s="241"/>
      <c r="BC381" s="238"/>
      <c r="BD381" s="238"/>
      <c r="BE381" s="238"/>
      <c r="BF381" s="238"/>
      <c r="BG381" s="238"/>
      <c r="BH381" s="238"/>
      <c r="BI381" s="238"/>
      <c r="BJ381" s="238"/>
      <c r="BK381" s="238"/>
      <c r="BL381" s="238"/>
      <c r="BM381" s="238"/>
      <c r="BN381" s="238"/>
      <c r="BO381" s="238"/>
      <c r="BP381" s="238"/>
      <c r="BQ381" s="238"/>
      <c r="BR381" s="238"/>
      <c r="BS381" s="238"/>
      <c r="BT381" s="238"/>
      <c r="BU381" s="238"/>
      <c r="BV381" s="238"/>
      <c r="BW381" s="238"/>
      <c r="BX381" s="238"/>
      <c r="BY381" s="238"/>
      <c r="BZ381" s="238"/>
      <c r="CA381" s="238"/>
      <c r="CB381" s="238"/>
      <c r="CC381" s="238"/>
      <c r="CD381" s="238"/>
      <c r="CE381" s="238"/>
      <c r="CF381" s="238"/>
    </row>
    <row r="382" spans="1:84">
      <c r="A382" s="534"/>
      <c r="B382" s="256"/>
      <c r="C382" s="238"/>
      <c r="D382" s="256"/>
      <c r="E382" s="256"/>
      <c r="F382" s="256"/>
      <c r="G382" s="238"/>
      <c r="H382" s="238"/>
      <c r="I382" s="238"/>
      <c r="J382" s="238"/>
      <c r="K382" s="238"/>
      <c r="L382" s="238"/>
      <c r="M382" s="238"/>
      <c r="N382" s="238"/>
      <c r="O382" s="535"/>
      <c r="P382" s="238"/>
      <c r="Q382" s="238"/>
      <c r="S382" s="238"/>
      <c r="T382" s="238"/>
      <c r="U382" s="238"/>
      <c r="V382" s="238"/>
      <c r="W382" s="238"/>
      <c r="X382" s="238"/>
      <c r="Y382" s="238"/>
      <c r="Z382" s="238"/>
      <c r="AA382" s="240"/>
      <c r="AB382" s="238"/>
      <c r="AC382" s="238"/>
      <c r="AD382" s="238"/>
      <c r="AE382" s="238"/>
      <c r="AF382" s="238"/>
      <c r="AG382" s="524"/>
      <c r="AH382" s="238"/>
      <c r="AI382" s="238"/>
      <c r="AJ382" s="238"/>
      <c r="AK382" s="238"/>
      <c r="AL382" s="238"/>
      <c r="AM382" s="238"/>
      <c r="AO382" s="238"/>
      <c r="AP382" s="238"/>
      <c r="AQ382" s="238"/>
      <c r="AR382" s="238"/>
      <c r="AS382" s="238"/>
      <c r="AT382" s="456"/>
      <c r="AU382" s="238"/>
      <c r="AV382" s="238"/>
      <c r="AW382" s="238"/>
      <c r="AX382" s="238"/>
      <c r="AY382" s="238"/>
      <c r="AZ382" s="241"/>
      <c r="BA382" s="241"/>
      <c r="BB382" s="241"/>
      <c r="BC382" s="238"/>
      <c r="BD382" s="238"/>
      <c r="BE382" s="238"/>
      <c r="BF382" s="238"/>
      <c r="BG382" s="238"/>
      <c r="BH382" s="238"/>
      <c r="BI382" s="238"/>
      <c r="BJ382" s="238"/>
      <c r="BK382" s="238"/>
      <c r="BL382" s="238"/>
      <c r="BM382" s="238"/>
      <c r="BN382" s="238"/>
      <c r="BO382" s="238"/>
      <c r="BP382" s="238"/>
      <c r="BQ382" s="238"/>
      <c r="BR382" s="238"/>
      <c r="BS382" s="238"/>
      <c r="BT382" s="238"/>
      <c r="BU382" s="238"/>
      <c r="BV382" s="238"/>
      <c r="BW382" s="238"/>
      <c r="BX382" s="238"/>
      <c r="BY382" s="238"/>
      <c r="BZ382" s="238"/>
      <c r="CA382" s="238"/>
      <c r="CB382" s="238"/>
      <c r="CC382" s="238"/>
      <c r="CD382" s="238"/>
      <c r="CE382" s="238"/>
      <c r="CF382" s="238"/>
    </row>
    <row r="383" spans="1:84">
      <c r="O383" s="538"/>
    </row>
  </sheetData>
  <phoneticPr fontId="54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7"/>
  <sheetViews>
    <sheetView zoomScale="95" workbookViewId="0">
      <selection activeCell="C4" sqref="C4"/>
    </sheetView>
  </sheetViews>
  <sheetFormatPr defaultRowHeight="13.2"/>
  <cols>
    <col min="6" max="6" width="11.109375" customWidth="1"/>
  </cols>
  <sheetData>
    <row r="1" spans="1:15">
      <c r="A1" s="77" t="s">
        <v>19</v>
      </c>
      <c r="C1" s="78" t="s">
        <v>20</v>
      </c>
      <c r="D1" s="78" t="s">
        <v>21</v>
      </c>
      <c r="E1" s="79" t="s">
        <v>22</v>
      </c>
      <c r="F1" s="79" t="s">
        <v>23</v>
      </c>
      <c r="G1" s="79" t="s">
        <v>24</v>
      </c>
      <c r="H1" s="79" t="s">
        <v>25</v>
      </c>
      <c r="I1" s="79" t="s">
        <v>26</v>
      </c>
      <c r="J1" s="79" t="s">
        <v>27</v>
      </c>
      <c r="K1" s="80"/>
    </row>
    <row r="2" spans="1:15">
      <c r="B2" s="80"/>
      <c r="C2" s="81" t="str">
        <f>[2]!LABEL_CONTR_SYMBOL</f>
        <v>NGV1</v>
      </c>
      <c r="D2" s="81" t="str">
        <f>[3]!LABEL_CONTR_SYMBOL</f>
        <v>CLV1</v>
      </c>
      <c r="E2" s="81" t="str">
        <f>[4]!LABEL_CONTR_SYMBOL</f>
        <v>HUV1</v>
      </c>
      <c r="F2" s="81" t="str">
        <f>[5]!LABEL_CONTR_SYMBOL</f>
        <v>HOV1</v>
      </c>
      <c r="G2" s="81" t="str">
        <f>[6]!LABEL_CONTR_SYMBOL</f>
        <v>COV1</v>
      </c>
      <c r="H2" s="81" t="str">
        <f>[7]!LABEL_CONTR_SYMBOL</f>
        <v>KVV1</v>
      </c>
      <c r="I2" s="81" t="str">
        <f>[8]!LABEL_CONTR_SYMBOL</f>
        <v>CIV1</v>
      </c>
      <c r="J2" s="81" t="str">
        <f>[9]!LABEL_CONTR_SYMBOL</f>
        <v>NTV1</v>
      </c>
    </row>
    <row r="3" spans="1:15">
      <c r="B3" s="82" t="s">
        <v>28</v>
      </c>
      <c r="C3" s="83">
        <v>37165</v>
      </c>
      <c r="D3" s="83">
        <v>37165</v>
      </c>
      <c r="E3" s="83" t="e">
        <v>#N/A</v>
      </c>
      <c r="F3" s="83" t="e">
        <v>#N/A</v>
      </c>
      <c r="G3" s="83" t="e">
        <v>#N/A</v>
      </c>
      <c r="H3" s="83" t="e">
        <v>#N/A</v>
      </c>
      <c r="I3" s="83" t="e">
        <v>#N/A</v>
      </c>
      <c r="J3" s="83" t="e">
        <v>#N/A</v>
      </c>
    </row>
    <row r="4" spans="1:15">
      <c r="K4" s="80"/>
      <c r="L4" s="80"/>
    </row>
    <row r="5" spans="1:15" ht="13.8" thickBot="1"/>
    <row r="6" spans="1:15" ht="13.8" thickBot="1">
      <c r="A6" s="84" t="s">
        <v>29</v>
      </c>
      <c r="B6" s="85"/>
      <c r="C6" s="85"/>
      <c r="D6" s="86" t="s">
        <v>30</v>
      </c>
      <c r="E6" s="84" t="s">
        <v>22</v>
      </c>
      <c r="F6" s="85"/>
      <c r="G6" s="85"/>
      <c r="H6" s="87"/>
      <c r="I6" s="84" t="str">
        <f>G1</f>
        <v>COB</v>
      </c>
      <c r="J6" s="85"/>
      <c r="K6" s="88"/>
      <c r="M6" s="84" t="str">
        <f>H1</f>
        <v>Palo Verde</v>
      </c>
      <c r="N6" s="85"/>
      <c r="O6" s="88"/>
    </row>
    <row r="7" spans="1:15">
      <c r="A7" s="89" t="s">
        <v>31</v>
      </c>
      <c r="B7" s="90">
        <v>36586</v>
      </c>
      <c r="C7" s="91" t="s">
        <v>32</v>
      </c>
      <c r="D7" s="92"/>
      <c r="E7" s="93" t="s">
        <v>33</v>
      </c>
      <c r="F7" s="90">
        <v>36586</v>
      </c>
      <c r="G7" s="91" t="s">
        <v>32</v>
      </c>
      <c r="H7" s="87"/>
      <c r="I7" s="93" t="s">
        <v>34</v>
      </c>
      <c r="J7" s="90">
        <v>36586</v>
      </c>
      <c r="K7" s="94" t="s">
        <v>32</v>
      </c>
      <c r="M7" s="93" t="s">
        <v>35</v>
      </c>
      <c r="N7" s="90">
        <v>36586</v>
      </c>
      <c r="O7" s="94" t="s">
        <v>32</v>
      </c>
    </row>
    <row r="8" spans="1:15">
      <c r="A8" s="95" t="s">
        <v>17</v>
      </c>
      <c r="B8" s="96">
        <v>36617</v>
      </c>
      <c r="C8" s="81" t="s">
        <v>36</v>
      </c>
      <c r="D8" s="95"/>
      <c r="E8" s="95" t="s">
        <v>37</v>
      </c>
      <c r="F8" s="96">
        <v>36617</v>
      </c>
      <c r="G8" s="81" t="s">
        <v>36</v>
      </c>
      <c r="H8" s="87"/>
      <c r="I8" s="95" t="s">
        <v>38</v>
      </c>
      <c r="J8" s="96">
        <v>36617</v>
      </c>
      <c r="K8" s="97" t="s">
        <v>36</v>
      </c>
      <c r="M8" s="95" t="s">
        <v>39</v>
      </c>
      <c r="N8" s="96">
        <v>36617</v>
      </c>
      <c r="O8" s="97" t="s">
        <v>36</v>
      </c>
    </row>
    <row r="9" spans="1:15">
      <c r="A9" s="95" t="s">
        <v>40</v>
      </c>
      <c r="B9" s="96">
        <v>36647</v>
      </c>
      <c r="C9" s="81" t="s">
        <v>41</v>
      </c>
      <c r="D9" s="95"/>
      <c r="E9" s="95" t="s">
        <v>42</v>
      </c>
      <c r="F9" s="96">
        <v>36647</v>
      </c>
      <c r="G9" s="81" t="s">
        <v>41</v>
      </c>
      <c r="H9" s="87"/>
      <c r="I9" s="95" t="s">
        <v>43</v>
      </c>
      <c r="J9" s="96">
        <v>36647</v>
      </c>
      <c r="K9" s="97" t="s">
        <v>41</v>
      </c>
      <c r="M9" s="95" t="s">
        <v>44</v>
      </c>
      <c r="N9" s="96">
        <v>36647</v>
      </c>
      <c r="O9" s="97" t="s">
        <v>41</v>
      </c>
    </row>
    <row r="10" spans="1:15">
      <c r="A10" s="95" t="s">
        <v>45</v>
      </c>
      <c r="B10" s="96">
        <v>36678</v>
      </c>
      <c r="C10" s="81" t="s">
        <v>46</v>
      </c>
      <c r="D10" s="95"/>
      <c r="E10" s="95" t="s">
        <v>47</v>
      </c>
      <c r="F10" s="96">
        <v>36678</v>
      </c>
      <c r="G10" s="81" t="s">
        <v>46</v>
      </c>
      <c r="H10" s="87"/>
      <c r="I10" s="95" t="s">
        <v>48</v>
      </c>
      <c r="J10" s="96">
        <v>36678</v>
      </c>
      <c r="K10" s="97" t="s">
        <v>46</v>
      </c>
      <c r="M10" s="95" t="s">
        <v>49</v>
      </c>
      <c r="N10" s="96">
        <v>36678</v>
      </c>
      <c r="O10" s="97" t="s">
        <v>46</v>
      </c>
    </row>
    <row r="11" spans="1:15">
      <c r="A11" s="95" t="s">
        <v>50</v>
      </c>
      <c r="B11" s="96">
        <v>36708</v>
      </c>
      <c r="C11" s="81" t="s">
        <v>51</v>
      </c>
      <c r="D11" s="95"/>
      <c r="E11" s="95" t="s">
        <v>52</v>
      </c>
      <c r="F11" s="96">
        <v>36708</v>
      </c>
      <c r="G11" s="81" t="s">
        <v>51</v>
      </c>
      <c r="H11" s="87"/>
      <c r="I11" s="95" t="s">
        <v>53</v>
      </c>
      <c r="J11" s="96">
        <v>36708</v>
      </c>
      <c r="K11" s="97" t="s">
        <v>51</v>
      </c>
      <c r="M11" s="95" t="s">
        <v>54</v>
      </c>
      <c r="N11" s="96">
        <v>36708</v>
      </c>
      <c r="O11" s="97" t="s">
        <v>51</v>
      </c>
    </row>
    <row r="12" spans="1:15">
      <c r="A12" s="95" t="s">
        <v>55</v>
      </c>
      <c r="B12" s="96">
        <v>36739</v>
      </c>
      <c r="C12" s="81" t="s">
        <v>56</v>
      </c>
      <c r="D12" s="95"/>
      <c r="E12" s="95" t="s">
        <v>57</v>
      </c>
      <c r="F12" s="96">
        <v>36739</v>
      </c>
      <c r="G12" s="81" t="s">
        <v>56</v>
      </c>
      <c r="H12" s="87"/>
      <c r="I12" s="95" t="s">
        <v>58</v>
      </c>
      <c r="J12" s="96">
        <v>36739</v>
      </c>
      <c r="K12" s="97" t="s">
        <v>56</v>
      </c>
      <c r="M12" s="95" t="s">
        <v>59</v>
      </c>
      <c r="N12" s="96">
        <v>36739</v>
      </c>
      <c r="O12" s="97" t="s">
        <v>56</v>
      </c>
    </row>
    <row r="13" spans="1:15">
      <c r="A13" s="95" t="s">
        <v>60</v>
      </c>
      <c r="B13" s="96">
        <v>36770</v>
      </c>
      <c r="C13" s="81" t="s">
        <v>61</v>
      </c>
      <c r="D13" s="95"/>
      <c r="E13" s="95" t="s">
        <v>62</v>
      </c>
      <c r="F13" s="96">
        <v>36770</v>
      </c>
      <c r="G13" s="81" t="s">
        <v>61</v>
      </c>
      <c r="H13" s="87"/>
      <c r="I13" s="95" t="s">
        <v>63</v>
      </c>
      <c r="J13" s="96">
        <v>36770</v>
      </c>
      <c r="K13" s="97" t="s">
        <v>61</v>
      </c>
      <c r="M13" s="95" t="s">
        <v>64</v>
      </c>
      <c r="N13" s="96">
        <v>36770</v>
      </c>
      <c r="O13" s="97" t="s">
        <v>61</v>
      </c>
    </row>
    <row r="14" spans="1:15">
      <c r="A14" s="95" t="s">
        <v>65</v>
      </c>
      <c r="B14" s="96">
        <v>36800</v>
      </c>
      <c r="C14" s="81" t="s">
        <v>66</v>
      </c>
      <c r="D14" s="95"/>
      <c r="E14" s="95" t="s">
        <v>67</v>
      </c>
      <c r="F14" s="96">
        <v>36800</v>
      </c>
      <c r="G14" s="81" t="s">
        <v>66</v>
      </c>
      <c r="H14" s="87"/>
      <c r="I14" s="95" t="s">
        <v>68</v>
      </c>
      <c r="J14" s="96">
        <v>36800</v>
      </c>
      <c r="K14" s="97" t="s">
        <v>66</v>
      </c>
      <c r="M14" s="95" t="s">
        <v>69</v>
      </c>
      <c r="N14" s="96">
        <v>36800</v>
      </c>
      <c r="O14" s="97" t="s">
        <v>66</v>
      </c>
    </row>
    <row r="15" spans="1:15">
      <c r="A15" s="95" t="s">
        <v>70</v>
      </c>
      <c r="B15" s="96">
        <v>36831</v>
      </c>
      <c r="C15" s="81" t="s">
        <v>71</v>
      </c>
      <c r="D15" s="95"/>
      <c r="E15" s="95" t="s">
        <v>72</v>
      </c>
      <c r="F15" s="96">
        <v>36831</v>
      </c>
      <c r="G15" s="81" t="s">
        <v>71</v>
      </c>
      <c r="H15" s="87"/>
      <c r="I15" s="95" t="s">
        <v>73</v>
      </c>
      <c r="J15" s="96">
        <v>36831</v>
      </c>
      <c r="K15" s="97" t="s">
        <v>71</v>
      </c>
      <c r="M15" s="95" t="s">
        <v>74</v>
      </c>
      <c r="N15" s="96">
        <v>36831</v>
      </c>
      <c r="O15" s="97" t="s">
        <v>71</v>
      </c>
    </row>
    <row r="16" spans="1:15">
      <c r="A16" s="95" t="s">
        <v>75</v>
      </c>
      <c r="B16" s="96">
        <v>36861</v>
      </c>
      <c r="C16" s="81" t="s">
        <v>76</v>
      </c>
      <c r="D16" s="95"/>
      <c r="E16" s="95" t="s">
        <v>77</v>
      </c>
      <c r="F16" s="96">
        <v>36861</v>
      </c>
      <c r="G16" s="81" t="s">
        <v>76</v>
      </c>
      <c r="H16" s="87"/>
      <c r="I16" s="95" t="s">
        <v>78</v>
      </c>
      <c r="J16" s="96">
        <v>36861</v>
      </c>
      <c r="K16" s="97" t="s">
        <v>76</v>
      </c>
      <c r="M16" s="95" t="s">
        <v>79</v>
      </c>
      <c r="N16" s="96">
        <v>36861</v>
      </c>
      <c r="O16" s="97" t="s">
        <v>76</v>
      </c>
    </row>
    <row r="17" spans="1:15">
      <c r="A17" s="95" t="s">
        <v>80</v>
      </c>
      <c r="B17" s="96">
        <v>36892</v>
      </c>
      <c r="C17" s="81" t="s">
        <v>81</v>
      </c>
      <c r="D17" s="95"/>
      <c r="E17" s="95" t="s">
        <v>82</v>
      </c>
      <c r="F17" s="96">
        <v>36892</v>
      </c>
      <c r="G17" s="81" t="s">
        <v>81</v>
      </c>
      <c r="H17" s="87"/>
      <c r="I17" s="95" t="s">
        <v>83</v>
      </c>
      <c r="J17" s="96">
        <v>36892</v>
      </c>
      <c r="K17" s="97" t="s">
        <v>81</v>
      </c>
      <c r="M17" s="95" t="s">
        <v>84</v>
      </c>
      <c r="N17" s="96">
        <v>36892</v>
      </c>
      <c r="O17" s="97" t="s">
        <v>81</v>
      </c>
    </row>
    <row r="18" spans="1:15" ht="13.8" thickBot="1">
      <c r="A18" s="98" t="s">
        <v>85</v>
      </c>
      <c r="B18" s="99">
        <v>36923</v>
      </c>
      <c r="C18" s="100" t="s">
        <v>86</v>
      </c>
      <c r="D18" s="95"/>
      <c r="E18" s="98" t="s">
        <v>87</v>
      </c>
      <c r="F18" s="99">
        <v>36923</v>
      </c>
      <c r="G18" s="100" t="s">
        <v>86</v>
      </c>
      <c r="H18" s="87"/>
      <c r="I18" s="98" t="s">
        <v>88</v>
      </c>
      <c r="J18" s="99">
        <v>36923</v>
      </c>
      <c r="K18" s="101" t="s">
        <v>86</v>
      </c>
      <c r="M18" s="98" t="s">
        <v>89</v>
      </c>
      <c r="N18" s="99">
        <v>36923</v>
      </c>
      <c r="O18" s="101" t="s">
        <v>86</v>
      </c>
    </row>
    <row r="19" spans="1:15">
      <c r="A19" s="102"/>
      <c r="B19" s="103"/>
      <c r="C19" s="104"/>
    </row>
    <row r="20" spans="1:15" ht="13.8" thickBot="1">
      <c r="A20" s="102"/>
      <c r="B20" s="103"/>
      <c r="C20" s="104"/>
    </row>
    <row r="21" spans="1:15" ht="13.8" thickBot="1">
      <c r="A21" s="105" t="s">
        <v>90</v>
      </c>
      <c r="B21" s="106"/>
      <c r="C21" s="85"/>
      <c r="D21" s="86" t="s">
        <v>30</v>
      </c>
      <c r="E21" s="84" t="s">
        <v>23</v>
      </c>
      <c r="F21" s="85"/>
      <c r="G21" s="85"/>
      <c r="H21" s="87"/>
      <c r="I21" s="84" t="str">
        <f>I1</f>
        <v>Cinergy</v>
      </c>
      <c r="J21" s="85"/>
      <c r="K21" s="88"/>
      <c r="M21" s="84" t="str">
        <f>J1</f>
        <v>Entergy</v>
      </c>
      <c r="N21" s="85"/>
      <c r="O21" s="88"/>
    </row>
    <row r="22" spans="1:15">
      <c r="A22" s="89" t="s">
        <v>91</v>
      </c>
      <c r="B22" s="90">
        <v>36586</v>
      </c>
      <c r="C22" s="91" t="s">
        <v>32</v>
      </c>
      <c r="D22" s="95"/>
      <c r="E22" s="93" t="s">
        <v>92</v>
      </c>
      <c r="F22" s="90">
        <v>36586</v>
      </c>
      <c r="G22" s="91" t="s">
        <v>32</v>
      </c>
      <c r="H22" s="87"/>
      <c r="I22" s="93" t="s">
        <v>93</v>
      </c>
      <c r="J22" s="90">
        <v>36586</v>
      </c>
      <c r="K22" s="94" t="s">
        <v>32</v>
      </c>
      <c r="M22" s="93" t="s">
        <v>94</v>
      </c>
      <c r="N22" s="90">
        <v>36586</v>
      </c>
      <c r="O22" s="94" t="s">
        <v>32</v>
      </c>
    </row>
    <row r="23" spans="1:15">
      <c r="A23" s="95" t="s">
        <v>95</v>
      </c>
      <c r="B23" s="96">
        <v>36617</v>
      </c>
      <c r="C23" s="81" t="s">
        <v>36</v>
      </c>
      <c r="D23" s="95"/>
      <c r="E23" s="95" t="s">
        <v>96</v>
      </c>
      <c r="F23" s="96">
        <v>36617</v>
      </c>
      <c r="G23" s="81" t="s">
        <v>36</v>
      </c>
      <c r="H23" s="87"/>
      <c r="I23" s="95" t="s">
        <v>97</v>
      </c>
      <c r="J23" s="96">
        <v>36617</v>
      </c>
      <c r="K23" s="97" t="s">
        <v>36</v>
      </c>
      <c r="M23" s="95" t="s">
        <v>98</v>
      </c>
      <c r="N23" s="96">
        <v>36617</v>
      </c>
      <c r="O23" s="97" t="s">
        <v>36</v>
      </c>
    </row>
    <row r="24" spans="1:15">
      <c r="A24" s="95" t="s">
        <v>99</v>
      </c>
      <c r="B24" s="96">
        <v>36647</v>
      </c>
      <c r="C24" s="81" t="s">
        <v>41</v>
      </c>
      <c r="D24" s="95"/>
      <c r="E24" s="95" t="s">
        <v>100</v>
      </c>
      <c r="F24" s="96">
        <v>36647</v>
      </c>
      <c r="G24" s="81" t="s">
        <v>41</v>
      </c>
      <c r="H24" s="87"/>
      <c r="I24" s="95" t="s">
        <v>101</v>
      </c>
      <c r="J24" s="96">
        <v>36647</v>
      </c>
      <c r="K24" s="97" t="s">
        <v>41</v>
      </c>
      <c r="M24" s="95" t="s">
        <v>102</v>
      </c>
      <c r="N24" s="96">
        <v>36647</v>
      </c>
      <c r="O24" s="97" t="s">
        <v>41</v>
      </c>
    </row>
    <row r="25" spans="1:15">
      <c r="A25" s="95" t="s">
        <v>103</v>
      </c>
      <c r="B25" s="96">
        <v>36678</v>
      </c>
      <c r="C25" s="81" t="s">
        <v>46</v>
      </c>
      <c r="D25" s="95"/>
      <c r="E25" s="95" t="s">
        <v>104</v>
      </c>
      <c r="F25" s="96">
        <v>36678</v>
      </c>
      <c r="G25" s="81" t="s">
        <v>46</v>
      </c>
      <c r="H25" s="87"/>
      <c r="I25" s="95" t="s">
        <v>105</v>
      </c>
      <c r="J25" s="96">
        <v>36678</v>
      </c>
      <c r="K25" s="97" t="s">
        <v>46</v>
      </c>
      <c r="M25" s="95" t="s">
        <v>106</v>
      </c>
      <c r="N25" s="96">
        <v>36678</v>
      </c>
      <c r="O25" s="97" t="s">
        <v>46</v>
      </c>
    </row>
    <row r="26" spans="1:15">
      <c r="A26" s="95" t="s">
        <v>107</v>
      </c>
      <c r="B26" s="96">
        <v>36708</v>
      </c>
      <c r="C26" s="81" t="s">
        <v>51</v>
      </c>
      <c r="D26" s="95"/>
      <c r="E26" s="95" t="s">
        <v>108</v>
      </c>
      <c r="F26" s="96">
        <v>36708</v>
      </c>
      <c r="G26" s="81" t="s">
        <v>51</v>
      </c>
      <c r="H26" s="87"/>
      <c r="I26" s="95" t="s">
        <v>109</v>
      </c>
      <c r="J26" s="96">
        <v>36708</v>
      </c>
      <c r="K26" s="97" t="s">
        <v>51</v>
      </c>
      <c r="M26" s="95" t="s">
        <v>110</v>
      </c>
      <c r="N26" s="96">
        <v>36708</v>
      </c>
      <c r="O26" s="97" t="s">
        <v>51</v>
      </c>
    </row>
    <row r="27" spans="1:15">
      <c r="A27" s="95" t="s">
        <v>111</v>
      </c>
      <c r="B27" s="96">
        <v>36739</v>
      </c>
      <c r="C27" s="81" t="s">
        <v>56</v>
      </c>
      <c r="D27" s="95"/>
      <c r="E27" s="95" t="s">
        <v>112</v>
      </c>
      <c r="F27" s="96">
        <v>36739</v>
      </c>
      <c r="G27" s="81" t="s">
        <v>56</v>
      </c>
      <c r="H27" s="87"/>
      <c r="I27" s="95" t="s">
        <v>113</v>
      </c>
      <c r="J27" s="96">
        <v>36739</v>
      </c>
      <c r="K27" s="97" t="s">
        <v>56</v>
      </c>
      <c r="M27" s="95" t="s">
        <v>114</v>
      </c>
      <c r="N27" s="96">
        <v>36739</v>
      </c>
      <c r="O27" s="97" t="s">
        <v>56</v>
      </c>
    </row>
    <row r="28" spans="1:15">
      <c r="A28" s="95" t="s">
        <v>115</v>
      </c>
      <c r="B28" s="96">
        <v>36770</v>
      </c>
      <c r="C28" s="81" t="s">
        <v>61</v>
      </c>
      <c r="D28" s="95"/>
      <c r="E28" s="95" t="s">
        <v>116</v>
      </c>
      <c r="F28" s="96">
        <v>36770</v>
      </c>
      <c r="G28" s="81" t="s">
        <v>61</v>
      </c>
      <c r="H28" s="87"/>
      <c r="I28" s="95" t="s">
        <v>117</v>
      </c>
      <c r="J28" s="96">
        <v>36770</v>
      </c>
      <c r="K28" s="97" t="s">
        <v>61</v>
      </c>
      <c r="M28" s="95" t="s">
        <v>118</v>
      </c>
      <c r="N28" s="96">
        <v>36770</v>
      </c>
      <c r="O28" s="97" t="s">
        <v>61</v>
      </c>
    </row>
    <row r="29" spans="1:15">
      <c r="A29" s="95" t="s">
        <v>119</v>
      </c>
      <c r="B29" s="96">
        <v>36800</v>
      </c>
      <c r="C29" s="81" t="s">
        <v>66</v>
      </c>
      <c r="D29" s="95"/>
      <c r="E29" s="95" t="s">
        <v>120</v>
      </c>
      <c r="F29" s="96">
        <v>36800</v>
      </c>
      <c r="G29" s="81" t="s">
        <v>66</v>
      </c>
      <c r="H29" s="87"/>
      <c r="I29" s="95" t="s">
        <v>121</v>
      </c>
      <c r="J29" s="96">
        <v>36800</v>
      </c>
      <c r="K29" s="97" t="s">
        <v>66</v>
      </c>
      <c r="M29" s="95" t="s">
        <v>122</v>
      </c>
      <c r="N29" s="96">
        <v>36800</v>
      </c>
      <c r="O29" s="97" t="s">
        <v>66</v>
      </c>
    </row>
    <row r="30" spans="1:15">
      <c r="A30" s="95" t="s">
        <v>123</v>
      </c>
      <c r="B30" s="96">
        <v>36831</v>
      </c>
      <c r="C30" s="81" t="s">
        <v>71</v>
      </c>
      <c r="D30" s="95"/>
      <c r="E30" s="95" t="s">
        <v>124</v>
      </c>
      <c r="F30" s="96">
        <v>36831</v>
      </c>
      <c r="G30" s="81" t="s">
        <v>71</v>
      </c>
      <c r="H30" s="87"/>
      <c r="I30" s="95" t="s">
        <v>125</v>
      </c>
      <c r="J30" s="96">
        <v>36831</v>
      </c>
      <c r="K30" s="97" t="s">
        <v>71</v>
      </c>
      <c r="M30" s="95" t="s">
        <v>126</v>
      </c>
      <c r="N30" s="96">
        <v>36831</v>
      </c>
      <c r="O30" s="97" t="s">
        <v>71</v>
      </c>
    </row>
    <row r="31" spans="1:15">
      <c r="A31" s="95" t="s">
        <v>127</v>
      </c>
      <c r="B31" s="96">
        <v>36861</v>
      </c>
      <c r="C31" s="81" t="s">
        <v>76</v>
      </c>
      <c r="D31" s="95"/>
      <c r="E31" s="95" t="s">
        <v>128</v>
      </c>
      <c r="F31" s="96">
        <v>36861</v>
      </c>
      <c r="G31" s="81" t="s">
        <v>76</v>
      </c>
      <c r="H31" s="87"/>
      <c r="I31" s="95" t="s">
        <v>129</v>
      </c>
      <c r="J31" s="96">
        <v>36861</v>
      </c>
      <c r="K31" s="97" t="s">
        <v>76</v>
      </c>
      <c r="M31" s="95" t="s">
        <v>130</v>
      </c>
      <c r="N31" s="96">
        <v>36861</v>
      </c>
      <c r="O31" s="97" t="s">
        <v>76</v>
      </c>
    </row>
    <row r="32" spans="1:15">
      <c r="A32" s="95" t="s">
        <v>131</v>
      </c>
      <c r="B32" s="96">
        <v>36892</v>
      </c>
      <c r="C32" s="81" t="s">
        <v>81</v>
      </c>
      <c r="D32" s="95"/>
      <c r="E32" s="95" t="s">
        <v>132</v>
      </c>
      <c r="F32" s="96">
        <v>36892</v>
      </c>
      <c r="G32" s="81" t="s">
        <v>81</v>
      </c>
      <c r="H32" s="87"/>
      <c r="I32" s="95" t="s">
        <v>133</v>
      </c>
      <c r="J32" s="96">
        <v>36892</v>
      </c>
      <c r="K32" s="97" t="s">
        <v>81</v>
      </c>
      <c r="M32" s="95" t="s">
        <v>134</v>
      </c>
      <c r="N32" s="96">
        <v>36892</v>
      </c>
      <c r="O32" s="97" t="s">
        <v>81</v>
      </c>
    </row>
    <row r="33" spans="1:15" ht="13.8" thickBot="1">
      <c r="A33" s="98" t="s">
        <v>135</v>
      </c>
      <c r="B33" s="99">
        <v>36923</v>
      </c>
      <c r="C33" s="100" t="s">
        <v>86</v>
      </c>
      <c r="D33" s="95"/>
      <c r="E33" s="98" t="s">
        <v>136</v>
      </c>
      <c r="F33" s="99">
        <v>36923</v>
      </c>
      <c r="G33" s="100" t="s">
        <v>86</v>
      </c>
      <c r="H33" s="87"/>
      <c r="I33" s="98" t="s">
        <v>137</v>
      </c>
      <c r="J33" s="99">
        <v>36923</v>
      </c>
      <c r="K33" s="101" t="s">
        <v>86</v>
      </c>
      <c r="M33" s="98" t="s">
        <v>138</v>
      </c>
      <c r="N33" s="99">
        <v>36923</v>
      </c>
      <c r="O33" s="101" t="s">
        <v>86</v>
      </c>
    </row>
    <row r="34" spans="1:15">
      <c r="A34" s="102"/>
      <c r="B34" s="103"/>
      <c r="C34" s="104"/>
      <c r="D34" s="104"/>
    </row>
    <row r="35" spans="1:15">
      <c r="A35" s="102"/>
      <c r="B35" s="103"/>
      <c r="C35" s="104"/>
      <c r="D35" s="104"/>
    </row>
    <row r="36" spans="1:15">
      <c r="A36" s="102"/>
      <c r="B36" s="103"/>
      <c r="C36" s="104"/>
      <c r="D36" s="104"/>
    </row>
    <row r="37" spans="1:15">
      <c r="A37" s="102"/>
      <c r="B37" s="103"/>
      <c r="C37" s="104"/>
      <c r="D37" s="104"/>
    </row>
    <row r="38" spans="1:15">
      <c r="A38" s="102"/>
      <c r="B38" s="103"/>
      <c r="C38" s="104"/>
      <c r="D38" s="104"/>
    </row>
    <row r="39" spans="1:15">
      <c r="A39" s="102"/>
      <c r="B39" s="103"/>
      <c r="C39" s="104"/>
      <c r="D39" s="104"/>
    </row>
    <row r="40" spans="1:15">
      <c r="A40" s="102"/>
      <c r="B40" s="103"/>
      <c r="C40" s="104"/>
      <c r="D40" s="104"/>
    </row>
    <row r="41" spans="1:15">
      <c r="A41" s="102"/>
      <c r="B41" s="103"/>
      <c r="C41" s="104"/>
      <c r="D41" s="104"/>
    </row>
    <row r="42" spans="1:15">
      <c r="A42" s="102"/>
      <c r="B42" s="103"/>
      <c r="C42" s="104"/>
      <c r="D42" s="104"/>
    </row>
    <row r="43" spans="1:15">
      <c r="D43" s="104"/>
    </row>
    <row r="44" spans="1:15">
      <c r="D44" s="104"/>
    </row>
    <row r="45" spans="1:15">
      <c r="D45" s="104"/>
    </row>
    <row r="46" spans="1:15">
      <c r="D46" s="104"/>
    </row>
    <row r="47" spans="1:15">
      <c r="D47" s="104"/>
    </row>
  </sheetData>
  <phoneticPr fontId="5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L34" sqref="L34"/>
    </sheetView>
  </sheetViews>
  <sheetFormatPr defaultRowHeight="13.2"/>
  <sheetData/>
  <phoneticPr fontId="54" type="noConversion"/>
  <pageMargins left="0.75" right="0.44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G15"/>
  <sheetViews>
    <sheetView workbookViewId="0">
      <selection activeCell="B3" sqref="B3"/>
    </sheetView>
  </sheetViews>
  <sheetFormatPr defaultRowHeight="13.2"/>
  <sheetData>
    <row r="3" spans="2:7">
      <c r="B3" t="s">
        <v>7</v>
      </c>
      <c r="C3">
        <f>[58]!'LastPrice,T'</f>
        <v>8920.7000000000007</v>
      </c>
      <c r="D3" s="35">
        <f>[1]!Linetime</f>
        <v>37151.724305555559</v>
      </c>
      <c r="E3" t="s">
        <v>14</v>
      </c>
      <c r="F3" t="s">
        <v>16</v>
      </c>
      <c r="G3">
        <v>10</v>
      </c>
    </row>
    <row r="5" spans="2:7"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2:7">
      <c r="B6" s="17">
        <v>36381</v>
      </c>
      <c r="C6">
        <v>10714</v>
      </c>
      <c r="D6">
        <v>10761.8</v>
      </c>
      <c r="E6">
        <v>10683.3</v>
      </c>
      <c r="F6">
        <v>10716.9</v>
      </c>
    </row>
    <row r="7" spans="2:7">
      <c r="B7" s="17">
        <v>36378</v>
      </c>
      <c r="C7">
        <v>10792.6</v>
      </c>
      <c r="D7">
        <v>10818.2</v>
      </c>
      <c r="E7">
        <v>10653.3</v>
      </c>
      <c r="F7">
        <v>10714</v>
      </c>
    </row>
    <row r="8" spans="2:7">
      <c r="B8" s="17">
        <v>36377</v>
      </c>
      <c r="C8">
        <v>10675.4</v>
      </c>
      <c r="D8">
        <v>10798.3</v>
      </c>
      <c r="E8">
        <v>10566.2</v>
      </c>
      <c r="F8">
        <v>10793.8</v>
      </c>
    </row>
    <row r="9" spans="2:7">
      <c r="B9" s="17">
        <v>36376</v>
      </c>
      <c r="C9">
        <v>10675.7</v>
      </c>
      <c r="D9">
        <v>10829.9</v>
      </c>
      <c r="E9">
        <v>10670</v>
      </c>
      <c r="F9">
        <v>10674.8</v>
      </c>
    </row>
    <row r="10" spans="2:7">
      <c r="B10" s="17">
        <v>36375</v>
      </c>
      <c r="C10">
        <v>10646</v>
      </c>
      <c r="D10">
        <v>10728</v>
      </c>
      <c r="E10">
        <v>10614</v>
      </c>
      <c r="F10">
        <v>10677.3</v>
      </c>
    </row>
    <row r="11" spans="2:7">
      <c r="B11" s="17">
        <v>36374</v>
      </c>
      <c r="C11">
        <v>10654.8</v>
      </c>
      <c r="D11">
        <v>10791.6</v>
      </c>
      <c r="E11">
        <v>10615.3</v>
      </c>
      <c r="F11">
        <v>10646</v>
      </c>
    </row>
    <row r="12" spans="2:7">
      <c r="B12" s="17">
        <v>36371</v>
      </c>
      <c r="C12">
        <v>10791.3</v>
      </c>
      <c r="D12">
        <v>10825.8</v>
      </c>
      <c r="E12">
        <v>10647.9</v>
      </c>
      <c r="F12">
        <v>10655.2</v>
      </c>
    </row>
    <row r="13" spans="2:7">
      <c r="B13" s="17">
        <v>36370</v>
      </c>
      <c r="C13">
        <v>10971.4</v>
      </c>
      <c r="D13">
        <v>10971.4</v>
      </c>
      <c r="E13">
        <v>10714</v>
      </c>
      <c r="F13">
        <v>10791.3</v>
      </c>
    </row>
    <row r="14" spans="2:7">
      <c r="B14" s="17">
        <v>36369</v>
      </c>
      <c r="C14">
        <v>10970.8</v>
      </c>
      <c r="D14">
        <v>11024</v>
      </c>
      <c r="E14">
        <v>10925.8</v>
      </c>
      <c r="F14">
        <v>10972.1</v>
      </c>
    </row>
    <row r="15" spans="2:7">
      <c r="B15" s="17">
        <v>36368</v>
      </c>
      <c r="C15">
        <v>10862.8</v>
      </c>
      <c r="D15">
        <v>11031.3</v>
      </c>
      <c r="E15">
        <v>10862.8</v>
      </c>
      <c r="F15">
        <v>10979</v>
      </c>
    </row>
  </sheetData>
  <phoneticPr fontId="5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Dialogs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Current Prices</vt:lpstr>
      <vt:lpstr>Current Prices -Access</vt:lpstr>
      <vt:lpstr>NG-Historicals - Current Mth</vt:lpstr>
      <vt:lpstr>MIDS</vt:lpstr>
      <vt:lpstr>Codes</vt:lpstr>
      <vt:lpstr>GetBar Docs</vt:lpstr>
      <vt:lpstr>Sheet1</vt:lpstr>
      <vt:lpstr>GetBarDialog</vt:lpstr>
      <vt:lpstr>'GetBar Docs'!Print_Area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Johnston from EP</dc:creator>
  <dc:description>use true values
</dc:description>
  <cp:lastModifiedBy>Havlíček Jan</cp:lastModifiedBy>
  <cp:lastPrinted>2001-03-14T01:58:58Z</cp:lastPrinted>
  <dcterms:created xsi:type="dcterms:W3CDTF">1997-01-21T01:33:41Z</dcterms:created>
  <dcterms:modified xsi:type="dcterms:W3CDTF">2023-09-10T15:01:29Z</dcterms:modified>
</cp:coreProperties>
</file>