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Apr 00 - Oct 00 X Forecast" sheetId="1" r:id="rId1"/>
  </sheets>
  <externalReferences>
    <externalReference r:id="rId2"/>
  </externalReferences>
  <definedNames>
    <definedName name="_xlnm.Print_Area" localSheetId="0">'Apr 00 - Oct 00 X Forecast'!$A$2:$AT$22</definedName>
  </definedNames>
  <calcPr calcId="0" calcMode="manual" calcOnSave="0"/>
</workbook>
</file>

<file path=xl/calcChain.xml><?xml version="1.0" encoding="utf-8"?>
<calcChain xmlns="http://schemas.openxmlformats.org/spreadsheetml/2006/main">
  <c r="B4" i="1" l="1"/>
  <c r="D4" i="1"/>
  <c r="J4" i="1"/>
  <c r="L4" i="1"/>
  <c r="M4" i="1"/>
  <c r="O4" i="1"/>
  <c r="P4" i="1"/>
  <c r="T4" i="1"/>
  <c r="U4" i="1"/>
  <c r="V4" i="1"/>
  <c r="W4" i="1"/>
  <c r="Y4" i="1"/>
  <c r="Z4" i="1"/>
  <c r="AA4" i="1"/>
  <c r="AG4" i="1"/>
  <c r="B5" i="1"/>
  <c r="D5" i="1"/>
  <c r="H5" i="1"/>
  <c r="J5" i="1"/>
  <c r="L5" i="1"/>
  <c r="M5" i="1"/>
  <c r="O5" i="1"/>
  <c r="P5" i="1"/>
  <c r="T5" i="1"/>
  <c r="U5" i="1"/>
  <c r="V5" i="1"/>
  <c r="W5" i="1"/>
  <c r="Y5" i="1"/>
  <c r="Z5" i="1"/>
  <c r="AA5" i="1"/>
  <c r="AG5" i="1"/>
  <c r="B6" i="1"/>
  <c r="D6" i="1"/>
  <c r="H6" i="1"/>
  <c r="J6" i="1"/>
  <c r="L6" i="1"/>
  <c r="M6" i="1"/>
  <c r="O6" i="1"/>
  <c r="P6" i="1"/>
  <c r="T6" i="1"/>
  <c r="U6" i="1"/>
  <c r="V6" i="1"/>
  <c r="W6" i="1"/>
  <c r="Y6" i="1"/>
  <c r="Z6" i="1"/>
  <c r="AA6" i="1"/>
  <c r="AG6" i="1"/>
  <c r="B7" i="1"/>
  <c r="D7" i="1"/>
  <c r="H7" i="1"/>
  <c r="J7" i="1"/>
  <c r="L7" i="1"/>
  <c r="M7" i="1"/>
  <c r="O7" i="1"/>
  <c r="P7" i="1"/>
  <c r="T7" i="1"/>
  <c r="U7" i="1"/>
  <c r="V7" i="1"/>
  <c r="W7" i="1"/>
  <c r="Y7" i="1"/>
  <c r="Z7" i="1"/>
  <c r="AA7" i="1"/>
  <c r="AG7" i="1"/>
  <c r="B8" i="1"/>
  <c r="D8" i="1"/>
  <c r="H8" i="1"/>
  <c r="J8" i="1"/>
  <c r="L8" i="1"/>
  <c r="M8" i="1"/>
  <c r="O8" i="1"/>
  <c r="P8" i="1"/>
  <c r="T8" i="1"/>
  <c r="U8" i="1"/>
  <c r="V8" i="1"/>
  <c r="W8" i="1"/>
  <c r="Y8" i="1"/>
  <c r="Z8" i="1"/>
  <c r="AA8" i="1"/>
  <c r="AG8" i="1"/>
  <c r="B9" i="1"/>
  <c r="D9" i="1"/>
  <c r="H9" i="1"/>
  <c r="J9" i="1"/>
  <c r="L9" i="1"/>
  <c r="M9" i="1"/>
  <c r="O9" i="1"/>
  <c r="P9" i="1"/>
  <c r="T9" i="1"/>
  <c r="U9" i="1"/>
  <c r="V9" i="1"/>
  <c r="W9" i="1"/>
  <c r="Y9" i="1"/>
  <c r="Z9" i="1"/>
  <c r="AA9" i="1"/>
  <c r="AG9" i="1"/>
  <c r="B10" i="1"/>
  <c r="D10" i="1"/>
  <c r="H10" i="1"/>
  <c r="J10" i="1"/>
  <c r="L10" i="1"/>
  <c r="M10" i="1"/>
  <c r="O10" i="1"/>
  <c r="P10" i="1"/>
  <c r="T10" i="1"/>
  <c r="U10" i="1"/>
  <c r="V10" i="1"/>
  <c r="W10" i="1"/>
  <c r="Y10" i="1"/>
  <c r="Z10" i="1"/>
  <c r="AA10" i="1"/>
  <c r="AG10" i="1"/>
  <c r="B11" i="1"/>
  <c r="D11" i="1"/>
  <c r="J11" i="1"/>
  <c r="AG11" i="1"/>
  <c r="B12" i="1"/>
  <c r="D12" i="1"/>
  <c r="J12" i="1"/>
  <c r="AG12" i="1"/>
  <c r="B13" i="1"/>
  <c r="D13" i="1"/>
  <c r="J13" i="1"/>
  <c r="AG13" i="1"/>
  <c r="B14" i="1"/>
  <c r="D14" i="1"/>
  <c r="J14" i="1"/>
  <c r="AG14" i="1"/>
  <c r="B15" i="1"/>
  <c r="D15" i="1"/>
  <c r="J15" i="1"/>
  <c r="AG15" i="1"/>
  <c r="B16" i="1"/>
  <c r="I16" i="1"/>
  <c r="J16" i="1"/>
  <c r="K16" i="1"/>
  <c r="N16" i="1"/>
  <c r="O16" i="1"/>
  <c r="P16" i="1"/>
  <c r="U16" i="1"/>
  <c r="Y16" i="1"/>
  <c r="AA16" i="1"/>
  <c r="AF16" i="1"/>
  <c r="AG16" i="1"/>
  <c r="AM16" i="1"/>
  <c r="B17" i="1"/>
  <c r="E17" i="1"/>
  <c r="I17" i="1"/>
  <c r="J17" i="1"/>
  <c r="K17" i="1"/>
  <c r="N17" i="1"/>
  <c r="O17" i="1"/>
  <c r="P17" i="1"/>
  <c r="U17" i="1"/>
  <c r="Y17" i="1"/>
  <c r="AA17" i="1"/>
  <c r="AF17" i="1"/>
  <c r="AG17" i="1"/>
  <c r="AH17" i="1"/>
  <c r="AM17" i="1"/>
  <c r="B18" i="1"/>
  <c r="E18" i="1"/>
  <c r="I18" i="1"/>
  <c r="J18" i="1"/>
  <c r="K18" i="1"/>
  <c r="N18" i="1"/>
  <c r="O18" i="1"/>
  <c r="P18" i="1"/>
  <c r="U18" i="1"/>
  <c r="Y18" i="1"/>
  <c r="AA18" i="1"/>
  <c r="AF18" i="1"/>
  <c r="AG18" i="1"/>
  <c r="AH18" i="1"/>
  <c r="AM18" i="1"/>
  <c r="B19" i="1"/>
  <c r="E19" i="1"/>
  <c r="I19" i="1"/>
  <c r="J19" i="1"/>
  <c r="K19" i="1"/>
  <c r="N19" i="1"/>
  <c r="O19" i="1"/>
  <c r="P19" i="1"/>
  <c r="U19" i="1"/>
  <c r="Y19" i="1"/>
  <c r="AA19" i="1"/>
  <c r="AF19" i="1"/>
  <c r="AG19" i="1"/>
  <c r="AH19" i="1"/>
  <c r="AM19" i="1"/>
  <c r="B20" i="1"/>
  <c r="E20" i="1"/>
  <c r="I20" i="1"/>
  <c r="J20" i="1"/>
  <c r="K20" i="1"/>
  <c r="N20" i="1"/>
  <c r="O20" i="1"/>
  <c r="P20" i="1"/>
  <c r="U20" i="1"/>
  <c r="Y20" i="1"/>
  <c r="AA20" i="1"/>
  <c r="AF20" i="1"/>
  <c r="AG20" i="1"/>
  <c r="AH20" i="1"/>
  <c r="AM20" i="1"/>
  <c r="B21" i="1"/>
  <c r="E21" i="1"/>
  <c r="I21" i="1"/>
  <c r="J21" i="1"/>
  <c r="K21" i="1"/>
  <c r="N21" i="1"/>
  <c r="O21" i="1"/>
  <c r="P21" i="1"/>
  <c r="U21" i="1"/>
  <c r="Y21" i="1"/>
  <c r="AA21" i="1"/>
  <c r="AF21" i="1"/>
  <c r="AG21" i="1"/>
  <c r="AH21" i="1"/>
  <c r="AM21" i="1"/>
  <c r="B22" i="1"/>
  <c r="E22" i="1"/>
  <c r="I22" i="1"/>
  <c r="J22" i="1"/>
  <c r="K22" i="1"/>
  <c r="N22" i="1"/>
  <c r="O22" i="1"/>
  <c r="P22" i="1"/>
  <c r="U22" i="1"/>
  <c r="Y22" i="1"/>
  <c r="AA22" i="1"/>
  <c r="AF22" i="1"/>
  <c r="AG22" i="1"/>
  <c r="AH22" i="1"/>
  <c r="AM22" i="1"/>
</calcChain>
</file>

<file path=xl/comments1.xml><?xml version="1.0" encoding="utf-8"?>
<comments xmlns="http://schemas.openxmlformats.org/spreadsheetml/2006/main">
  <authors>
    <author>cdorlan</author>
  </authors>
  <commentList>
    <comment ref="G3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Other Demand 1
Demand other than
Washougal and Jackson
Prairie between Chehalis
and Roesvelt</t>
        </r>
      </text>
    </comment>
    <comment ref="M3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Other Demand 2
Demand between Rosevelt and Meacham</t>
        </r>
      </text>
    </comment>
    <comment ref="T3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Other Demand 3
Demand between
Meacham and Kemmerer</t>
        </r>
      </text>
    </comment>
    <comment ref="X3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Other Demand 4
Demand between
Kemmerer and Muddy
Creek</t>
        </r>
      </text>
    </comment>
  </commentList>
</comments>
</file>

<file path=xl/sharedStrings.xml><?xml version="1.0" encoding="utf-8"?>
<sst xmlns="http://schemas.openxmlformats.org/spreadsheetml/2006/main" count="46" uniqueCount="46">
  <si>
    <t>NWPL</t>
  </si>
  <si>
    <t>PGT</t>
  </si>
  <si>
    <t>Sumas/Sipi</t>
  </si>
  <si>
    <t>Sumas/
Chehalis
Demand</t>
  </si>
  <si>
    <t>Chehalis</t>
  </si>
  <si>
    <t xml:space="preserve">Washougal </t>
  </si>
  <si>
    <t>Other Demand 1
Chehalis/
Rosevelt</t>
  </si>
  <si>
    <t>JP
Injection(-)
Withdrawl(+)</t>
  </si>
  <si>
    <t>JP
Balance</t>
  </si>
  <si>
    <t>JP
% Full</t>
  </si>
  <si>
    <t>Roosevelt</t>
  </si>
  <si>
    <t>Star Road
Reciept</t>
  </si>
  <si>
    <t>Other
Demand 2
Rosevelt/
Meacham</t>
  </si>
  <si>
    <t>Sumas Gas
Available at
Stanfield</t>
  </si>
  <si>
    <t>Net NWP
Delivery to PGT at Stan</t>
  </si>
  <si>
    <t>Meacham</t>
  </si>
  <si>
    <t>Reno Lateral
Delivery</t>
  </si>
  <si>
    <t>Stanfield
Receipt</t>
  </si>
  <si>
    <t>Mystery
Demand</t>
  </si>
  <si>
    <t>Other
Demand 3
Meacham/
Kemmerer</t>
  </si>
  <si>
    <t>Kemmerer</t>
  </si>
  <si>
    <t>Shute Creek
Receipts</t>
  </si>
  <si>
    <t>Opal Plant
Receipts</t>
  </si>
  <si>
    <t>Other
Demand 4
Kemmerer/
Muddy Creek</t>
  </si>
  <si>
    <t>Muddy
Creek
NWPL</t>
  </si>
  <si>
    <t>Granger
Receipts</t>
  </si>
  <si>
    <t>Green
River
Compressor</t>
  </si>
  <si>
    <t>Other Receipts
N of La Plata</t>
  </si>
  <si>
    <t>La Plata B
Compressor</t>
  </si>
  <si>
    <t>Net Clay Basin NWP</t>
  </si>
  <si>
    <t>Net Clay Basin Questar</t>
  </si>
  <si>
    <t>Net Clay Basin - Balance</t>
  </si>
  <si>
    <t>% Full Clay</t>
  </si>
  <si>
    <t>Kingsgate</t>
  </si>
  <si>
    <t>Rathdrum</t>
  </si>
  <si>
    <t>Spokane NWP</t>
  </si>
  <si>
    <t>Other
Demand</t>
  </si>
  <si>
    <t>Fuel</t>
  </si>
  <si>
    <t>PGT
Stanfield</t>
  </si>
  <si>
    <t>NWP
Stanfield
Receipt</t>
  </si>
  <si>
    <t>NWP
Stanfield
Delivery</t>
  </si>
  <si>
    <t>South Hermiston</t>
  </si>
  <si>
    <t>Coyote Springs</t>
  </si>
  <si>
    <t>Tuscarora</t>
  </si>
  <si>
    <t>Medford</t>
  </si>
  <si>
    <t>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</si>
</sst>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%"/>
    <numFmt numFmtId="176" formatCode="0_);\(0\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7" fontId="2" fillId="0" borderId="0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169" fontId="3" fillId="0" borderId="0" xfId="1" applyNumberFormat="1" applyFont="1" applyBorder="1" applyAlignment="1">
      <alignment horizontal="center"/>
    </xf>
    <xf numFmtId="0" fontId="0" fillId="0" borderId="0" xfId="0" applyBorder="1"/>
    <xf numFmtId="17" fontId="4" fillId="0" borderId="0" xfId="0" applyNumberFormat="1" applyFont="1" applyAlignment="1">
      <alignment horizontal="center"/>
    </xf>
    <xf numFmtId="38" fontId="5" fillId="2" borderId="1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center"/>
    </xf>
    <xf numFmtId="38" fontId="5" fillId="3" borderId="1" xfId="0" applyNumberFormat="1" applyFont="1" applyFill="1" applyBorder="1" applyAlignment="1">
      <alignment horizontal="center"/>
    </xf>
    <xf numFmtId="38" fontId="5" fillId="3" borderId="2" xfId="0" applyNumberFormat="1" applyFont="1" applyFill="1" applyBorder="1" applyAlignment="1">
      <alignment horizontal="center"/>
    </xf>
    <xf numFmtId="38" fontId="5" fillId="3" borderId="3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 wrapText="1"/>
    </xf>
    <xf numFmtId="38" fontId="2" fillId="2" borderId="2" xfId="0" applyNumberFormat="1" applyFont="1" applyFill="1" applyBorder="1" applyAlignment="1">
      <alignment horizontal="center" wrapText="1"/>
    </xf>
    <xf numFmtId="38" fontId="2" fillId="3" borderId="1" xfId="0" applyNumberFormat="1" applyFont="1" applyFill="1" applyBorder="1" applyAlignment="1">
      <alignment horizontal="center" wrapText="1"/>
    </xf>
    <xf numFmtId="38" fontId="2" fillId="3" borderId="2" xfId="0" applyNumberFormat="1" applyFont="1" applyFill="1" applyBorder="1" applyAlignment="1">
      <alignment horizontal="center" wrapText="1"/>
    </xf>
    <xf numFmtId="38" fontId="2" fillId="3" borderId="3" xfId="0" applyNumberFormat="1" applyFont="1" applyFill="1" applyBorder="1" applyAlignment="1">
      <alignment horizontal="center" wrapText="1"/>
    </xf>
    <xf numFmtId="17" fontId="2" fillId="2" borderId="0" xfId="0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38" fontId="3" fillId="2" borderId="5" xfId="0" applyNumberFormat="1" applyFont="1" applyFill="1" applyBorder="1" applyAlignment="1">
      <alignment horizontal="center"/>
    </xf>
    <xf numFmtId="10" fontId="3" fillId="2" borderId="5" xfId="1" applyNumberFormat="1" applyFont="1" applyFill="1" applyBorder="1" applyAlignment="1">
      <alignment horizontal="center"/>
    </xf>
    <xf numFmtId="169" fontId="6" fillId="2" borderId="6" xfId="1" applyNumberFormat="1" applyFont="1" applyFill="1" applyBorder="1" applyAlignment="1">
      <alignment horizontal="center"/>
    </xf>
    <xf numFmtId="38" fontId="3" fillId="2" borderId="6" xfId="0" applyNumberFormat="1" applyFont="1" applyFill="1" applyBorder="1" applyAlignment="1">
      <alignment horizontal="center"/>
    </xf>
    <xf numFmtId="0" fontId="0" fillId="0" borderId="0" xfId="0" applyFill="1" applyBorder="1"/>
    <xf numFmtId="38" fontId="3" fillId="2" borderId="7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10" fontId="3" fillId="2" borderId="0" xfId="1" applyNumberFormat="1" applyFont="1" applyFill="1" applyBorder="1" applyAlignment="1">
      <alignment horizontal="center"/>
    </xf>
    <xf numFmtId="169" fontId="6" fillId="2" borderId="8" xfId="1" applyNumberFormat="1" applyFont="1" applyFill="1" applyBorder="1" applyAlignment="1">
      <alignment horizontal="center"/>
    </xf>
    <xf numFmtId="38" fontId="3" fillId="2" borderId="8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0" fontId="0" fillId="0" borderId="0" xfId="0" applyFill="1"/>
    <xf numFmtId="17" fontId="2" fillId="2" borderId="0" xfId="0" applyNumberFormat="1" applyFont="1" applyFill="1" applyBorder="1" applyAlignment="1">
      <alignment horizontal="center"/>
    </xf>
    <xf numFmtId="38" fontId="3" fillId="2" borderId="9" xfId="0" applyNumberFormat="1" applyFont="1" applyFill="1" applyBorder="1" applyAlignment="1">
      <alignment horizontal="center"/>
    </xf>
    <xf numFmtId="38" fontId="3" fillId="2" borderId="10" xfId="0" applyNumberFormat="1" applyFont="1" applyFill="1" applyBorder="1" applyAlignment="1">
      <alignment horizontal="center"/>
    </xf>
    <xf numFmtId="10" fontId="3" fillId="2" borderId="10" xfId="1" applyNumberFormat="1" applyFont="1" applyFill="1" applyBorder="1" applyAlignment="1">
      <alignment horizontal="center"/>
    </xf>
    <xf numFmtId="169" fontId="6" fillId="2" borderId="11" xfId="1" applyNumberFormat="1" applyFont="1" applyFill="1" applyBorder="1" applyAlignment="1">
      <alignment horizontal="center"/>
    </xf>
    <xf numFmtId="38" fontId="3" fillId="2" borderId="1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7" fontId="6" fillId="0" borderId="0" xfId="0" applyNumberFormat="1" applyFont="1" applyBorder="1" applyAlignment="1">
      <alignment horizontal="center"/>
    </xf>
    <xf numFmtId="37" fontId="7" fillId="0" borderId="0" xfId="0" applyNumberFormat="1" applyFont="1" applyBorder="1" applyAlignment="1">
      <alignment horizontal="center"/>
    </xf>
    <xf numFmtId="37" fontId="8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WESTCOAS/WEI%20OPS%20Sheet/WEI_OPS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er Forecast"/>
      <sheetName val="WEST MAP  Apr 99 vs 00"/>
      <sheetName val="WEST MAP "/>
      <sheetName val="NWPL &amp; PGE Map"/>
      <sheetName val="El Paso &amp; CIG Map"/>
      <sheetName val="ROCKIES SUMMARY"/>
      <sheetName val="WestCoast Historicals"/>
      <sheetName val="WEI Daily_Actuals"/>
      <sheetName val="WEI Daily_Estimates"/>
      <sheetName val="NWP_PGT_DAILY"/>
      <sheetName val="Outage-All Ppln"/>
      <sheetName val="OutageSchedule"/>
      <sheetName val="Clay Basin"/>
      <sheetName val="NWPL Others"/>
      <sheetName val="Kern"/>
      <sheetName val="CIG"/>
      <sheetName val="PGE"/>
      <sheetName val="Mojave"/>
      <sheetName val="TW"/>
      <sheetName val="SoCal"/>
      <sheetName val="EL Paso Ppln"/>
      <sheetName val="Northern Border"/>
      <sheetName val="KN Trailblazer"/>
      <sheetName val="HISTORICS_CHART"/>
      <sheetName val="OPS_SHEET"/>
      <sheetName val="Map -All West"/>
      <sheetName val="Rockies"/>
      <sheetName val="NEW_MAP W States"/>
      <sheetName val="NEW_MAP"/>
      <sheetName val="Original Historicals"/>
      <sheetName val="NWF"/>
      <sheetName val="ROM Forecast"/>
      <sheetName val="Jan-Oct"/>
      <sheetName val="WINTER 99"/>
      <sheetName val="SUMMER 00"/>
      <sheetName val="PGT_Capabilites"/>
      <sheetName val="FR_GROWTH"/>
      <sheetName val="STORAGE"/>
      <sheetName val="OLD_MAP"/>
      <sheetName val="NWP-PGT_H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9">
          <cell r="K59">
            <v>119897.30000000003</v>
          </cell>
          <cell r="L59">
            <v>64155.93333333332</v>
          </cell>
          <cell r="M59">
            <v>119934.8</v>
          </cell>
          <cell r="O59">
            <v>-120000</v>
          </cell>
          <cell r="P59">
            <v>68000</v>
          </cell>
          <cell r="Q59">
            <v>44000</v>
          </cell>
          <cell r="R59">
            <v>91000</v>
          </cell>
        </row>
        <row r="60">
          <cell r="K60">
            <v>96929.225806451606</v>
          </cell>
          <cell r="L60">
            <v>6033.6129032258177</v>
          </cell>
          <cell r="M60">
            <v>90766.161290322576</v>
          </cell>
          <cell r="O60">
            <v>-97000</v>
          </cell>
          <cell r="P60">
            <v>66000</v>
          </cell>
          <cell r="Q60">
            <v>-27000</v>
          </cell>
          <cell r="R60">
            <v>20000</v>
          </cell>
        </row>
        <row r="61">
          <cell r="K61">
            <v>101177.59999999999</v>
          </cell>
          <cell r="L61">
            <v>-95059.366666666669</v>
          </cell>
          <cell r="M61">
            <v>-50095.466666666667</v>
          </cell>
          <cell r="O61">
            <v>-101000</v>
          </cell>
          <cell r="P61">
            <v>59000</v>
          </cell>
          <cell r="Q61">
            <v>-49000</v>
          </cell>
          <cell r="R61">
            <v>1000</v>
          </cell>
        </row>
        <row r="62">
          <cell r="K62">
            <v>90018.999999999971</v>
          </cell>
          <cell r="L62">
            <v>-4436.5483870967873</v>
          </cell>
          <cell r="M62">
            <v>22139.806451612902</v>
          </cell>
          <cell r="O62">
            <v>-90000</v>
          </cell>
          <cell r="P62">
            <v>74000</v>
          </cell>
          <cell r="Q62">
            <v>-3000</v>
          </cell>
          <cell r="R62">
            <v>47000</v>
          </cell>
        </row>
        <row r="63">
          <cell r="K63">
            <v>85913.193548387091</v>
          </cell>
          <cell r="L63">
            <v>13197.483870967757</v>
          </cell>
          <cell r="M63">
            <v>51024.354838709674</v>
          </cell>
          <cell r="O63">
            <v>-86000</v>
          </cell>
          <cell r="P63">
            <v>56000</v>
          </cell>
          <cell r="Q63">
            <v>30000</v>
          </cell>
          <cell r="R63">
            <v>61000</v>
          </cell>
        </row>
        <row r="64">
          <cell r="K64">
            <v>92559.066666666666</v>
          </cell>
          <cell r="L64">
            <v>54103.700000000012</v>
          </cell>
          <cell r="M64">
            <v>26474.366666666665</v>
          </cell>
          <cell r="O64">
            <v>-93000</v>
          </cell>
          <cell r="P64">
            <v>66000</v>
          </cell>
          <cell r="Q64">
            <v>-3241.3</v>
          </cell>
          <cell r="R64">
            <v>33000</v>
          </cell>
        </row>
        <row r="65">
          <cell r="K65">
            <v>110247.74193548389</v>
          </cell>
          <cell r="L65">
            <v>25448.193548387091</v>
          </cell>
          <cell r="M65">
            <v>-131296.03225806452</v>
          </cell>
          <cell r="O65">
            <v>-110113.6129032258</v>
          </cell>
          <cell r="P65">
            <v>70137.838709677424</v>
          </cell>
          <cell r="Q65">
            <v>-163810.96774193548</v>
          </cell>
          <cell r="R65">
            <v>-135000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Q6">
            <v>-243.36273333333341</v>
          </cell>
          <cell r="R6">
            <v>-147.02060000000003</v>
          </cell>
          <cell r="S6">
            <v>-130.00790000000001</v>
          </cell>
          <cell r="U6">
            <v>101.09306666666664</v>
          </cell>
        </row>
        <row r="7">
          <cell r="Q7">
            <v>-273.89496774193549</v>
          </cell>
          <cell r="R7">
            <v>-112.22990322580647</v>
          </cell>
          <cell r="S7">
            <v>-101.88577419354839</v>
          </cell>
          <cell r="U7">
            <v>99.43393548387094</v>
          </cell>
        </row>
        <row r="8">
          <cell r="Q8">
            <v>-266.33863333333335</v>
          </cell>
          <cell r="R8">
            <v>-118.04096666666669</v>
          </cell>
          <cell r="S8">
            <v>-83.922633333333351</v>
          </cell>
          <cell r="U8">
            <v>118.34616666666666</v>
          </cell>
        </row>
        <row r="9">
          <cell r="Q9">
            <v>-326.59232258064515</v>
          </cell>
          <cell r="R9">
            <v>-97.359483870967736</v>
          </cell>
          <cell r="S9">
            <v>-85.631741935483831</v>
          </cell>
          <cell r="U9">
            <v>116.64806451612903</v>
          </cell>
        </row>
        <row r="10">
          <cell r="Q10">
            <v>-302.32977419354836</v>
          </cell>
          <cell r="R10">
            <v>-110.48770967741936</v>
          </cell>
          <cell r="S10">
            <v>-76.286322580645177</v>
          </cell>
          <cell r="U10">
            <v>128.14893548387099</v>
          </cell>
        </row>
        <row r="11">
          <cell r="Q11">
            <v>-294.29966666666672</v>
          </cell>
          <cell r="R11">
            <v>-121.81009999999995</v>
          </cell>
          <cell r="S11">
            <v>-87.57793333333332</v>
          </cell>
          <cell r="U11">
            <v>122.51046666666666</v>
          </cell>
        </row>
        <row r="12">
          <cell r="Q12">
            <v>-294.04832258064522</v>
          </cell>
          <cell r="R12">
            <v>-143.30483870967745</v>
          </cell>
          <cell r="S12">
            <v>-100.05632258064519</v>
          </cell>
          <cell r="U12">
            <v>120.41990322580645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23"/>
  <sheetViews>
    <sheetView tabSelected="1" zoomScale="120" workbookViewId="0">
      <pane xSplit="1" ySplit="3" topLeftCell="C16" activePane="bottomRight" state="frozen"/>
      <selection pane="topRight" activeCell="B1" sqref="B1"/>
      <selection pane="bottomLeft" activeCell="A4" sqref="A4"/>
      <selection pane="bottomRight" activeCell="C2" sqref="C2"/>
    </sheetView>
  </sheetViews>
  <sheetFormatPr defaultRowHeight="13.2" x14ac:dyDescent="0.25"/>
  <cols>
    <col min="2" max="2" width="0" hidden="1" customWidth="1"/>
    <col min="3" max="17" width="12.6640625" customWidth="1"/>
    <col min="18" max="18" width="12.6640625" hidden="1" customWidth="1"/>
    <col min="19" max="39" width="12.6640625" customWidth="1"/>
    <col min="40" max="41" width="12.6640625" hidden="1" customWidth="1"/>
    <col min="42" max="46" width="12.6640625" customWidth="1"/>
  </cols>
  <sheetData>
    <row r="1" spans="1:46" s="4" customFormat="1" ht="13.8" thickBot="1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s="4" customFormat="1" ht="18" thickBot="1" x14ac:dyDescent="0.35">
      <c r="A2" s="5"/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8" t="s">
        <v>1</v>
      </c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10"/>
    </row>
    <row r="3" spans="1:46" s="4" customFormat="1" ht="53.4" thickBot="1" x14ac:dyDescent="0.3">
      <c r="A3" s="5"/>
      <c r="B3" s="5"/>
      <c r="C3" s="11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2" t="s">
        <v>22</v>
      </c>
      <c r="X3" s="12" t="s">
        <v>23</v>
      </c>
      <c r="Y3" s="12" t="s">
        <v>24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2" t="s">
        <v>31</v>
      </c>
      <c r="AG3" s="12" t="s">
        <v>32</v>
      </c>
      <c r="AH3" s="13" t="s">
        <v>33</v>
      </c>
      <c r="AI3" s="14" t="s">
        <v>34</v>
      </c>
      <c r="AJ3" s="14" t="s">
        <v>35</v>
      </c>
      <c r="AK3" s="14" t="s">
        <v>36</v>
      </c>
      <c r="AL3" s="14" t="s">
        <v>37</v>
      </c>
      <c r="AM3" s="14" t="s">
        <v>38</v>
      </c>
      <c r="AN3" s="14" t="s">
        <v>39</v>
      </c>
      <c r="AO3" s="14" t="s">
        <v>40</v>
      </c>
      <c r="AP3" s="14" t="s">
        <v>41</v>
      </c>
      <c r="AQ3" s="14" t="s">
        <v>42</v>
      </c>
      <c r="AR3" s="14" t="s">
        <v>43</v>
      </c>
      <c r="AS3" s="14" t="s">
        <v>44</v>
      </c>
      <c r="AT3" s="15" t="s">
        <v>45</v>
      </c>
    </row>
    <row r="4" spans="1:46" s="23" customFormat="1" hidden="1" x14ac:dyDescent="0.25">
      <c r="A4" s="16">
        <v>36251</v>
      </c>
      <c r="B4" s="17">
        <f t="shared" ref="B4:B22" si="0">A5-A4</f>
        <v>30</v>
      </c>
      <c r="C4" s="18">
        <v>940.16949999999997</v>
      </c>
      <c r="D4" s="19">
        <f t="shared" ref="D4:D15" si="1">C4-E4</f>
        <v>432.84873333333331</v>
      </c>
      <c r="E4" s="19">
        <v>507.32076666666666</v>
      </c>
      <c r="F4" s="19">
        <v>-212</v>
      </c>
      <c r="G4" s="19">
        <v>-243</v>
      </c>
      <c r="H4" s="19"/>
      <c r="I4" s="19">
        <v>2869.3589999999999</v>
      </c>
      <c r="J4" s="20">
        <f t="shared" ref="J4:J22" si="2">I4/18000</f>
        <v>0.15940883333333333</v>
      </c>
      <c r="K4" s="19"/>
      <c r="L4" s="19">
        <f>'[1]NWPL Others'!$U6</f>
        <v>101.09306666666664</v>
      </c>
      <c r="M4" s="19">
        <f>'[1]NWPL Others'!$Q6</f>
        <v>-243.36273333333341</v>
      </c>
      <c r="N4" s="19"/>
      <c r="O4" s="19">
        <f>'[1]WestCoast Historicals'!$K59/1000</f>
        <v>119.89730000000003</v>
      </c>
      <c r="P4" s="19">
        <f>'[1]WestCoast Historicals'!$L59/1000</f>
        <v>64.155933333333323</v>
      </c>
      <c r="Q4" s="19">
        <v>-120</v>
      </c>
      <c r="R4" s="19"/>
      <c r="S4" s="19"/>
      <c r="T4" s="19">
        <f>'[1]NWPL Others'!$R6</f>
        <v>-147.02060000000003</v>
      </c>
      <c r="U4" s="19">
        <f>'[1]WestCoast Historicals'!$M59/1000</f>
        <v>119.93480000000001</v>
      </c>
      <c r="V4" s="19">
        <f>'[1]WestCoast Historicals'!$O59/1000</f>
        <v>-120</v>
      </c>
      <c r="W4" s="19">
        <f>'[1]WestCoast Historicals'!$R59/1000</f>
        <v>91</v>
      </c>
      <c r="X4" s="19"/>
      <c r="Y4" s="19">
        <f>'[1]WestCoast Historicals'!$P59/1000</f>
        <v>68</v>
      </c>
      <c r="Z4" s="19">
        <f>'[1]NWPL Others'!$S6</f>
        <v>-130.00790000000001</v>
      </c>
      <c r="AA4" s="19">
        <f>'[1]WestCoast Historicals'!$Q59/1000</f>
        <v>44</v>
      </c>
      <c r="AB4" s="19"/>
      <c r="AC4" s="19">
        <v>152.87233333333333</v>
      </c>
      <c r="AD4" s="19"/>
      <c r="AE4" s="19"/>
      <c r="AF4" s="19">
        <v>15312.18</v>
      </c>
      <c r="AG4" s="21">
        <f t="shared" ref="AG4:AG22" si="3">AF4/54561</f>
        <v>0.28064331665475339</v>
      </c>
      <c r="AH4" s="18">
        <v>2228.5138235294116</v>
      </c>
      <c r="AI4" s="19">
        <v>5.1256535947712436</v>
      </c>
      <c r="AJ4" s="19">
        <v>99.766176470588221</v>
      </c>
      <c r="AK4" s="19"/>
      <c r="AL4" s="19"/>
      <c r="AM4" s="19">
        <v>64.926601307189557</v>
      </c>
      <c r="AN4" s="19"/>
      <c r="AO4" s="19"/>
      <c r="AP4" s="19">
        <v>69.32964052287582</v>
      </c>
      <c r="AQ4" s="19">
        <v>23.088235294117645</v>
      </c>
      <c r="AR4" s="19">
        <v>67.205490196078429</v>
      </c>
      <c r="AS4" s="19">
        <v>8.5369281045751606</v>
      </c>
      <c r="AT4" s="22">
        <v>1772.5503594771244</v>
      </c>
    </row>
    <row r="5" spans="1:46" s="23" customFormat="1" hidden="1" x14ac:dyDescent="0.25">
      <c r="A5" s="16">
        <v>36281</v>
      </c>
      <c r="B5" s="17">
        <f t="shared" si="0"/>
        <v>31</v>
      </c>
      <c r="C5" s="24">
        <v>998.74022580645169</v>
      </c>
      <c r="D5" s="25">
        <f t="shared" si="1"/>
        <v>362.92703225806451</v>
      </c>
      <c r="E5" s="25">
        <v>635.81319354838718</v>
      </c>
      <c r="F5" s="25">
        <v>-222</v>
      </c>
      <c r="G5" s="25">
        <v>-274</v>
      </c>
      <c r="H5" s="25">
        <f t="shared" ref="H5:H10" si="4">-(I5-I4)/B5</f>
        <v>-60.021258064516132</v>
      </c>
      <c r="I5" s="25">
        <v>4730.018</v>
      </c>
      <c r="J5" s="26">
        <f t="shared" si="2"/>
        <v>0.26277877777777781</v>
      </c>
      <c r="K5" s="25"/>
      <c r="L5" s="25">
        <f>'[1]NWPL Others'!$U7</f>
        <v>99.43393548387094</v>
      </c>
      <c r="M5" s="25">
        <f>'[1]NWPL Others'!$Q7</f>
        <v>-273.89496774193549</v>
      </c>
      <c r="N5" s="25"/>
      <c r="O5" s="25">
        <f>'[1]WestCoast Historicals'!$K60/1000</f>
        <v>96.929225806451612</v>
      </c>
      <c r="P5" s="25">
        <f>'[1]WestCoast Historicals'!$L60/1000</f>
        <v>6.0336129032258174</v>
      </c>
      <c r="Q5" s="25">
        <v>-97</v>
      </c>
      <c r="R5" s="25"/>
      <c r="S5" s="25"/>
      <c r="T5" s="25">
        <f>'[1]NWPL Others'!$R7</f>
        <v>-112.22990322580647</v>
      </c>
      <c r="U5" s="25">
        <f>'[1]WestCoast Historicals'!$M60/1000</f>
        <v>90.766161290322572</v>
      </c>
      <c r="V5" s="25">
        <f>'[1]WestCoast Historicals'!$O60/1000</f>
        <v>-97</v>
      </c>
      <c r="W5" s="25">
        <f>'[1]WestCoast Historicals'!$R60/1000</f>
        <v>20</v>
      </c>
      <c r="X5" s="25"/>
      <c r="Y5" s="25">
        <f>'[1]WestCoast Historicals'!$P60/1000</f>
        <v>66</v>
      </c>
      <c r="Z5" s="25">
        <f>'[1]NWPL Others'!$S7</f>
        <v>-101.88577419354839</v>
      </c>
      <c r="AA5" s="25">
        <f>'[1]WestCoast Historicals'!$Q60/1000</f>
        <v>-27</v>
      </c>
      <c r="AB5" s="25"/>
      <c r="AC5" s="25">
        <v>60.002451612903229</v>
      </c>
      <c r="AD5" s="25"/>
      <c r="AE5" s="25"/>
      <c r="AF5" s="25">
        <v>17160.733</v>
      </c>
      <c r="AG5" s="27">
        <f t="shared" si="3"/>
        <v>0.3145237990506039</v>
      </c>
      <c r="AH5" s="24">
        <v>2052.8529411764703</v>
      </c>
      <c r="AI5" s="25">
        <v>3.0094560404807087</v>
      </c>
      <c r="AJ5" s="25">
        <v>79.37371916508539</v>
      </c>
      <c r="AK5" s="25"/>
      <c r="AL5" s="25"/>
      <c r="AM5" s="25">
        <v>9.6267868437697661</v>
      </c>
      <c r="AN5" s="25"/>
      <c r="AO5" s="25"/>
      <c r="AP5" s="25">
        <v>62.001265022137893</v>
      </c>
      <c r="AQ5" s="25">
        <v>32.863757115749522</v>
      </c>
      <c r="AR5" s="25">
        <v>61.565243516761555</v>
      </c>
      <c r="AS5" s="25">
        <v>0.55999367488931073</v>
      </c>
      <c r="AT5" s="28">
        <v>1705.797754585705</v>
      </c>
    </row>
    <row r="6" spans="1:46" s="23" customFormat="1" hidden="1" x14ac:dyDescent="0.25">
      <c r="A6" s="16">
        <v>36312</v>
      </c>
      <c r="B6" s="17">
        <f t="shared" si="0"/>
        <v>30</v>
      </c>
      <c r="C6" s="24">
        <v>868.23243333333335</v>
      </c>
      <c r="D6" s="25">
        <f t="shared" si="1"/>
        <v>264.03993333333335</v>
      </c>
      <c r="E6" s="25">
        <v>604.1925</v>
      </c>
      <c r="F6" s="25">
        <v>-232</v>
      </c>
      <c r="G6" s="25">
        <v>-266</v>
      </c>
      <c r="H6" s="25">
        <f t="shared" si="4"/>
        <v>-75.236866666666657</v>
      </c>
      <c r="I6" s="25">
        <v>6987.1239999999998</v>
      </c>
      <c r="J6" s="26">
        <f t="shared" si="2"/>
        <v>0.38817355555555555</v>
      </c>
      <c r="K6" s="25"/>
      <c r="L6" s="25">
        <f>'[1]NWPL Others'!$U8</f>
        <v>118.34616666666666</v>
      </c>
      <c r="M6" s="25">
        <f>'[1]NWPL Others'!$Q8</f>
        <v>-266.33863333333335</v>
      </c>
      <c r="N6" s="25"/>
      <c r="O6" s="25">
        <f>'[1]WestCoast Historicals'!$K61/1000</f>
        <v>101.1776</v>
      </c>
      <c r="P6" s="25">
        <f>'[1]WestCoast Historicals'!$L61/1000</f>
        <v>-95.059366666666662</v>
      </c>
      <c r="Q6" s="25">
        <v>-101</v>
      </c>
      <c r="R6" s="25"/>
      <c r="S6" s="25"/>
      <c r="T6" s="25">
        <f>'[1]NWPL Others'!$R8</f>
        <v>-118.04096666666669</v>
      </c>
      <c r="U6" s="25">
        <f>'[1]WestCoast Historicals'!$M61/1000</f>
        <v>-50.095466666666667</v>
      </c>
      <c r="V6" s="25">
        <f>'[1]WestCoast Historicals'!$O61/1000</f>
        <v>-101</v>
      </c>
      <c r="W6" s="25">
        <f>'[1]WestCoast Historicals'!$R61/1000</f>
        <v>1</v>
      </c>
      <c r="X6" s="25"/>
      <c r="Y6" s="25">
        <f>'[1]WestCoast Historicals'!$P61/1000</f>
        <v>59</v>
      </c>
      <c r="Z6" s="25">
        <f>'[1]NWPL Others'!$S8</f>
        <v>-83.922633333333351</v>
      </c>
      <c r="AA6" s="25">
        <f>'[1]WestCoast Historicals'!$Q61/1000</f>
        <v>-49</v>
      </c>
      <c r="AB6" s="25"/>
      <c r="AC6" s="25">
        <v>39.556699999999999</v>
      </c>
      <c r="AD6" s="25"/>
      <c r="AE6" s="25"/>
      <c r="AF6" s="25">
        <v>24031.16</v>
      </c>
      <c r="AG6" s="27">
        <f t="shared" si="3"/>
        <v>0.44044573963087186</v>
      </c>
      <c r="AH6" s="24">
        <v>1898.2492483660128</v>
      </c>
      <c r="AI6" s="25">
        <v>1.3558823529411763</v>
      </c>
      <c r="AJ6" s="25">
        <v>107.50261437908496</v>
      </c>
      <c r="AK6" s="25"/>
      <c r="AL6" s="25"/>
      <c r="AM6" s="25">
        <v>-91.858398692810425</v>
      </c>
      <c r="AN6" s="25"/>
      <c r="AO6" s="25"/>
      <c r="AP6" s="25">
        <v>52.833006535947725</v>
      </c>
      <c r="AQ6" s="25">
        <v>8.9215686274509807</v>
      </c>
      <c r="AR6" s="25">
        <v>49.381241830065349</v>
      </c>
      <c r="AS6" s="25">
        <v>2.7104575163398685</v>
      </c>
      <c r="AT6" s="28">
        <v>1692.7886274509806</v>
      </c>
    </row>
    <row r="7" spans="1:46" s="23" customFormat="1" hidden="1" x14ac:dyDescent="0.25">
      <c r="A7" s="16">
        <v>36342</v>
      </c>
      <c r="B7" s="17">
        <f t="shared" si="0"/>
        <v>31</v>
      </c>
      <c r="C7" s="24">
        <v>874.30483870967748</v>
      </c>
      <c r="D7" s="25">
        <f t="shared" si="1"/>
        <v>251.8667419354839</v>
      </c>
      <c r="E7" s="25">
        <v>622.43809677419358</v>
      </c>
      <c r="F7" s="25">
        <v>-219</v>
      </c>
      <c r="G7" s="25">
        <v>-327</v>
      </c>
      <c r="H7" s="25">
        <f t="shared" si="4"/>
        <v>-123.76229032258063</v>
      </c>
      <c r="I7" s="25">
        <v>10823.754999999999</v>
      </c>
      <c r="J7" s="26">
        <f t="shared" si="2"/>
        <v>0.60131972222222219</v>
      </c>
      <c r="K7" s="25"/>
      <c r="L7" s="25">
        <f>'[1]NWPL Others'!$U9</f>
        <v>116.64806451612903</v>
      </c>
      <c r="M7" s="25">
        <f>'[1]NWPL Others'!$Q9</f>
        <v>-326.59232258064515</v>
      </c>
      <c r="N7" s="25"/>
      <c r="O7" s="25">
        <f>'[1]WestCoast Historicals'!$K62/1000</f>
        <v>90.018999999999977</v>
      </c>
      <c r="P7" s="25">
        <f>'[1]WestCoast Historicals'!$L62/1000</f>
        <v>-4.4365483870967877</v>
      </c>
      <c r="Q7" s="25">
        <v>-90</v>
      </c>
      <c r="R7" s="25"/>
      <c r="S7" s="25"/>
      <c r="T7" s="25">
        <f>'[1]NWPL Others'!$R9</f>
        <v>-97.359483870967736</v>
      </c>
      <c r="U7" s="25">
        <f>'[1]WestCoast Historicals'!$M62/1000</f>
        <v>22.139806451612902</v>
      </c>
      <c r="V7" s="25">
        <f>'[1]WestCoast Historicals'!$O62/1000</f>
        <v>-90</v>
      </c>
      <c r="W7" s="25">
        <f>'[1]WestCoast Historicals'!$R62/1000</f>
        <v>47</v>
      </c>
      <c r="X7" s="25"/>
      <c r="Y7" s="25">
        <f>'[1]WestCoast Historicals'!$P62/1000</f>
        <v>74</v>
      </c>
      <c r="Z7" s="25">
        <f>'[1]NWPL Others'!$S9</f>
        <v>-85.631741935483831</v>
      </c>
      <c r="AA7" s="25">
        <f>'[1]WestCoast Historicals'!$Q62/1000</f>
        <v>-3</v>
      </c>
      <c r="AB7" s="25"/>
      <c r="AC7" s="25">
        <v>34.554838709677419</v>
      </c>
      <c r="AD7" s="25"/>
      <c r="AE7" s="25"/>
      <c r="AF7" s="25">
        <v>32887.311999999998</v>
      </c>
      <c r="AG7" s="27">
        <f t="shared" si="3"/>
        <v>0.60276226608749839</v>
      </c>
      <c r="AH7" s="24">
        <v>2036.8127767235926</v>
      </c>
      <c r="AI7" s="25">
        <v>3.0814041745730547</v>
      </c>
      <c r="AJ7" s="25">
        <v>92.07691334598357</v>
      </c>
      <c r="AK7" s="25"/>
      <c r="AL7" s="25"/>
      <c r="AM7" s="25">
        <v>-3.0143896268184687</v>
      </c>
      <c r="AN7" s="25"/>
      <c r="AO7" s="25"/>
      <c r="AP7" s="25">
        <v>68.298387096774206</v>
      </c>
      <c r="AQ7" s="25">
        <v>26.852751423149904</v>
      </c>
      <c r="AR7" s="25">
        <v>52.055534471853271</v>
      </c>
      <c r="AS7" s="25">
        <v>2.5721695129664783</v>
      </c>
      <c r="AT7" s="28">
        <v>1723.4740986717268</v>
      </c>
    </row>
    <row r="8" spans="1:46" s="23" customFormat="1" hidden="1" x14ac:dyDescent="0.25">
      <c r="A8" s="16">
        <v>36373</v>
      </c>
      <c r="B8" s="17">
        <f t="shared" si="0"/>
        <v>31</v>
      </c>
      <c r="C8" s="24">
        <v>844.61196774193547</v>
      </c>
      <c r="D8" s="25">
        <f t="shared" si="1"/>
        <v>246.03851612903225</v>
      </c>
      <c r="E8" s="25">
        <v>598.57345161290323</v>
      </c>
      <c r="F8" s="25">
        <v>-213</v>
      </c>
      <c r="G8" s="25">
        <v>-302</v>
      </c>
      <c r="H8" s="25">
        <f t="shared" si="4"/>
        <v>-204.84422580645162</v>
      </c>
      <c r="I8" s="25">
        <v>17173.925999999999</v>
      </c>
      <c r="J8" s="26">
        <f t="shared" si="2"/>
        <v>0.95410699999999993</v>
      </c>
      <c r="K8" s="25"/>
      <c r="L8" s="25">
        <f>'[1]NWPL Others'!$U10</f>
        <v>128.14893548387099</v>
      </c>
      <c r="M8" s="25">
        <f>'[1]NWPL Others'!$Q10</f>
        <v>-302.32977419354836</v>
      </c>
      <c r="N8" s="25"/>
      <c r="O8" s="25">
        <f>'[1]WestCoast Historicals'!$K63/1000</f>
        <v>85.913193548387085</v>
      </c>
      <c r="P8" s="25">
        <f>'[1]WestCoast Historicals'!$L63/1000</f>
        <v>13.197483870967757</v>
      </c>
      <c r="Q8" s="25">
        <v>-86</v>
      </c>
      <c r="R8" s="25"/>
      <c r="S8" s="25"/>
      <c r="T8" s="25">
        <f>'[1]NWPL Others'!$R10</f>
        <v>-110.48770967741936</v>
      </c>
      <c r="U8" s="25">
        <f>'[1]WestCoast Historicals'!$M63/1000</f>
        <v>51.024354838709677</v>
      </c>
      <c r="V8" s="25">
        <f>'[1]WestCoast Historicals'!$O63/1000</f>
        <v>-86</v>
      </c>
      <c r="W8" s="25">
        <f>'[1]WestCoast Historicals'!$R63/1000</f>
        <v>61</v>
      </c>
      <c r="X8" s="25"/>
      <c r="Y8" s="25">
        <f>'[1]WestCoast Historicals'!$P63/1000</f>
        <v>56</v>
      </c>
      <c r="Z8" s="25">
        <f>'[1]NWPL Others'!$S10</f>
        <v>-76.286322580645177</v>
      </c>
      <c r="AA8" s="25">
        <f>'[1]WestCoast Historicals'!$Q63/1000</f>
        <v>30</v>
      </c>
      <c r="AB8" s="25"/>
      <c r="AC8" s="25">
        <v>95.4987741935484</v>
      </c>
      <c r="AD8" s="25"/>
      <c r="AE8" s="25"/>
      <c r="AF8" s="25">
        <v>37858.18</v>
      </c>
      <c r="AG8" s="27">
        <f t="shared" si="3"/>
        <v>0.69386888070233321</v>
      </c>
      <c r="AH8" s="24">
        <v>2130.697419354839</v>
      </c>
      <c r="AI8" s="25">
        <v>6.6322580645161286</v>
      </c>
      <c r="AJ8" s="25">
        <v>86.045161290322582</v>
      </c>
      <c r="AK8" s="25"/>
      <c r="AL8" s="25"/>
      <c r="AM8" s="25">
        <v>17.948387096774194</v>
      </c>
      <c r="AN8" s="25"/>
      <c r="AO8" s="25"/>
      <c r="AP8" s="25">
        <v>76.270967741935479</v>
      </c>
      <c r="AQ8" s="25">
        <v>32.596774193548384</v>
      </c>
      <c r="AR8" s="25">
        <v>47.851612903225806</v>
      </c>
      <c r="AS8" s="25">
        <v>1.264516129032258</v>
      </c>
      <c r="AT8" s="28">
        <v>1791.7967741935483</v>
      </c>
    </row>
    <row r="9" spans="1:46" s="30" customFormat="1" hidden="1" x14ac:dyDescent="0.25">
      <c r="A9" s="16">
        <v>36404</v>
      </c>
      <c r="B9" s="17">
        <f t="shared" si="0"/>
        <v>30</v>
      </c>
      <c r="C9" s="24">
        <v>882.66523333333328</v>
      </c>
      <c r="D9" s="25">
        <f t="shared" si="1"/>
        <v>296.26726666666661</v>
      </c>
      <c r="E9" s="25">
        <v>586.39796666666666</v>
      </c>
      <c r="F9" s="25">
        <v>-252.29160000000002</v>
      </c>
      <c r="G9" s="29">
        <v>-320</v>
      </c>
      <c r="H9" s="25">
        <f t="shared" si="4"/>
        <v>-52.395433333333372</v>
      </c>
      <c r="I9" s="25">
        <v>18745.789000000001</v>
      </c>
      <c r="J9" s="26">
        <f t="shared" si="2"/>
        <v>1.0414327222222222</v>
      </c>
      <c r="K9" s="25"/>
      <c r="L9" s="25">
        <f>'[1]NWPL Others'!$U11</f>
        <v>122.51046666666666</v>
      </c>
      <c r="M9" s="25">
        <f>'[1]NWPL Others'!$Q11</f>
        <v>-294.29966666666672</v>
      </c>
      <c r="N9" s="25"/>
      <c r="O9" s="25">
        <f>'[1]WestCoast Historicals'!$K64/1000</f>
        <v>92.559066666666666</v>
      </c>
      <c r="P9" s="25">
        <f>'[1]WestCoast Historicals'!$L64/1000</f>
        <v>54.103700000000011</v>
      </c>
      <c r="Q9" s="25">
        <v>0</v>
      </c>
      <c r="R9" s="25"/>
      <c r="S9" s="25"/>
      <c r="T9" s="25">
        <f>'[1]NWPL Others'!$R11</f>
        <v>-121.81009999999995</v>
      </c>
      <c r="U9" s="25">
        <f>'[1]WestCoast Historicals'!$M64/1000</f>
        <v>26.474366666666665</v>
      </c>
      <c r="V9" s="25">
        <f>'[1]WestCoast Historicals'!$O64/1000</f>
        <v>-93</v>
      </c>
      <c r="W9" s="25">
        <f>'[1]WestCoast Historicals'!$R64/1000</f>
        <v>33</v>
      </c>
      <c r="X9" s="25"/>
      <c r="Y9" s="25">
        <f>'[1]WestCoast Historicals'!$P64/1000</f>
        <v>66</v>
      </c>
      <c r="Z9" s="25">
        <f>'[1]NWPL Others'!$S11</f>
        <v>-87.57793333333332</v>
      </c>
      <c r="AA9" s="25">
        <f>'[1]WestCoast Historicals'!$Q64/1000</f>
        <v>-3.2413000000000003</v>
      </c>
      <c r="AB9" s="25"/>
      <c r="AC9" s="25">
        <v>72.37833333333333</v>
      </c>
      <c r="AD9" s="25"/>
      <c r="AE9" s="25"/>
      <c r="AF9" s="25">
        <v>42831.019</v>
      </c>
      <c r="AG9" s="27">
        <f t="shared" si="3"/>
        <v>0.78501162002162717</v>
      </c>
      <c r="AH9" s="24">
        <v>2265.9699999999998</v>
      </c>
      <c r="AI9" s="25">
        <v>20.91333333333333</v>
      </c>
      <c r="AJ9" s="25">
        <v>96.766886017152615</v>
      </c>
      <c r="AK9" s="25"/>
      <c r="AL9" s="25"/>
      <c r="AM9" s="25">
        <v>76.62</v>
      </c>
      <c r="AN9" s="25"/>
      <c r="AO9" s="25"/>
      <c r="AP9" s="25">
        <v>77.593333333333334</v>
      </c>
      <c r="AQ9" s="25">
        <v>34.803333333333335</v>
      </c>
      <c r="AR9" s="25">
        <v>47.126666666666665</v>
      </c>
      <c r="AS9" s="25">
        <v>2.3433333333333333</v>
      </c>
      <c r="AT9" s="28">
        <v>1847.3366666666668</v>
      </c>
    </row>
    <row r="10" spans="1:46" s="30" customFormat="1" hidden="1" x14ac:dyDescent="0.25">
      <c r="A10" s="16">
        <v>36434</v>
      </c>
      <c r="B10" s="17">
        <f t="shared" si="0"/>
        <v>31</v>
      </c>
      <c r="C10" s="24">
        <v>935.26716129032252</v>
      </c>
      <c r="D10" s="25">
        <f t="shared" si="1"/>
        <v>490.96948387096768</v>
      </c>
      <c r="E10" s="25">
        <v>444.29767741935484</v>
      </c>
      <c r="F10" s="25">
        <v>-152.15087096774201</v>
      </c>
      <c r="G10" s="29">
        <v>-350</v>
      </c>
      <c r="H10" s="25">
        <f t="shared" si="4"/>
        <v>23.042193548387125</v>
      </c>
      <c r="I10" s="25">
        <v>18031.481</v>
      </c>
      <c r="J10" s="26">
        <f t="shared" si="2"/>
        <v>1.0017489444444445</v>
      </c>
      <c r="K10" s="25"/>
      <c r="L10" s="25">
        <f>'[1]NWPL Others'!$U12</f>
        <v>120.41990322580645</v>
      </c>
      <c r="M10" s="25">
        <f>'[1]NWPL Others'!$Q12</f>
        <v>-294.04832258064522</v>
      </c>
      <c r="N10" s="25"/>
      <c r="O10" s="25">
        <f>'[1]WestCoast Historicals'!$K65/1000</f>
        <v>110.24774193548389</v>
      </c>
      <c r="P10" s="25">
        <f>'[1]WestCoast Historicals'!$L65/1000</f>
        <v>25.448193548387092</v>
      </c>
      <c r="Q10" s="25">
        <v>-110.1136129032258</v>
      </c>
      <c r="R10" s="25"/>
      <c r="S10" s="25"/>
      <c r="T10" s="25">
        <f>'[1]NWPL Others'!$R12</f>
        <v>-143.30483870967745</v>
      </c>
      <c r="U10" s="25">
        <f>'[1]WestCoast Historicals'!$M65/1000</f>
        <v>-131.29603225806451</v>
      </c>
      <c r="V10" s="25">
        <f>'[1]WestCoast Historicals'!$O65/1000</f>
        <v>-110.1136129032258</v>
      </c>
      <c r="W10" s="25">
        <f>'[1]WestCoast Historicals'!$R65/1000</f>
        <v>-135</v>
      </c>
      <c r="X10" s="25"/>
      <c r="Y10" s="25">
        <f>'[1]WestCoast Historicals'!$P65/1000</f>
        <v>70.137838709677425</v>
      </c>
      <c r="Z10" s="25">
        <f>'[1]NWPL Others'!$S12</f>
        <v>-100.05632258064519</v>
      </c>
      <c r="AA10" s="25">
        <f>'[1]WestCoast Historicals'!$Q65/1000</f>
        <v>-163.81096774193549</v>
      </c>
      <c r="AB10" s="25"/>
      <c r="AC10" s="25">
        <v>-67.930451612903227</v>
      </c>
      <c r="AD10" s="25"/>
      <c r="AE10" s="25"/>
      <c r="AF10" s="25">
        <v>44914.152999999998</v>
      </c>
      <c r="AG10" s="27">
        <f t="shared" si="3"/>
        <v>0.82319152874764023</v>
      </c>
      <c r="AH10" s="24">
        <v>2296.7800000000002</v>
      </c>
      <c r="AI10" s="25">
        <v>27.66</v>
      </c>
      <c r="AJ10" s="25">
        <v>123.68337162808518</v>
      </c>
      <c r="AK10" s="25"/>
      <c r="AL10" s="25"/>
      <c r="AM10" s="25">
        <v>30.66333333333333</v>
      </c>
      <c r="AN10" s="25"/>
      <c r="AO10" s="25"/>
      <c r="AP10" s="25">
        <v>78.64</v>
      </c>
      <c r="AQ10" s="25">
        <v>40.133333333333333</v>
      </c>
      <c r="AR10" s="25">
        <v>58.543333333333337</v>
      </c>
      <c r="AS10" s="25">
        <v>1.51</v>
      </c>
      <c r="AT10" s="28">
        <v>1844.34</v>
      </c>
    </row>
    <row r="11" spans="1:46" s="30" customFormat="1" hidden="1" x14ac:dyDescent="0.25">
      <c r="A11" s="16">
        <v>36465</v>
      </c>
      <c r="B11" s="17">
        <f t="shared" si="0"/>
        <v>30</v>
      </c>
      <c r="C11" s="24">
        <v>959.34866666666665</v>
      </c>
      <c r="D11" s="25">
        <f t="shared" si="1"/>
        <v>508.66566666666665</v>
      </c>
      <c r="E11" s="25">
        <v>450.68299999999999</v>
      </c>
      <c r="F11" s="25">
        <v>-76.237533333333346</v>
      </c>
      <c r="G11" s="25"/>
      <c r="H11" s="25"/>
      <c r="I11" s="25">
        <v>17709.003000000001</v>
      </c>
      <c r="J11" s="26">
        <f t="shared" si="2"/>
        <v>0.98383350000000003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>
        <v>43309.913</v>
      </c>
      <c r="AG11" s="27">
        <f t="shared" si="3"/>
        <v>0.79378884184674037</v>
      </c>
      <c r="AH11" s="24">
        <v>2387.0633333333335</v>
      </c>
      <c r="AI11" s="25">
        <v>6.9833333333333334</v>
      </c>
      <c r="AJ11" s="25">
        <v>142.93348025823713</v>
      </c>
      <c r="AK11" s="25"/>
      <c r="AL11" s="25"/>
      <c r="AM11" s="25">
        <v>222.30333333333334</v>
      </c>
      <c r="AN11" s="25"/>
      <c r="AO11" s="25"/>
      <c r="AP11" s="25">
        <v>77.846666666666678</v>
      </c>
      <c r="AQ11" s="25">
        <v>36.546666666666667</v>
      </c>
      <c r="AR11" s="25">
        <v>64.74666666666667</v>
      </c>
      <c r="AS11" s="25">
        <v>2.0166666666666666</v>
      </c>
      <c r="AT11" s="28">
        <v>1749.0833333333333</v>
      </c>
    </row>
    <row r="12" spans="1:46" s="30" customFormat="1" hidden="1" x14ac:dyDescent="0.25">
      <c r="A12" s="16">
        <v>36495</v>
      </c>
      <c r="B12" s="17">
        <f t="shared" si="0"/>
        <v>31</v>
      </c>
      <c r="C12" s="24">
        <v>940.70645161290327</v>
      </c>
      <c r="D12" s="25">
        <f t="shared" si="1"/>
        <v>598.33516129032262</v>
      </c>
      <c r="E12" s="25">
        <v>342.37129032258065</v>
      </c>
      <c r="F12" s="25">
        <v>-184.89683870967741</v>
      </c>
      <c r="G12" s="25"/>
      <c r="H12" s="25"/>
      <c r="I12" s="25">
        <v>16493.332999999999</v>
      </c>
      <c r="J12" s="26">
        <f t="shared" si="2"/>
        <v>0.91629627777777767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>
        <v>29669.764999999999</v>
      </c>
      <c r="AG12" s="27">
        <f t="shared" si="3"/>
        <v>0.54379071131394219</v>
      </c>
      <c r="AH12" s="24">
        <v>2286.5974723029331</v>
      </c>
      <c r="AI12" s="25">
        <v>0.78466160657811523</v>
      </c>
      <c r="AJ12" s="25">
        <v>161.83143279865394</v>
      </c>
      <c r="AK12" s="25"/>
      <c r="AL12" s="25"/>
      <c r="AM12" s="25">
        <v>453.72086446473753</v>
      </c>
      <c r="AN12" s="25"/>
      <c r="AO12" s="25"/>
      <c r="AP12" s="25">
        <v>55.001486401012023</v>
      </c>
      <c r="AQ12" s="25">
        <v>0.4731182795698925</v>
      </c>
      <c r="AR12" s="25">
        <v>63.497302068508866</v>
      </c>
      <c r="AS12" s="25">
        <v>0</v>
      </c>
      <c r="AT12" s="28">
        <v>1774.4993316631089</v>
      </c>
    </row>
    <row r="13" spans="1:46" s="30" customFormat="1" hidden="1" x14ac:dyDescent="0.25">
      <c r="A13" s="31">
        <v>36526</v>
      </c>
      <c r="B13" s="17">
        <f t="shared" si="0"/>
        <v>31</v>
      </c>
      <c r="C13" s="24">
        <v>815.35954838709677</v>
      </c>
      <c r="D13" s="25">
        <f t="shared" si="1"/>
        <v>664.84464516129037</v>
      </c>
      <c r="E13" s="25">
        <v>150.51490322580645</v>
      </c>
      <c r="F13" s="25">
        <v>-237</v>
      </c>
      <c r="G13" s="25"/>
      <c r="H13" s="25"/>
      <c r="I13" s="25">
        <v>9652.02</v>
      </c>
      <c r="J13" s="26">
        <f t="shared" si="2"/>
        <v>0.53622333333333339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>
        <v>19887.516</v>
      </c>
      <c r="AG13" s="27">
        <f t="shared" si="3"/>
        <v>0.36450057733545937</v>
      </c>
      <c r="AH13" s="24">
        <v>2569.8066996246293</v>
      </c>
      <c r="AI13" s="25">
        <v>10.014847905108114</v>
      </c>
      <c r="AJ13" s="25">
        <v>158.91534473216649</v>
      </c>
      <c r="AK13" s="25"/>
      <c r="AL13" s="25"/>
      <c r="AM13" s="25">
        <v>483.86903225806452</v>
      </c>
      <c r="AN13" s="25"/>
      <c r="AO13" s="25"/>
      <c r="AP13" s="25">
        <v>83.489794137028809</v>
      </c>
      <c r="AQ13" s="25">
        <v>40.632136190169014</v>
      </c>
      <c r="AR13" s="25">
        <v>89.18451157326669</v>
      </c>
      <c r="AS13" s="25">
        <v>9.9493913828525056</v>
      </c>
      <c r="AT13" s="28">
        <v>1713.7499374352162</v>
      </c>
    </row>
    <row r="14" spans="1:46" s="30" customFormat="1" hidden="1" x14ac:dyDescent="0.25">
      <c r="A14" s="31">
        <v>36557</v>
      </c>
      <c r="B14" s="17">
        <f t="shared" si="0"/>
        <v>29</v>
      </c>
      <c r="C14" s="24">
        <v>901.51575862068967</v>
      </c>
      <c r="D14" s="25">
        <f t="shared" si="1"/>
        <v>592.6272068965518</v>
      </c>
      <c r="E14" s="25">
        <v>308.88855172413793</v>
      </c>
      <c r="F14" s="25">
        <v>-317.32093103448278</v>
      </c>
      <c r="G14" s="25"/>
      <c r="H14" s="25"/>
      <c r="I14" s="25">
        <v>7223.3689999999997</v>
      </c>
      <c r="J14" s="26">
        <f t="shared" si="2"/>
        <v>0.40129827777777777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>
        <v>12046.666999999999</v>
      </c>
      <c r="AG14" s="27">
        <f t="shared" si="3"/>
        <v>0.22079263576547351</v>
      </c>
      <c r="AH14" s="24">
        <v>2529.1177968298148</v>
      </c>
      <c r="AI14" s="25">
        <v>2.3720089392558292</v>
      </c>
      <c r="AJ14" s="25">
        <v>172.90125927280582</v>
      </c>
      <c r="AK14" s="25"/>
      <c r="AL14" s="25"/>
      <c r="AM14" s="25">
        <v>448.5073103448276</v>
      </c>
      <c r="AN14" s="25"/>
      <c r="AO14" s="25"/>
      <c r="AP14" s="25">
        <v>80.224980805420998</v>
      </c>
      <c r="AQ14" s="25">
        <v>39.638438468685166</v>
      </c>
      <c r="AR14" s="25">
        <v>83.653548298740603</v>
      </c>
      <c r="AS14" s="25">
        <v>3.4040777255102102</v>
      </c>
      <c r="AT14" s="28">
        <v>1759.869700167935</v>
      </c>
    </row>
    <row r="15" spans="1:46" s="30" customFormat="1" ht="13.8" hidden="1" thickBot="1" x14ac:dyDescent="0.3">
      <c r="A15" s="31">
        <v>36586</v>
      </c>
      <c r="B15" s="17">
        <f t="shared" si="0"/>
        <v>31</v>
      </c>
      <c r="C15" s="32">
        <v>877.42032258064523</v>
      </c>
      <c r="D15" s="33">
        <f t="shared" si="1"/>
        <v>543.18425806451614</v>
      </c>
      <c r="E15" s="33">
        <v>334.23606451612903</v>
      </c>
      <c r="F15" s="33">
        <v>-252.03367741935486</v>
      </c>
      <c r="G15" s="33"/>
      <c r="H15" s="33"/>
      <c r="I15" s="33">
        <v>4750</v>
      </c>
      <c r="J15" s="34">
        <f t="shared" si="2"/>
        <v>0.2638888888888889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>
        <v>8908.0750000000007</v>
      </c>
      <c r="AG15" s="35">
        <f t="shared" si="3"/>
        <v>0.16326817690291601</v>
      </c>
      <c r="AH15" s="32">
        <v>2525.6612410304265</v>
      </c>
      <c r="AI15" s="33">
        <v>2.225070332399274</v>
      </c>
      <c r="AJ15" s="33">
        <v>172.90125927280582</v>
      </c>
      <c r="AK15" s="33"/>
      <c r="AL15" s="33"/>
      <c r="AM15" s="33">
        <v>447.23468965517242</v>
      </c>
      <c r="AN15" s="33"/>
      <c r="AO15" s="33"/>
      <c r="AP15" s="33">
        <v>80.172502731543659</v>
      </c>
      <c r="AQ15" s="33">
        <v>39.327068563679603</v>
      </c>
      <c r="AR15" s="33">
        <v>82.187660768433517</v>
      </c>
      <c r="AS15" s="33">
        <v>3.4740484906799982</v>
      </c>
      <c r="AT15" s="36">
        <v>1762.8889386850115</v>
      </c>
    </row>
    <row r="16" spans="1:46" x14ac:dyDescent="0.25">
      <c r="A16" s="1">
        <v>36617</v>
      </c>
      <c r="B16" s="37">
        <f t="shared" si="0"/>
        <v>30</v>
      </c>
      <c r="C16" s="2">
        <v>781</v>
      </c>
      <c r="D16" s="2">
        <v>377</v>
      </c>
      <c r="E16" s="38">
        <v>404</v>
      </c>
      <c r="F16" s="2">
        <v>-198</v>
      </c>
      <c r="G16" s="2">
        <v>-238</v>
      </c>
      <c r="H16" s="2">
        <v>-18</v>
      </c>
      <c r="I16" s="38">
        <f>I15-(H16*B16)</f>
        <v>5290</v>
      </c>
      <c r="J16" s="39">
        <f t="shared" si="2"/>
        <v>0.29388888888888887</v>
      </c>
      <c r="K16" s="40">
        <f t="shared" ref="K16:K22" si="5">E16+F16+G16+H16</f>
        <v>-50</v>
      </c>
      <c r="L16" s="41">
        <v>10</v>
      </c>
      <c r="M16" s="2">
        <v>-135</v>
      </c>
      <c r="N16" s="42">
        <f t="shared" ref="N16:N22" si="6">SUM(K16:M16)</f>
        <v>-175</v>
      </c>
      <c r="O16" s="42">
        <f t="shared" ref="O16:O22" si="7">P16-N16</f>
        <v>-70</v>
      </c>
      <c r="P16" s="42">
        <f t="shared" ref="P16:P22" si="8">U16-T16-Q16-S16</f>
        <v>-245</v>
      </c>
      <c r="Q16" s="2">
        <v>-112</v>
      </c>
      <c r="R16" s="2"/>
      <c r="S16" s="2">
        <v>-40</v>
      </c>
      <c r="T16" s="2">
        <v>-100</v>
      </c>
      <c r="U16" s="42">
        <f t="shared" ref="U16:U22" si="9">Y16+X16-W16-V17</f>
        <v>-497</v>
      </c>
      <c r="V16" s="2">
        <v>115</v>
      </c>
      <c r="W16" s="41">
        <v>240</v>
      </c>
      <c r="X16" s="41">
        <v>-10</v>
      </c>
      <c r="Y16" s="42">
        <f t="shared" ref="Y16:Y22" si="10">AA16-Z16</f>
        <v>-137</v>
      </c>
      <c r="Z16" s="2">
        <v>83</v>
      </c>
      <c r="AA16" s="42">
        <f t="shared" ref="AA16:AA22" si="11">-(AB16+AC16+AD16)</f>
        <v>-54</v>
      </c>
      <c r="AB16" s="41">
        <v>185</v>
      </c>
      <c r="AC16" s="2">
        <v>-99</v>
      </c>
      <c r="AD16" s="43">
        <v>-32</v>
      </c>
      <c r="AE16" s="2">
        <v>-134</v>
      </c>
      <c r="AF16" s="2">
        <f>(AD16+AE16)*-$B16+$AF15</f>
        <v>13888.075000000001</v>
      </c>
      <c r="AG16" s="3">
        <f t="shared" si="3"/>
        <v>0.25454216381664563</v>
      </c>
      <c r="AH16" s="44">
        <v>2011</v>
      </c>
      <c r="AI16" s="2">
        <v>-0.6</v>
      </c>
      <c r="AJ16" s="2">
        <v>-30</v>
      </c>
      <c r="AK16" s="2">
        <v>-8</v>
      </c>
      <c r="AL16" s="2">
        <v>-48</v>
      </c>
      <c r="AM16" s="38">
        <f>AH16+SUM(AI16:AL16)+SUM(AP16:AT16)</f>
        <v>-22.672058823529369</v>
      </c>
      <c r="AN16" s="38">
        <v>230</v>
      </c>
      <c r="AO16" s="38">
        <v>-140</v>
      </c>
      <c r="AP16" s="2">
        <v>-69.32964052287582</v>
      </c>
      <c r="AQ16" s="2">
        <v>-11</v>
      </c>
      <c r="AR16" s="2">
        <v>-67.205490196078429</v>
      </c>
      <c r="AS16" s="2">
        <v>-8.5369281045751606</v>
      </c>
      <c r="AT16" s="2">
        <v>-1791</v>
      </c>
    </row>
    <row r="17" spans="1:46" x14ac:dyDescent="0.25">
      <c r="A17" s="1">
        <v>36647</v>
      </c>
      <c r="B17" s="37">
        <f t="shared" si="0"/>
        <v>31</v>
      </c>
      <c r="C17" s="2">
        <v>875</v>
      </c>
      <c r="D17" s="2">
        <v>360</v>
      </c>
      <c r="E17" s="38">
        <f t="shared" ref="E17:E22" si="12">C17-D17</f>
        <v>515</v>
      </c>
      <c r="F17" s="2">
        <v>-220</v>
      </c>
      <c r="G17" s="2">
        <v>-260</v>
      </c>
      <c r="H17" s="2">
        <v>-75</v>
      </c>
      <c r="I17" s="38">
        <f t="shared" ref="I17:I22" si="13">I16-(H17*B17)</f>
        <v>7615</v>
      </c>
      <c r="J17" s="39">
        <f t="shared" si="2"/>
        <v>0.42305555555555557</v>
      </c>
      <c r="K17" s="40">
        <f t="shared" si="5"/>
        <v>-40</v>
      </c>
      <c r="L17" s="41">
        <v>10</v>
      </c>
      <c r="M17" s="2">
        <v>-125</v>
      </c>
      <c r="N17" s="42">
        <f t="shared" si="6"/>
        <v>-155</v>
      </c>
      <c r="O17" s="42">
        <f t="shared" si="7"/>
        <v>-30.1142258064516</v>
      </c>
      <c r="P17" s="42">
        <f t="shared" si="8"/>
        <v>-185.1142258064516</v>
      </c>
      <c r="Q17" s="2">
        <v>-108</v>
      </c>
      <c r="R17" s="2"/>
      <c r="S17" s="2">
        <v>-40</v>
      </c>
      <c r="T17" s="2">
        <v>-101.88577419354839</v>
      </c>
      <c r="U17" s="42">
        <f t="shared" si="9"/>
        <v>-435</v>
      </c>
      <c r="V17" s="2">
        <v>110</v>
      </c>
      <c r="W17" s="41">
        <v>230</v>
      </c>
      <c r="X17" s="41">
        <v>-10</v>
      </c>
      <c r="Y17" s="42">
        <f t="shared" si="10"/>
        <v>-85</v>
      </c>
      <c r="Z17" s="2">
        <v>110</v>
      </c>
      <c r="AA17" s="42">
        <f t="shared" si="11"/>
        <v>25</v>
      </c>
      <c r="AB17" s="41">
        <v>200</v>
      </c>
      <c r="AC17" s="41">
        <v>-160</v>
      </c>
      <c r="AD17" s="43">
        <v>-65</v>
      </c>
      <c r="AE17" s="2">
        <v>-150</v>
      </c>
      <c r="AF17" s="2">
        <f t="shared" ref="AF17:AF22" si="14">(AD17+AE17)*-$B17+$AF16</f>
        <v>20553.075000000001</v>
      </c>
      <c r="AG17" s="3">
        <f t="shared" si="3"/>
        <v>0.37669901578050258</v>
      </c>
      <c r="AH17" s="44">
        <f t="shared" ref="AH17:AH22" si="15">-(SUM(AI17:AT17))</f>
        <v>2100.0217324478181</v>
      </c>
      <c r="AI17" s="2">
        <v>-3.0094560404807087</v>
      </c>
      <c r="AJ17" s="2">
        <v>-25</v>
      </c>
      <c r="AK17" s="2">
        <v>-20</v>
      </c>
      <c r="AL17" s="2">
        <v>-50</v>
      </c>
      <c r="AM17" s="38">
        <f t="shared" ref="AM17:AM22" si="16">-O17</f>
        <v>30.1142258064516</v>
      </c>
      <c r="AN17" s="38"/>
      <c r="AO17" s="38"/>
      <c r="AP17" s="2">
        <v>-62.001265022137893</v>
      </c>
      <c r="AQ17" s="2">
        <v>-38</v>
      </c>
      <c r="AR17" s="2">
        <v>-61.565243516761555</v>
      </c>
      <c r="AS17" s="2">
        <v>-0.55999367488931073</v>
      </c>
      <c r="AT17" s="2">
        <v>-1870</v>
      </c>
    </row>
    <row r="18" spans="1:46" x14ac:dyDescent="0.25">
      <c r="A18" s="1">
        <v>36678</v>
      </c>
      <c r="B18" s="37">
        <f t="shared" si="0"/>
        <v>30</v>
      </c>
      <c r="C18" s="2">
        <v>875</v>
      </c>
      <c r="D18" s="2">
        <v>265</v>
      </c>
      <c r="E18" s="38">
        <f t="shared" si="12"/>
        <v>610</v>
      </c>
      <c r="F18" s="2">
        <v>-230</v>
      </c>
      <c r="G18" s="2">
        <v>-250</v>
      </c>
      <c r="H18" s="2">
        <v>-80</v>
      </c>
      <c r="I18" s="38">
        <f t="shared" si="13"/>
        <v>10015</v>
      </c>
      <c r="J18" s="39">
        <f t="shared" si="2"/>
        <v>0.55638888888888893</v>
      </c>
      <c r="K18" s="40">
        <f t="shared" si="5"/>
        <v>50</v>
      </c>
      <c r="L18" s="41">
        <v>10</v>
      </c>
      <c r="M18" s="2">
        <v>-120</v>
      </c>
      <c r="N18" s="42">
        <f t="shared" si="6"/>
        <v>-60</v>
      </c>
      <c r="O18" s="42">
        <f t="shared" si="7"/>
        <v>-110.07736666666665</v>
      </c>
      <c r="P18" s="42">
        <f t="shared" si="8"/>
        <v>-170.07736666666665</v>
      </c>
      <c r="Q18" s="2">
        <v>-101</v>
      </c>
      <c r="R18" s="2"/>
      <c r="S18" s="2">
        <v>-40</v>
      </c>
      <c r="T18" s="2">
        <v>-83.922633333333351</v>
      </c>
      <c r="U18" s="42">
        <f t="shared" si="9"/>
        <v>-395</v>
      </c>
      <c r="V18" s="2">
        <v>110</v>
      </c>
      <c r="W18" s="41">
        <v>225</v>
      </c>
      <c r="X18" s="41">
        <v>-10</v>
      </c>
      <c r="Y18" s="42">
        <f t="shared" si="10"/>
        <v>-55</v>
      </c>
      <c r="Z18" s="2">
        <v>100</v>
      </c>
      <c r="AA18" s="42">
        <f t="shared" si="11"/>
        <v>45</v>
      </c>
      <c r="AB18" s="41">
        <v>200</v>
      </c>
      <c r="AC18" s="41">
        <v>-180</v>
      </c>
      <c r="AD18" s="43">
        <v>-65</v>
      </c>
      <c r="AE18" s="2">
        <v>-150</v>
      </c>
      <c r="AF18" s="2">
        <f t="shared" si="14"/>
        <v>27003.075000000001</v>
      </c>
      <c r="AG18" s="3">
        <f t="shared" si="3"/>
        <v>0.49491532413262224</v>
      </c>
      <c r="AH18" s="44">
        <f t="shared" si="15"/>
        <v>1971.2032215686274</v>
      </c>
      <c r="AI18" s="2">
        <v>-1.3558823529411763</v>
      </c>
      <c r="AJ18" s="2">
        <v>-20</v>
      </c>
      <c r="AK18" s="2">
        <v>-20</v>
      </c>
      <c r="AL18" s="2">
        <v>-50</v>
      </c>
      <c r="AM18" s="38">
        <f t="shared" si="16"/>
        <v>110.07736666666665</v>
      </c>
      <c r="AN18" s="38"/>
      <c r="AO18" s="38"/>
      <c r="AP18" s="2">
        <v>-52.833006535947725</v>
      </c>
      <c r="AQ18" s="2">
        <v>-15</v>
      </c>
      <c r="AR18" s="2">
        <v>-49.381241830065349</v>
      </c>
      <c r="AS18" s="2">
        <v>-2.7104575163398685</v>
      </c>
      <c r="AT18" s="2">
        <v>-1870</v>
      </c>
    </row>
    <row r="19" spans="1:46" x14ac:dyDescent="0.25">
      <c r="A19" s="1">
        <v>36708</v>
      </c>
      <c r="B19" s="37">
        <f t="shared" si="0"/>
        <v>31</v>
      </c>
      <c r="C19" s="2">
        <v>800</v>
      </c>
      <c r="D19" s="2">
        <v>250</v>
      </c>
      <c r="E19" s="38">
        <f t="shared" si="12"/>
        <v>550</v>
      </c>
      <c r="F19" s="2">
        <v>-220</v>
      </c>
      <c r="G19" s="2">
        <v>-315</v>
      </c>
      <c r="H19" s="2">
        <v>-20</v>
      </c>
      <c r="I19" s="38">
        <f t="shared" si="13"/>
        <v>10635</v>
      </c>
      <c r="J19" s="39">
        <f t="shared" si="2"/>
        <v>0.59083333333333332</v>
      </c>
      <c r="K19" s="40">
        <f t="shared" si="5"/>
        <v>-5</v>
      </c>
      <c r="L19" s="41">
        <v>10</v>
      </c>
      <c r="M19" s="2">
        <v>-100</v>
      </c>
      <c r="N19" s="42">
        <f t="shared" si="6"/>
        <v>-95</v>
      </c>
      <c r="O19" s="42">
        <f t="shared" si="7"/>
        <v>-64.368258064516169</v>
      </c>
      <c r="P19" s="42">
        <f t="shared" si="8"/>
        <v>-159.36825806451617</v>
      </c>
      <c r="Q19" s="2">
        <v>-90</v>
      </c>
      <c r="R19" s="2"/>
      <c r="S19" s="2">
        <v>-40</v>
      </c>
      <c r="T19" s="2">
        <v>-85.631741935483831</v>
      </c>
      <c r="U19" s="42">
        <f t="shared" si="9"/>
        <v>-375</v>
      </c>
      <c r="V19" s="2">
        <v>105</v>
      </c>
      <c r="W19" s="41">
        <v>215</v>
      </c>
      <c r="X19" s="41">
        <v>-10</v>
      </c>
      <c r="Y19" s="42">
        <f t="shared" si="10"/>
        <v>-45</v>
      </c>
      <c r="Z19" s="2">
        <v>95</v>
      </c>
      <c r="AA19" s="42">
        <f t="shared" si="11"/>
        <v>50</v>
      </c>
      <c r="AB19" s="41">
        <v>195</v>
      </c>
      <c r="AC19" s="41">
        <v>-180</v>
      </c>
      <c r="AD19" s="43">
        <v>-65</v>
      </c>
      <c r="AE19" s="2">
        <v>-150</v>
      </c>
      <c r="AF19" s="2">
        <f t="shared" si="14"/>
        <v>33668.074999999997</v>
      </c>
      <c r="AG19" s="3">
        <f t="shared" si="3"/>
        <v>0.61707217609647913</v>
      </c>
      <c r="AH19" s="44">
        <f t="shared" si="15"/>
        <v>2050.6392371916509</v>
      </c>
      <c r="AI19" s="2">
        <v>-3.0814041745730547</v>
      </c>
      <c r="AJ19" s="2">
        <v>-20</v>
      </c>
      <c r="AK19" s="2">
        <v>-20</v>
      </c>
      <c r="AL19" s="2">
        <v>-50</v>
      </c>
      <c r="AM19" s="38">
        <f t="shared" si="16"/>
        <v>64.368258064516169</v>
      </c>
      <c r="AN19" s="38"/>
      <c r="AO19" s="38"/>
      <c r="AP19" s="2">
        <v>-68.298387096774206</v>
      </c>
      <c r="AQ19" s="2">
        <v>-29</v>
      </c>
      <c r="AR19" s="2">
        <v>-52.055534471853271</v>
      </c>
      <c r="AS19" s="2">
        <v>-2.5721695129664783</v>
      </c>
      <c r="AT19" s="2">
        <v>-1870</v>
      </c>
    </row>
    <row r="20" spans="1:46" x14ac:dyDescent="0.25">
      <c r="A20" s="1">
        <v>36739</v>
      </c>
      <c r="B20" s="37">
        <f t="shared" si="0"/>
        <v>31</v>
      </c>
      <c r="C20" s="2">
        <v>875</v>
      </c>
      <c r="D20" s="2">
        <v>250</v>
      </c>
      <c r="E20" s="38">
        <f t="shared" si="12"/>
        <v>625</v>
      </c>
      <c r="F20" s="2">
        <v>-215</v>
      </c>
      <c r="G20" s="2">
        <v>-285</v>
      </c>
      <c r="H20" s="2">
        <v>-160</v>
      </c>
      <c r="I20" s="38">
        <f t="shared" si="13"/>
        <v>15595</v>
      </c>
      <c r="J20" s="39">
        <f t="shared" si="2"/>
        <v>0.86638888888888888</v>
      </c>
      <c r="K20" s="40">
        <f t="shared" si="5"/>
        <v>-35</v>
      </c>
      <c r="L20" s="41">
        <v>10</v>
      </c>
      <c r="M20" s="2">
        <v>-110.48770967741936</v>
      </c>
      <c r="N20" s="42">
        <f t="shared" si="6"/>
        <v>-135.48770967741936</v>
      </c>
      <c r="O20" s="42">
        <f t="shared" si="7"/>
        <v>-22.225967741935477</v>
      </c>
      <c r="P20" s="42">
        <f t="shared" si="8"/>
        <v>-157.71367741935484</v>
      </c>
      <c r="Q20" s="2">
        <v>-86</v>
      </c>
      <c r="R20" s="2"/>
      <c r="S20" s="2">
        <v>-40</v>
      </c>
      <c r="T20" s="2">
        <v>-76.286322580645177</v>
      </c>
      <c r="U20" s="42">
        <f t="shared" si="9"/>
        <v>-360</v>
      </c>
      <c r="V20" s="2">
        <v>105</v>
      </c>
      <c r="W20" s="41">
        <v>210</v>
      </c>
      <c r="X20" s="41">
        <v>-10</v>
      </c>
      <c r="Y20" s="42">
        <f t="shared" si="10"/>
        <v>-40</v>
      </c>
      <c r="Z20" s="2">
        <v>95</v>
      </c>
      <c r="AA20" s="42">
        <f t="shared" si="11"/>
        <v>55</v>
      </c>
      <c r="AB20" s="41">
        <v>190</v>
      </c>
      <c r="AC20" s="41">
        <v>-180</v>
      </c>
      <c r="AD20" s="43">
        <v>-65</v>
      </c>
      <c r="AE20" s="2">
        <v>-150</v>
      </c>
      <c r="AF20" s="2">
        <f t="shared" si="14"/>
        <v>40333.074999999997</v>
      </c>
      <c r="AG20" s="3">
        <f t="shared" si="3"/>
        <v>0.73922902806033608</v>
      </c>
      <c r="AH20" s="44">
        <f t="shared" si="15"/>
        <v>2102.3901612903228</v>
      </c>
      <c r="AI20" s="2">
        <v>-6.6322580645161286</v>
      </c>
      <c r="AJ20" s="2">
        <v>-20</v>
      </c>
      <c r="AK20" s="2">
        <v>-20</v>
      </c>
      <c r="AL20" s="2">
        <v>-50</v>
      </c>
      <c r="AM20" s="38">
        <f t="shared" si="16"/>
        <v>22.225967741935477</v>
      </c>
      <c r="AN20" s="38"/>
      <c r="AO20" s="38"/>
      <c r="AP20" s="2">
        <v>-76.270967741935479</v>
      </c>
      <c r="AQ20" s="2">
        <v>-32.596774193548384</v>
      </c>
      <c r="AR20" s="2">
        <v>-47.851612903225806</v>
      </c>
      <c r="AS20" s="2">
        <v>-1.264516129032258</v>
      </c>
      <c r="AT20" s="2">
        <v>-1870</v>
      </c>
    </row>
    <row r="21" spans="1:46" x14ac:dyDescent="0.25">
      <c r="A21" s="1">
        <v>36770</v>
      </c>
      <c r="B21" s="37">
        <f t="shared" si="0"/>
        <v>30</v>
      </c>
      <c r="C21" s="2">
        <v>925</v>
      </c>
      <c r="D21" s="2">
        <v>295</v>
      </c>
      <c r="E21" s="38">
        <f t="shared" si="12"/>
        <v>630</v>
      </c>
      <c r="F21" s="2">
        <v>-250</v>
      </c>
      <c r="G21" s="2">
        <v>-300</v>
      </c>
      <c r="H21" s="2">
        <v>-80</v>
      </c>
      <c r="I21" s="38">
        <f t="shared" si="13"/>
        <v>17995</v>
      </c>
      <c r="J21" s="39">
        <f t="shared" si="2"/>
        <v>0.99972222222222218</v>
      </c>
      <c r="K21" s="40">
        <f t="shared" si="5"/>
        <v>0</v>
      </c>
      <c r="L21" s="41">
        <v>10</v>
      </c>
      <c r="M21" s="2">
        <v>-125</v>
      </c>
      <c r="N21" s="42">
        <f t="shared" si="6"/>
        <v>-115</v>
      </c>
      <c r="O21" s="42">
        <f t="shared" si="7"/>
        <v>-17.422066666666694</v>
      </c>
      <c r="P21" s="42">
        <f t="shared" si="8"/>
        <v>-132.42206666666669</v>
      </c>
      <c r="Q21" s="2">
        <v>-90</v>
      </c>
      <c r="R21" s="2"/>
      <c r="S21" s="2">
        <v>-40</v>
      </c>
      <c r="T21" s="2">
        <v>-87.57793333333332</v>
      </c>
      <c r="U21" s="42">
        <f t="shared" si="9"/>
        <v>-350</v>
      </c>
      <c r="V21" s="2">
        <v>100</v>
      </c>
      <c r="W21" s="41">
        <v>210</v>
      </c>
      <c r="X21" s="41">
        <v>-10</v>
      </c>
      <c r="Y21" s="42">
        <f t="shared" si="10"/>
        <v>-30</v>
      </c>
      <c r="Z21" s="2">
        <v>90</v>
      </c>
      <c r="AA21" s="42">
        <f t="shared" si="11"/>
        <v>60</v>
      </c>
      <c r="AB21" s="41">
        <v>185</v>
      </c>
      <c r="AC21" s="41">
        <v>-180</v>
      </c>
      <c r="AD21" s="43">
        <v>-65</v>
      </c>
      <c r="AE21" s="2">
        <v>-170</v>
      </c>
      <c r="AF21" s="2">
        <f t="shared" si="14"/>
        <v>47383.074999999997</v>
      </c>
      <c r="AG21" s="3">
        <f t="shared" si="3"/>
        <v>0.86844220230567615</v>
      </c>
      <c r="AH21" s="44">
        <f t="shared" si="15"/>
        <v>2125.3579333333332</v>
      </c>
      <c r="AI21" s="2">
        <v>-20.91333333333333</v>
      </c>
      <c r="AJ21" s="2">
        <v>-20</v>
      </c>
      <c r="AK21" s="2">
        <v>-20</v>
      </c>
      <c r="AL21" s="2">
        <v>-50</v>
      </c>
      <c r="AM21" s="38">
        <f t="shared" si="16"/>
        <v>17.422066666666694</v>
      </c>
      <c r="AN21" s="38"/>
      <c r="AO21" s="38"/>
      <c r="AP21" s="2">
        <v>-77.593333333333334</v>
      </c>
      <c r="AQ21" s="2">
        <v>-34.803333333333335</v>
      </c>
      <c r="AR21" s="2">
        <v>-47.126666666666665</v>
      </c>
      <c r="AS21" s="2">
        <v>-2.3433333333333333</v>
      </c>
      <c r="AT21" s="2">
        <v>-1870</v>
      </c>
    </row>
    <row r="22" spans="1:46" x14ac:dyDescent="0.25">
      <c r="A22" s="1">
        <v>36800</v>
      </c>
      <c r="B22" s="37">
        <f t="shared" si="0"/>
        <v>31</v>
      </c>
      <c r="C22" s="2">
        <v>950</v>
      </c>
      <c r="D22" s="2">
        <v>490</v>
      </c>
      <c r="E22" s="38">
        <f t="shared" si="12"/>
        <v>460</v>
      </c>
      <c r="F22" s="2">
        <v>-150</v>
      </c>
      <c r="G22" s="2">
        <v>-350</v>
      </c>
      <c r="H22" s="2">
        <v>0</v>
      </c>
      <c r="I22" s="38">
        <f t="shared" si="13"/>
        <v>17995</v>
      </c>
      <c r="J22" s="39">
        <f t="shared" si="2"/>
        <v>0.99972222222222218</v>
      </c>
      <c r="K22" s="40">
        <f t="shared" si="5"/>
        <v>-40</v>
      </c>
      <c r="L22" s="41">
        <v>10</v>
      </c>
      <c r="M22" s="2">
        <v>-145</v>
      </c>
      <c r="N22" s="42">
        <f t="shared" si="6"/>
        <v>-175</v>
      </c>
      <c r="O22" s="42">
        <f t="shared" si="7"/>
        <v>170.169935483871</v>
      </c>
      <c r="P22" s="42">
        <f t="shared" si="8"/>
        <v>-4.8300645161289992</v>
      </c>
      <c r="Q22" s="2">
        <v>-110.1136129032258</v>
      </c>
      <c r="R22" s="2"/>
      <c r="S22" s="2">
        <v>-40</v>
      </c>
      <c r="T22" s="2">
        <v>-100.05632258064519</v>
      </c>
      <c r="U22" s="42">
        <f t="shared" si="9"/>
        <v>-255</v>
      </c>
      <c r="V22" s="2">
        <v>100</v>
      </c>
      <c r="W22" s="41">
        <v>220</v>
      </c>
      <c r="X22" s="41">
        <v>-10</v>
      </c>
      <c r="Y22" s="42">
        <f t="shared" si="10"/>
        <v>-25</v>
      </c>
      <c r="Z22" s="2">
        <v>90</v>
      </c>
      <c r="AA22" s="42">
        <f t="shared" si="11"/>
        <v>65</v>
      </c>
      <c r="AB22" s="41">
        <v>180</v>
      </c>
      <c r="AC22" s="41">
        <v>-180</v>
      </c>
      <c r="AD22" s="43">
        <v>-65</v>
      </c>
      <c r="AE22" s="2">
        <v>-170</v>
      </c>
      <c r="AF22" s="2">
        <f t="shared" si="14"/>
        <v>54668.074999999997</v>
      </c>
      <c r="AG22" s="3">
        <f t="shared" si="3"/>
        <v>1.0019624823591942</v>
      </c>
      <c r="AH22" s="44">
        <f t="shared" si="15"/>
        <v>2351.6566021505378</v>
      </c>
      <c r="AI22" s="2">
        <v>-27.66</v>
      </c>
      <c r="AJ22" s="2">
        <v>-35</v>
      </c>
      <c r="AK22" s="2">
        <v>-20</v>
      </c>
      <c r="AL22" s="2">
        <v>-50</v>
      </c>
      <c r="AM22" s="38">
        <f t="shared" si="16"/>
        <v>-170.169935483871</v>
      </c>
      <c r="AN22" s="38"/>
      <c r="AO22" s="38"/>
      <c r="AP22" s="2">
        <v>-78.64</v>
      </c>
      <c r="AQ22" s="2">
        <v>-40.133333333333333</v>
      </c>
      <c r="AR22" s="2">
        <v>-58.543333333333337</v>
      </c>
      <c r="AS22" s="2">
        <v>-1.51</v>
      </c>
      <c r="AT22" s="2">
        <v>-1870</v>
      </c>
    </row>
    <row r="23" spans="1:46" hidden="1" x14ac:dyDescent="0.25">
      <c r="A23" s="1">
        <v>36831</v>
      </c>
      <c r="B23" s="37"/>
      <c r="G23" s="2"/>
      <c r="AD23" s="42"/>
    </row>
  </sheetData>
  <printOptions horizontalCentered="1" verticalCentered="1"/>
  <pageMargins left="0" right="0" top="0" bottom="0" header="0.5" footer="0.5"/>
  <pageSetup paperSize="5" scale="60" fitToWidth="2" orientation="landscape" horizont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 00 - Oct 00 X Forecast</vt:lpstr>
      <vt:lpstr>'Apr 00 - Oct 00 X Forecast'!Print_Area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Havlíček Jan</cp:lastModifiedBy>
  <dcterms:created xsi:type="dcterms:W3CDTF">2000-05-16T23:10:52Z</dcterms:created>
  <dcterms:modified xsi:type="dcterms:W3CDTF">2023-09-10T15:01:46Z</dcterms:modified>
</cp:coreProperties>
</file>