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Sheet1!$A$1:$M$60</definedName>
  </definedNames>
  <calcPr calcId="92512"/>
</workbook>
</file>

<file path=xl/calcChain.xml><?xml version="1.0" encoding="utf-8"?>
<calcChain xmlns="http://schemas.openxmlformats.org/spreadsheetml/2006/main">
  <c r="C4" i="1" l="1"/>
  <c r="F6" i="1"/>
  <c r="I6" i="1"/>
  <c r="C10" i="1"/>
  <c r="F10" i="1"/>
  <c r="I10" i="1"/>
  <c r="L10" i="1"/>
  <c r="C15" i="1"/>
  <c r="F15" i="1"/>
  <c r="I15" i="1"/>
  <c r="L15" i="1"/>
  <c r="C16" i="1"/>
  <c r="F16" i="1"/>
  <c r="I16" i="1"/>
  <c r="L16" i="1"/>
  <c r="C22" i="1"/>
  <c r="F22" i="1"/>
  <c r="I22" i="1"/>
  <c r="L22" i="1"/>
  <c r="C24" i="1"/>
  <c r="F24" i="1"/>
  <c r="I24" i="1"/>
  <c r="L24" i="1"/>
  <c r="C25" i="1"/>
  <c r="F25" i="1"/>
  <c r="I25" i="1"/>
  <c r="L25" i="1"/>
  <c r="C26" i="1"/>
  <c r="F26" i="1"/>
  <c r="I26" i="1"/>
  <c r="L26" i="1"/>
  <c r="C30" i="1"/>
  <c r="F30" i="1"/>
  <c r="I30" i="1"/>
  <c r="L30" i="1"/>
  <c r="C35" i="1"/>
  <c r="F35" i="1"/>
  <c r="I35" i="1"/>
  <c r="L35" i="1"/>
  <c r="C36" i="1"/>
  <c r="F36" i="1"/>
  <c r="I36" i="1"/>
  <c r="L36" i="1"/>
  <c r="C42" i="1"/>
  <c r="F42" i="1"/>
  <c r="I42" i="1"/>
  <c r="L42" i="1"/>
  <c r="C44" i="1"/>
  <c r="F44" i="1"/>
  <c r="I44" i="1"/>
  <c r="L44" i="1"/>
  <c r="C45" i="1"/>
  <c r="F45" i="1"/>
  <c r="I45" i="1"/>
  <c r="L45" i="1"/>
  <c r="C46" i="1"/>
  <c r="F46" i="1"/>
  <c r="I46" i="1"/>
  <c r="L46" i="1"/>
  <c r="I50" i="1"/>
  <c r="I52" i="1"/>
  <c r="I53" i="1"/>
  <c r="F54" i="1"/>
  <c r="F55" i="1"/>
  <c r="I57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</calcChain>
</file>

<file path=xl/sharedStrings.xml><?xml version="1.0" encoding="utf-8"?>
<sst xmlns="http://schemas.openxmlformats.org/spreadsheetml/2006/main" count="169" uniqueCount="48">
  <si>
    <t>Y Grade C3+</t>
  </si>
  <si>
    <t>Commercial Grade C3</t>
  </si>
  <si>
    <t>Commercial Grade C4</t>
  </si>
  <si>
    <t>BAHAMAS LPG</t>
  </si>
  <si>
    <t xml:space="preserve">   Annual Quantity (MT)</t>
  </si>
  <si>
    <t xml:space="preserve">      No. per Year</t>
  </si>
  <si>
    <t xml:space="preserve">      Vessel Day Rate ($/day)</t>
  </si>
  <si>
    <t xml:space="preserve">      Daily Bunker Fuel ($/day)</t>
  </si>
  <si>
    <t xml:space="preserve">      Avg. Roundtrip Voyage Length (Days)</t>
  </si>
  <si>
    <t xml:space="preserve">      Avg. One-Way Voyage Distance (Nautical Miles)</t>
  </si>
  <si>
    <t xml:space="preserve">      Inspectors and Customs ($/voyage)</t>
  </si>
  <si>
    <t xml:space="preserve">      Other Costs ($/voyage)</t>
  </si>
  <si>
    <t xml:space="preserve">      Vessel Speed (Knots)</t>
  </si>
  <si>
    <t xml:space="preserve">          Total Voyage Cost ($/voyage)</t>
  </si>
  <si>
    <t xml:space="preserve">          Total Voyage Cost ($/year)</t>
  </si>
  <si>
    <t xml:space="preserve">      Loading Rate (MT/hour)</t>
  </si>
  <si>
    <t xml:space="preserve">      Unloading Rate (MT/hour)</t>
  </si>
  <si>
    <t xml:space="preserve">      One-Way Voyage Distances (Nautical Miles):</t>
  </si>
  <si>
    <t xml:space="preserve">        Houston</t>
  </si>
  <si>
    <t xml:space="preserve">        Tampa</t>
  </si>
  <si>
    <t xml:space="preserve">        Norfolk</t>
  </si>
  <si>
    <t xml:space="preserve">        Portsmouth , NH</t>
  </si>
  <si>
    <t xml:space="preserve">        ProCaribe</t>
  </si>
  <si>
    <t xml:space="preserve">        Santo Domingo</t>
  </si>
  <si>
    <t xml:space="preserve">   Premium (Discount) vs Mont Belvieu ($/gal.)</t>
  </si>
  <si>
    <t xml:space="preserve">   Annual Incremental Rev. vs Y Grade ($)</t>
  </si>
  <si>
    <t xml:space="preserve">      Relative Density (C3 or C4 @ 60F / Water @ 60F):</t>
  </si>
  <si>
    <t xml:space="preserve">        Propane</t>
  </si>
  <si>
    <t xml:space="preserve">        n-Butane</t>
  </si>
  <si>
    <t xml:space="preserve">      Density of Water @ 60F(lb/gal):</t>
  </si>
  <si>
    <t xml:space="preserve">      Density of Propane @ 60F(lb/gal):</t>
  </si>
  <si>
    <t xml:space="preserve">      Density of Butane @ 60F(lb/gal):</t>
  </si>
  <si>
    <t xml:space="preserve">         Incremental Revenue ($/year)</t>
  </si>
  <si>
    <t xml:space="preserve">         Incremental Oper Exp. ($/year)</t>
  </si>
  <si>
    <t xml:space="preserve">         Incremental Transportation Exp. ($/year)</t>
  </si>
  <si>
    <t xml:space="preserve">            Net Incremental Cash Flow ($/year)</t>
  </si>
  <si>
    <t xml:space="preserve">         Incremental Plant Investment ($)</t>
  </si>
  <si>
    <t xml:space="preserve">      Incremental Cash Flows - Commercial Grade vs Y Grade LPG:</t>
  </si>
  <si>
    <t xml:space="preserve">      % Utilization</t>
  </si>
  <si>
    <t xml:space="preserve">          Idle Time ($/year)</t>
  </si>
  <si>
    <t xml:space="preserve">          Total Shipping Cost ($/year)</t>
  </si>
  <si>
    <t xml:space="preserve">   Cargo Size (MT) - Y Grade C3+</t>
  </si>
  <si>
    <t xml:space="preserve">   Cargo Size (MT) - C3</t>
  </si>
  <si>
    <t xml:space="preserve">   Cargo Size (MT) - C4</t>
  </si>
  <si>
    <t xml:space="preserve">   Cargo Size (MT) - C3 , C4</t>
  </si>
  <si>
    <t xml:space="preserve">      2 Ports Cost, Tugs, Pilots ($/voyage)</t>
  </si>
  <si>
    <t xml:space="preserve">         IRR - BFIT - 20 Year Life</t>
  </si>
  <si>
    <t>IRR CALC.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</si>
</sst>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5" formatCode="&quot;$&quot;#,##0_);\(&quot;$&quot;#,##0\)"/>
    <numFmt numFmtId="164" formatCode="#,##0.0_);\(#,##0.0\)"/>
    <numFmt numFmtId="166" formatCode="&quot;$&quot;#,##0.0000_);\(&quot;$&quot;#,##0.0000\)"/>
    <numFmt numFmtId="167" formatCode="#,##0.00000_);\(#,##0.00000\)"/>
    <numFmt numFmtId="168" formatCode="0.0%"/>
  </numFmts>
  <fonts count="5" x14ac:knownFonts="1">
    <font>
      <sz val="10"/>
      <name val="Arial"/>
    </font>
    <font>
      <b/>
      <u/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b/>
      <u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37" fontId="0" fillId="0" borderId="0" xfId="0" applyNumberFormat="1"/>
    <xf numFmtId="164" fontId="0" fillId="0" borderId="0" xfId="0" applyNumberFormat="1"/>
    <xf numFmtId="5" fontId="0" fillId="0" borderId="0" xfId="0" applyNumberFormat="1"/>
    <xf numFmtId="37" fontId="0" fillId="2" borderId="0" xfId="0" applyNumberFormat="1" applyFill="1"/>
    <xf numFmtId="164" fontId="0" fillId="2" borderId="0" xfId="0" applyNumberFormat="1" applyFill="1"/>
    <xf numFmtId="5" fontId="0" fillId="2" borderId="0" xfId="0" applyNumberFormat="1" applyFill="1"/>
    <xf numFmtId="0" fontId="2" fillId="0" borderId="0" xfId="0" applyFont="1"/>
    <xf numFmtId="37" fontId="2" fillId="2" borderId="0" xfId="0" applyNumberFormat="1" applyFont="1" applyFill="1"/>
    <xf numFmtId="166" fontId="2" fillId="2" borderId="0" xfId="0" applyNumberFormat="1" applyFont="1" applyFill="1"/>
    <xf numFmtId="167" fontId="0" fillId="2" borderId="0" xfId="0" applyNumberFormat="1" applyFill="1"/>
    <xf numFmtId="167" fontId="0" fillId="0" borderId="0" xfId="0" applyNumberFormat="1" applyFill="1"/>
    <xf numFmtId="5" fontId="3" fillId="2" borderId="0" xfId="0" applyNumberFormat="1" applyFont="1" applyFill="1"/>
    <xf numFmtId="168" fontId="0" fillId="0" borderId="0" xfId="0" applyNumberFormat="1"/>
    <xf numFmtId="0" fontId="4" fillId="0" borderId="0" xfId="0" applyFont="1" applyAlignment="1">
      <alignment horizontal="center"/>
    </xf>
    <xf numFmtId="5" fontId="2" fillId="0" borderId="0" xfId="0" applyNumberFormat="1" applyFont="1" applyFill="1"/>
    <xf numFmtId="168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89"/>
  <sheetViews>
    <sheetView tabSelected="1" topLeftCell="E1" zoomScale="79" workbookViewId="0">
      <selection activeCell="I2" sqref="I2"/>
    </sheetView>
  </sheetViews>
  <sheetFormatPr defaultRowHeight="13.2" x14ac:dyDescent="0.25"/>
  <cols>
    <col min="1" max="1" width="2.44140625" customWidth="1"/>
    <col min="2" max="2" width="44.109375" customWidth="1"/>
    <col min="3" max="3" width="11.88671875" customWidth="1"/>
    <col min="4" max="4" width="1.88671875" customWidth="1"/>
    <col min="5" max="5" width="44" customWidth="1"/>
    <col min="6" max="6" width="11.6640625" customWidth="1"/>
    <col min="7" max="7" width="2" customWidth="1"/>
    <col min="8" max="8" width="44.109375" customWidth="1"/>
    <col min="9" max="9" width="11.6640625" customWidth="1"/>
    <col min="10" max="10" width="2.6640625" customWidth="1"/>
    <col min="11" max="11" width="43.88671875" customWidth="1"/>
    <col min="12" max="12" width="11.6640625" customWidth="1"/>
    <col min="13" max="13" width="2.5546875" customWidth="1"/>
  </cols>
  <sheetData>
    <row r="1" spans="2:12" ht="17.399999999999999" x14ac:dyDescent="0.3">
      <c r="F1" s="15" t="s">
        <v>3</v>
      </c>
    </row>
    <row r="3" spans="2:12" x14ac:dyDescent="0.25">
      <c r="B3" s="1" t="s">
        <v>0</v>
      </c>
      <c r="E3" s="1" t="s">
        <v>1</v>
      </c>
      <c r="F3" s="2"/>
      <c r="H3" s="1" t="s">
        <v>2</v>
      </c>
      <c r="I3" s="2"/>
    </row>
    <row r="4" spans="2:12" x14ac:dyDescent="0.25">
      <c r="B4" s="8" t="s">
        <v>4</v>
      </c>
      <c r="C4" s="9">
        <f>242765+157370+4844</f>
        <v>404979</v>
      </c>
      <c r="E4" s="8" t="s">
        <v>4</v>
      </c>
      <c r="F4" s="9">
        <v>242765</v>
      </c>
      <c r="H4" s="8" t="s">
        <v>4</v>
      </c>
      <c r="I4" s="9">
        <v>157370</v>
      </c>
    </row>
    <row r="5" spans="2:12" x14ac:dyDescent="0.25">
      <c r="B5" s="8" t="s">
        <v>24</v>
      </c>
      <c r="C5" s="10">
        <v>-2.5000000000000001E-2</v>
      </c>
      <c r="E5" s="8" t="s">
        <v>24</v>
      </c>
      <c r="F5" s="10">
        <v>0.04</v>
      </c>
      <c r="H5" s="8" t="s">
        <v>24</v>
      </c>
      <c r="I5" s="10">
        <v>0.02</v>
      </c>
    </row>
    <row r="6" spans="2:12" x14ac:dyDescent="0.25">
      <c r="B6" s="8"/>
      <c r="E6" s="8" t="s">
        <v>25</v>
      </c>
      <c r="F6" s="16">
        <f>(F5-$C5)*F4*(2204.623/F54)</f>
        <v>8239086.3222661447</v>
      </c>
      <c r="H6" s="8" t="s">
        <v>25</v>
      </c>
      <c r="I6" s="16">
        <f>(I5-$C5)*I4*(2204.623/F55)</f>
        <v>3209967.4423289462</v>
      </c>
    </row>
    <row r="7" spans="2:12" x14ac:dyDescent="0.25">
      <c r="B7" s="8"/>
      <c r="E7" s="8"/>
      <c r="H7" s="8"/>
    </row>
    <row r="8" spans="2:12" x14ac:dyDescent="0.25">
      <c r="C8" s="2"/>
      <c r="F8" s="2"/>
      <c r="I8" s="2"/>
    </row>
    <row r="9" spans="2:12" x14ac:dyDescent="0.25">
      <c r="B9" s="8" t="s">
        <v>41</v>
      </c>
      <c r="C9" s="9">
        <v>32000</v>
      </c>
      <c r="E9" s="8" t="s">
        <v>42</v>
      </c>
      <c r="F9" s="9">
        <v>20000</v>
      </c>
      <c r="H9" s="8" t="s">
        <v>43</v>
      </c>
      <c r="I9" s="9">
        <v>10000</v>
      </c>
      <c r="K9" s="8" t="s">
        <v>44</v>
      </c>
      <c r="L9" s="9">
        <v>20000</v>
      </c>
    </row>
    <row r="10" spans="2:12" x14ac:dyDescent="0.25">
      <c r="B10" t="s">
        <v>5</v>
      </c>
      <c r="C10" s="3">
        <f>C$4/C9</f>
        <v>12.65559375</v>
      </c>
      <c r="E10" t="s">
        <v>5</v>
      </c>
      <c r="F10" s="3">
        <f>F$4/F9</f>
        <v>12.138249999999999</v>
      </c>
      <c r="H10" t="s">
        <v>5</v>
      </c>
      <c r="I10" s="3">
        <f>I$4/I9</f>
        <v>15.737</v>
      </c>
      <c r="K10" t="s">
        <v>5</v>
      </c>
      <c r="L10" s="3">
        <f>(F$4+I$4)/L9</f>
        <v>20.00675</v>
      </c>
    </row>
    <row r="11" spans="2:12" x14ac:dyDescent="0.25">
      <c r="B11" t="s">
        <v>9</v>
      </c>
      <c r="C11" s="5">
        <v>1037</v>
      </c>
      <c r="E11" t="s">
        <v>9</v>
      </c>
      <c r="F11" s="5">
        <v>800</v>
      </c>
      <c r="H11" t="s">
        <v>9</v>
      </c>
      <c r="I11" s="5">
        <v>800</v>
      </c>
      <c r="K11" t="s">
        <v>9</v>
      </c>
      <c r="L11" s="5">
        <v>800</v>
      </c>
    </row>
    <row r="12" spans="2:12" x14ac:dyDescent="0.25">
      <c r="B12" t="s">
        <v>12</v>
      </c>
      <c r="C12" s="6">
        <v>15</v>
      </c>
      <c r="E12" t="s">
        <v>12</v>
      </c>
      <c r="F12" s="6">
        <v>15</v>
      </c>
      <c r="H12" t="s">
        <v>12</v>
      </c>
      <c r="I12" s="6">
        <v>15</v>
      </c>
      <c r="K12" t="s">
        <v>12</v>
      </c>
      <c r="L12" s="6">
        <v>15</v>
      </c>
    </row>
    <row r="13" spans="2:12" x14ac:dyDescent="0.25">
      <c r="B13" t="s">
        <v>15</v>
      </c>
      <c r="C13" s="5">
        <v>670</v>
      </c>
      <c r="E13" t="s">
        <v>15</v>
      </c>
      <c r="F13" s="5">
        <v>550</v>
      </c>
      <c r="H13" t="s">
        <v>15</v>
      </c>
      <c r="I13" s="5">
        <v>425</v>
      </c>
      <c r="K13" t="s">
        <v>15</v>
      </c>
      <c r="L13" s="5">
        <v>550</v>
      </c>
    </row>
    <row r="14" spans="2:12" x14ac:dyDescent="0.25">
      <c r="B14" t="s">
        <v>16</v>
      </c>
      <c r="C14" s="5">
        <v>670</v>
      </c>
      <c r="E14" t="s">
        <v>16</v>
      </c>
      <c r="F14" s="5">
        <v>550</v>
      </c>
      <c r="H14" t="s">
        <v>16</v>
      </c>
      <c r="I14" s="5">
        <v>425</v>
      </c>
      <c r="K14" t="s">
        <v>16</v>
      </c>
      <c r="L14" s="5">
        <v>550</v>
      </c>
    </row>
    <row r="15" spans="2:12" x14ac:dyDescent="0.25">
      <c r="B15" t="s">
        <v>8</v>
      </c>
      <c r="C15" s="3">
        <f>C11*2/(C12*24)+C9/(C13*24)+1+C9/(C14*24)+1</f>
        <v>11.741210613598673</v>
      </c>
      <c r="E15" t="s">
        <v>8</v>
      </c>
      <c r="F15" s="3">
        <f>F11*2/(F12*24)+F9/(F13*24)+1+F9/(F14*24)+1</f>
        <v>9.4747474747474758</v>
      </c>
      <c r="H15" t="s">
        <v>8</v>
      </c>
      <c r="I15" s="3">
        <f>I11*2/(I12*24)+I9/(I13*24)+1+I9/(I14*24)+1</f>
        <v>8.405228758169935</v>
      </c>
      <c r="K15" t="s">
        <v>8</v>
      </c>
      <c r="L15" s="3">
        <f>L11*2/(L12*24)+L9/(L13*24)+1+L9/(L14*24)+1</f>
        <v>9.4747474747474758</v>
      </c>
    </row>
    <row r="16" spans="2:12" x14ac:dyDescent="0.25">
      <c r="B16" t="s">
        <v>38</v>
      </c>
      <c r="C16" s="14">
        <f>C15*C10/365</f>
        <v>0.4071013470106658</v>
      </c>
      <c r="E16" t="s">
        <v>38</v>
      </c>
      <c r="F16" s="14">
        <f>F15*F10/365</f>
        <v>0.31508726995987274</v>
      </c>
      <c r="H16" t="s">
        <v>38</v>
      </c>
      <c r="I16" s="14">
        <f>I15*I10/365</f>
        <v>0.36239201360909662</v>
      </c>
      <c r="K16" t="s">
        <v>38</v>
      </c>
      <c r="L16" s="14">
        <f>L15*L10/365</f>
        <v>0.51933946312439472</v>
      </c>
    </row>
    <row r="17" spans="2:12" x14ac:dyDescent="0.25">
      <c r="B17" t="s">
        <v>6</v>
      </c>
      <c r="C17" s="7">
        <v>25000</v>
      </c>
      <c r="E17" t="s">
        <v>6</v>
      </c>
      <c r="F17" s="7">
        <v>20000</v>
      </c>
      <c r="H17" t="s">
        <v>6</v>
      </c>
      <c r="I17" s="7">
        <v>16500</v>
      </c>
      <c r="K17" t="s">
        <v>6</v>
      </c>
      <c r="L17" s="7">
        <v>20000</v>
      </c>
    </row>
    <row r="18" spans="2:12" x14ac:dyDescent="0.25">
      <c r="B18" t="s">
        <v>7</v>
      </c>
      <c r="C18" s="7">
        <v>8000</v>
      </c>
      <c r="E18" t="s">
        <v>7</v>
      </c>
      <c r="F18" s="7">
        <v>6000</v>
      </c>
      <c r="H18" t="s">
        <v>7</v>
      </c>
      <c r="I18" s="7">
        <v>4000</v>
      </c>
      <c r="K18" t="s">
        <v>7</v>
      </c>
      <c r="L18" s="7">
        <v>6000</v>
      </c>
    </row>
    <row r="19" spans="2:12" x14ac:dyDescent="0.25">
      <c r="B19" t="s">
        <v>45</v>
      </c>
      <c r="C19" s="7">
        <v>80000</v>
      </c>
      <c r="E19" t="s">
        <v>45</v>
      </c>
      <c r="F19" s="7">
        <v>80000</v>
      </c>
      <c r="H19" t="s">
        <v>45</v>
      </c>
      <c r="I19" s="7">
        <v>80000</v>
      </c>
      <c r="K19" t="s">
        <v>45</v>
      </c>
      <c r="L19" s="7">
        <v>80000</v>
      </c>
    </row>
    <row r="20" spans="2:12" x14ac:dyDescent="0.25">
      <c r="B20" t="s">
        <v>10</v>
      </c>
      <c r="C20" s="7">
        <v>8000</v>
      </c>
      <c r="E20" t="s">
        <v>10</v>
      </c>
      <c r="F20" s="7">
        <v>8000</v>
      </c>
      <c r="H20" t="s">
        <v>10</v>
      </c>
      <c r="I20" s="7">
        <v>8000</v>
      </c>
      <c r="K20" t="s">
        <v>10</v>
      </c>
      <c r="L20" s="7">
        <v>8000</v>
      </c>
    </row>
    <row r="21" spans="2:12" x14ac:dyDescent="0.25">
      <c r="B21" t="s">
        <v>11</v>
      </c>
      <c r="C21" s="7">
        <v>50000</v>
      </c>
      <c r="E21" t="s">
        <v>11</v>
      </c>
      <c r="F21" s="7">
        <v>50000</v>
      </c>
      <c r="H21" t="s">
        <v>11</v>
      </c>
      <c r="I21" s="7">
        <v>50000</v>
      </c>
      <c r="K21" t="s">
        <v>11</v>
      </c>
      <c r="L21" s="7">
        <v>50000</v>
      </c>
    </row>
    <row r="22" spans="2:12" x14ac:dyDescent="0.25">
      <c r="B22" t="s">
        <v>13</v>
      </c>
      <c r="C22" s="4">
        <f>C15*(C17+C18)+SUM(C19:C21)</f>
        <v>525459.95024875621</v>
      </c>
      <c r="E22" t="s">
        <v>13</v>
      </c>
      <c r="F22" s="4">
        <f>F15*(F17+F18)+SUM(F19:F21)</f>
        <v>384343.4343434344</v>
      </c>
      <c r="H22" t="s">
        <v>13</v>
      </c>
      <c r="I22" s="4">
        <f>I15*(I17+I18)+SUM(I19:I21)</f>
        <v>310307.18954248365</v>
      </c>
      <c r="K22" t="s">
        <v>13</v>
      </c>
      <c r="L22" s="4">
        <f>L15*(L17+L18)+SUM(L19:L21)</f>
        <v>384343.4343434344</v>
      </c>
    </row>
    <row r="23" spans="2:12" x14ac:dyDescent="0.25">
      <c r="C23" s="3"/>
      <c r="F23" s="3"/>
      <c r="I23" s="3"/>
      <c r="L23" s="3"/>
    </row>
    <row r="24" spans="2:12" x14ac:dyDescent="0.25">
      <c r="B24" t="s">
        <v>14</v>
      </c>
      <c r="C24" s="4">
        <f>C22*C10</f>
        <v>6650007.6622434696</v>
      </c>
      <c r="E24" t="s">
        <v>14</v>
      </c>
      <c r="F24" s="4">
        <f>F22*F10</f>
        <v>4665256.6919191927</v>
      </c>
      <c r="H24" t="s">
        <v>14</v>
      </c>
      <c r="I24" s="4">
        <f>I22*I10</f>
        <v>4883304.2418300649</v>
      </c>
      <c r="K24" t="s">
        <v>14</v>
      </c>
      <c r="L24" s="4">
        <f>L22*L10</f>
        <v>7689463.0050505064</v>
      </c>
    </row>
    <row r="25" spans="2:12" x14ac:dyDescent="0.25">
      <c r="B25" t="s">
        <v>39</v>
      </c>
      <c r="C25" s="7">
        <f>365*(1-C16)*C17*0</f>
        <v>0</v>
      </c>
      <c r="E25" t="s">
        <v>39</v>
      </c>
      <c r="F25" s="7">
        <f>365*(1-F16)*F17*0</f>
        <v>0</v>
      </c>
      <c r="H25" t="s">
        <v>39</v>
      </c>
      <c r="I25" s="7">
        <f>365*(1-I16)*I17*0</f>
        <v>0</v>
      </c>
      <c r="K25" t="s">
        <v>39</v>
      </c>
      <c r="L25" s="7">
        <f>365*(1-L16)*L17*0</f>
        <v>0</v>
      </c>
    </row>
    <row r="26" spans="2:12" x14ac:dyDescent="0.25">
      <c r="B26" t="s">
        <v>40</v>
      </c>
      <c r="C26" s="4">
        <f>C24+C25</f>
        <v>6650007.6622434696</v>
      </c>
      <c r="E26" t="s">
        <v>40</v>
      </c>
      <c r="F26" s="4">
        <f>F24+F25</f>
        <v>4665256.6919191927</v>
      </c>
      <c r="H26" t="s">
        <v>40</v>
      </c>
      <c r="I26" s="4">
        <f>I24+I25</f>
        <v>4883304.2418300649</v>
      </c>
      <c r="K26" t="s">
        <v>40</v>
      </c>
      <c r="L26" s="4">
        <f>L24+L25</f>
        <v>7689463.0050505064</v>
      </c>
    </row>
    <row r="27" spans="2:12" x14ac:dyDescent="0.25">
      <c r="C27" s="4"/>
      <c r="I27" s="3"/>
    </row>
    <row r="28" spans="2:12" x14ac:dyDescent="0.25">
      <c r="C28" s="4"/>
      <c r="I28" s="3"/>
    </row>
    <row r="29" spans="2:12" x14ac:dyDescent="0.25">
      <c r="B29" s="8" t="s">
        <v>41</v>
      </c>
      <c r="C29" s="9">
        <v>20000</v>
      </c>
      <c r="E29" s="8" t="s">
        <v>42</v>
      </c>
      <c r="F29" s="9">
        <v>10000</v>
      </c>
      <c r="H29" s="8" t="s">
        <v>43</v>
      </c>
      <c r="I29" s="9">
        <v>5000</v>
      </c>
      <c r="K29" s="8" t="s">
        <v>44</v>
      </c>
      <c r="L29" s="9">
        <v>10000</v>
      </c>
    </row>
    <row r="30" spans="2:12" x14ac:dyDescent="0.25">
      <c r="B30" t="s">
        <v>5</v>
      </c>
      <c r="C30" s="3">
        <f>C$4/C29</f>
        <v>20.248950000000001</v>
      </c>
      <c r="E30" t="s">
        <v>5</v>
      </c>
      <c r="F30" s="3">
        <f>F$4/F29</f>
        <v>24.276499999999999</v>
      </c>
      <c r="H30" t="s">
        <v>5</v>
      </c>
      <c r="I30" s="3">
        <f>I$4/I29</f>
        <v>31.474</v>
      </c>
      <c r="K30" t="s">
        <v>5</v>
      </c>
      <c r="L30" s="3">
        <f>(F$4+I$4)/L29</f>
        <v>40.013500000000001</v>
      </c>
    </row>
    <row r="31" spans="2:12" x14ac:dyDescent="0.25">
      <c r="B31" t="s">
        <v>9</v>
      </c>
      <c r="C31" s="5">
        <v>1037</v>
      </c>
      <c r="E31" t="s">
        <v>9</v>
      </c>
      <c r="F31" s="5">
        <v>800</v>
      </c>
      <c r="H31" t="s">
        <v>9</v>
      </c>
      <c r="I31" s="5">
        <v>800</v>
      </c>
      <c r="K31" t="s">
        <v>9</v>
      </c>
      <c r="L31" s="5">
        <v>800</v>
      </c>
    </row>
    <row r="32" spans="2:12" x14ac:dyDescent="0.25">
      <c r="B32" t="s">
        <v>12</v>
      </c>
      <c r="C32" s="6">
        <v>15</v>
      </c>
      <c r="E32" t="s">
        <v>12</v>
      </c>
      <c r="F32" s="6">
        <v>15</v>
      </c>
      <c r="H32" t="s">
        <v>12</v>
      </c>
      <c r="I32" s="6">
        <v>15</v>
      </c>
      <c r="K32" t="s">
        <v>12</v>
      </c>
      <c r="L32" s="6">
        <v>15</v>
      </c>
    </row>
    <row r="33" spans="2:12" x14ac:dyDescent="0.25">
      <c r="B33" t="s">
        <v>15</v>
      </c>
      <c r="C33" s="5">
        <v>550</v>
      </c>
      <c r="E33" t="s">
        <v>15</v>
      </c>
      <c r="F33" s="5">
        <v>425</v>
      </c>
      <c r="H33" t="s">
        <v>15</v>
      </c>
      <c r="I33" s="5">
        <v>350</v>
      </c>
      <c r="K33" t="s">
        <v>15</v>
      </c>
      <c r="L33" s="5">
        <v>425</v>
      </c>
    </row>
    <row r="34" spans="2:12" x14ac:dyDescent="0.25">
      <c r="B34" t="s">
        <v>16</v>
      </c>
      <c r="C34" s="5">
        <v>550</v>
      </c>
      <c r="E34" t="s">
        <v>16</v>
      </c>
      <c r="F34" s="5">
        <v>425</v>
      </c>
      <c r="H34" t="s">
        <v>16</v>
      </c>
      <c r="I34" s="5">
        <v>350</v>
      </c>
      <c r="K34" t="s">
        <v>16</v>
      </c>
      <c r="L34" s="5">
        <v>425</v>
      </c>
    </row>
    <row r="35" spans="2:12" x14ac:dyDescent="0.25">
      <c r="B35" t="s">
        <v>8</v>
      </c>
      <c r="C35" s="3">
        <f>C31*2/(C32*24)+C29/(C33*24)+1+C29/(C34*24)+1</f>
        <v>10.791414141414142</v>
      </c>
      <c r="E35" t="s">
        <v>8</v>
      </c>
      <c r="F35" s="3">
        <f>F31*2/(F32*24)+F29/(F33*24)+1+F29/(F34*24)+1</f>
        <v>8.405228758169935</v>
      </c>
      <c r="H35" t="s">
        <v>8</v>
      </c>
      <c r="I35" s="3">
        <f>I31*2/(I32*24)+I29/(I33*24)+1+I29/(I34*24)+1</f>
        <v>7.6349206349206344</v>
      </c>
      <c r="K35" t="s">
        <v>8</v>
      </c>
      <c r="L35" s="3">
        <f>L31*2/(L32*24)+L29/(L33*24)+1+L29/(L34*24)+1</f>
        <v>8.405228758169935</v>
      </c>
    </row>
    <row r="36" spans="2:12" x14ac:dyDescent="0.25">
      <c r="B36" t="s">
        <v>38</v>
      </c>
      <c r="C36" s="14">
        <f>C35*C30/365</f>
        <v>0.59867069966791209</v>
      </c>
      <c r="E36" t="s">
        <v>38</v>
      </c>
      <c r="F36" s="14">
        <f>F35*F30/365</f>
        <v>0.55903982451428058</v>
      </c>
      <c r="H36" t="s">
        <v>38</v>
      </c>
      <c r="I36" s="14">
        <f>I35*I30/365</f>
        <v>0.65836025222874539</v>
      </c>
      <c r="K36" t="s">
        <v>38</v>
      </c>
      <c r="L36" s="14">
        <f>L35*L30/365</f>
        <v>0.92143183812337726</v>
      </c>
    </row>
    <row r="37" spans="2:12" x14ac:dyDescent="0.25">
      <c r="B37" t="s">
        <v>6</v>
      </c>
      <c r="C37" s="7">
        <v>20000</v>
      </c>
      <c r="E37" t="s">
        <v>6</v>
      </c>
      <c r="F37" s="7">
        <v>16500</v>
      </c>
      <c r="H37" t="s">
        <v>6</v>
      </c>
      <c r="I37" s="7">
        <v>12000</v>
      </c>
      <c r="K37" t="s">
        <v>6</v>
      </c>
      <c r="L37" s="7">
        <v>16500</v>
      </c>
    </row>
    <row r="38" spans="2:12" x14ac:dyDescent="0.25">
      <c r="B38" t="s">
        <v>7</v>
      </c>
      <c r="C38" s="7">
        <v>6000</v>
      </c>
      <c r="E38" t="s">
        <v>7</v>
      </c>
      <c r="F38" s="7">
        <v>4000</v>
      </c>
      <c r="H38" t="s">
        <v>7</v>
      </c>
      <c r="I38" s="7">
        <v>2500</v>
      </c>
      <c r="K38" t="s">
        <v>7</v>
      </c>
      <c r="L38" s="7">
        <v>4000</v>
      </c>
    </row>
    <row r="39" spans="2:12" x14ac:dyDescent="0.25">
      <c r="B39" t="s">
        <v>45</v>
      </c>
      <c r="C39" s="7">
        <v>80000</v>
      </c>
      <c r="E39" t="s">
        <v>45</v>
      </c>
      <c r="F39" s="7">
        <v>80000</v>
      </c>
      <c r="H39" t="s">
        <v>45</v>
      </c>
      <c r="I39" s="7">
        <v>80000</v>
      </c>
      <c r="K39" t="s">
        <v>45</v>
      </c>
      <c r="L39" s="7">
        <v>80000</v>
      </c>
    </row>
    <row r="40" spans="2:12" x14ac:dyDescent="0.25">
      <c r="B40" t="s">
        <v>10</v>
      </c>
      <c r="C40" s="7">
        <v>8000</v>
      </c>
      <c r="E40" t="s">
        <v>10</v>
      </c>
      <c r="F40" s="7">
        <v>8000</v>
      </c>
      <c r="H40" t="s">
        <v>10</v>
      </c>
      <c r="I40" s="7">
        <v>8000</v>
      </c>
      <c r="K40" t="s">
        <v>10</v>
      </c>
      <c r="L40" s="7">
        <v>8000</v>
      </c>
    </row>
    <row r="41" spans="2:12" x14ac:dyDescent="0.25">
      <c r="B41" t="s">
        <v>11</v>
      </c>
      <c r="C41" s="7">
        <v>50000</v>
      </c>
      <c r="E41" t="s">
        <v>11</v>
      </c>
      <c r="F41" s="7">
        <v>50000</v>
      </c>
      <c r="H41" t="s">
        <v>11</v>
      </c>
      <c r="I41" s="7">
        <v>50000</v>
      </c>
      <c r="K41" t="s">
        <v>11</v>
      </c>
      <c r="L41" s="7">
        <v>50000</v>
      </c>
    </row>
    <row r="42" spans="2:12" x14ac:dyDescent="0.25">
      <c r="B42" t="s">
        <v>13</v>
      </c>
      <c r="C42" s="4">
        <f>C35*(C37+C38)+SUM(C39:C41)</f>
        <v>418576.76767676772</v>
      </c>
      <c r="E42" t="s">
        <v>13</v>
      </c>
      <c r="F42" s="4">
        <f>F35*(F37+F38)+SUM(F39:F41)</f>
        <v>310307.18954248365</v>
      </c>
      <c r="H42" t="s">
        <v>13</v>
      </c>
      <c r="I42" s="4">
        <f>I35*(I37+I38)+SUM(I39:I41)</f>
        <v>248706.3492063492</v>
      </c>
      <c r="K42" t="s">
        <v>13</v>
      </c>
      <c r="L42" s="4">
        <f>L35*(L37+L38)+SUM(L39:L41)</f>
        <v>310307.18954248365</v>
      </c>
    </row>
    <row r="43" spans="2:12" x14ac:dyDescent="0.25">
      <c r="C43" s="3"/>
      <c r="F43" s="3"/>
      <c r="I43" s="3"/>
      <c r="L43" s="3"/>
    </row>
    <row r="44" spans="2:12" x14ac:dyDescent="0.25">
      <c r="B44" t="s">
        <v>14</v>
      </c>
      <c r="C44" s="4">
        <f>C42*C30</f>
        <v>8475740.039848486</v>
      </c>
      <c r="E44" t="s">
        <v>14</v>
      </c>
      <c r="F44" s="4">
        <f>F42*F30</f>
        <v>7533172.4869281044</v>
      </c>
      <c r="H44" t="s">
        <v>14</v>
      </c>
      <c r="I44" s="4">
        <f>I42*I30</f>
        <v>7827783.6349206353</v>
      </c>
      <c r="K44" t="s">
        <v>14</v>
      </c>
      <c r="L44" s="4">
        <f>L42*L30</f>
        <v>12416476.728758169</v>
      </c>
    </row>
    <row r="45" spans="2:12" x14ac:dyDescent="0.25">
      <c r="B45" t="s">
        <v>39</v>
      </c>
      <c r="C45" s="7">
        <f>365*(1-C36)*C37*0</f>
        <v>0</v>
      </c>
      <c r="E45" t="s">
        <v>39</v>
      </c>
      <c r="F45" s="7">
        <f>365*(1-F36)*F37*0</f>
        <v>0</v>
      </c>
      <c r="H45" t="s">
        <v>39</v>
      </c>
      <c r="I45" s="7">
        <f>365*(1-I36)*I37*0</f>
        <v>0</v>
      </c>
      <c r="K45" t="s">
        <v>39</v>
      </c>
      <c r="L45" s="7">
        <f>365*(1-L36)*L37*0</f>
        <v>0</v>
      </c>
    </row>
    <row r="46" spans="2:12" x14ac:dyDescent="0.25">
      <c r="B46" t="s">
        <v>40</v>
      </c>
      <c r="C46" s="4">
        <f>C44+C45</f>
        <v>8475740.039848486</v>
      </c>
      <c r="E46" t="s">
        <v>40</v>
      </c>
      <c r="F46" s="4">
        <f>F44+F45</f>
        <v>7533172.4869281044</v>
      </c>
      <c r="H46" t="s">
        <v>40</v>
      </c>
      <c r="I46" s="4">
        <f>I44+I45</f>
        <v>7827783.6349206353</v>
      </c>
      <c r="K46" t="s">
        <v>40</v>
      </c>
      <c r="L46" s="4">
        <f>L44+L45</f>
        <v>12416476.728758169</v>
      </c>
    </row>
    <row r="49" spans="2:9" x14ac:dyDescent="0.25">
      <c r="B49" t="s">
        <v>17</v>
      </c>
      <c r="E49" t="s">
        <v>26</v>
      </c>
      <c r="H49" t="s">
        <v>37</v>
      </c>
    </row>
    <row r="50" spans="2:9" x14ac:dyDescent="0.25">
      <c r="B50" t="s">
        <v>18</v>
      </c>
      <c r="C50" s="5">
        <v>1037</v>
      </c>
      <c r="E50" t="s">
        <v>27</v>
      </c>
      <c r="F50" s="11">
        <v>0.50699000000000005</v>
      </c>
      <c r="H50" t="s">
        <v>32</v>
      </c>
      <c r="I50" s="4">
        <f>F6+I6</f>
        <v>11449053.764595091</v>
      </c>
    </row>
    <row r="51" spans="2:9" x14ac:dyDescent="0.25">
      <c r="B51" t="s">
        <v>19</v>
      </c>
      <c r="C51" s="5">
        <v>528</v>
      </c>
      <c r="E51" t="s">
        <v>28</v>
      </c>
      <c r="F51" s="11">
        <v>0.58399999999999996</v>
      </c>
      <c r="H51" t="s">
        <v>33</v>
      </c>
      <c r="I51" s="7">
        <v>-2000000</v>
      </c>
    </row>
    <row r="52" spans="2:9" x14ac:dyDescent="0.25">
      <c r="B52" t="s">
        <v>20</v>
      </c>
      <c r="C52" s="5">
        <v>716</v>
      </c>
      <c r="H52" t="s">
        <v>34</v>
      </c>
      <c r="I52" s="13">
        <f>-(L26-C26)</f>
        <v>-1039455.3428070368</v>
      </c>
    </row>
    <row r="53" spans="2:9" x14ac:dyDescent="0.25">
      <c r="B53" t="s">
        <v>21</v>
      </c>
      <c r="C53" s="5">
        <v>1160</v>
      </c>
      <c r="E53" t="s">
        <v>29</v>
      </c>
      <c r="F53" s="11">
        <v>8.3282799999999995</v>
      </c>
      <c r="H53" t="s">
        <v>35</v>
      </c>
      <c r="I53" s="4">
        <f>SUM(I50:I52)</f>
        <v>8409598.4217880554</v>
      </c>
    </row>
    <row r="54" spans="2:9" x14ac:dyDescent="0.25">
      <c r="B54" t="s">
        <v>22</v>
      </c>
      <c r="C54" s="5">
        <v>874</v>
      </c>
      <c r="E54" t="s">
        <v>30</v>
      </c>
      <c r="F54" s="12">
        <f>F$53*F50</f>
        <v>4.2223546772000002</v>
      </c>
      <c r="I54" s="4"/>
    </row>
    <row r="55" spans="2:9" x14ac:dyDescent="0.25">
      <c r="B55" t="s">
        <v>23</v>
      </c>
      <c r="C55" s="5">
        <v>898</v>
      </c>
      <c r="E55" t="s">
        <v>31</v>
      </c>
      <c r="F55" s="12">
        <f>F$53*F51</f>
        <v>4.8637155199999995</v>
      </c>
      <c r="H55" t="s">
        <v>36</v>
      </c>
      <c r="I55" s="7">
        <v>12000000</v>
      </c>
    </row>
    <row r="56" spans="2:9" x14ac:dyDescent="0.25">
      <c r="C56" s="2"/>
    </row>
    <row r="57" spans="2:9" x14ac:dyDescent="0.25">
      <c r="C57" s="2"/>
      <c r="H57" t="s">
        <v>46</v>
      </c>
      <c r="I57" s="17">
        <f>IRR(I69:I89,0.2)</f>
        <v>0.70078278340328193</v>
      </c>
    </row>
    <row r="68" spans="9:9" x14ac:dyDescent="0.25">
      <c r="I68" s="18" t="s">
        <v>47</v>
      </c>
    </row>
    <row r="69" spans="9:9" x14ac:dyDescent="0.25">
      <c r="I69" s="4">
        <f>-I55</f>
        <v>-12000000</v>
      </c>
    </row>
    <row r="70" spans="9:9" x14ac:dyDescent="0.25">
      <c r="I70" s="4">
        <f>$I$53</f>
        <v>8409598.4217880554</v>
      </c>
    </row>
    <row r="71" spans="9:9" x14ac:dyDescent="0.25">
      <c r="I71" s="4">
        <f t="shared" ref="I71:I89" si="0">$I$53</f>
        <v>8409598.4217880554</v>
      </c>
    </row>
    <row r="72" spans="9:9" x14ac:dyDescent="0.25">
      <c r="I72" s="4">
        <f t="shared" si="0"/>
        <v>8409598.4217880554</v>
      </c>
    </row>
    <row r="73" spans="9:9" x14ac:dyDescent="0.25">
      <c r="I73" s="4">
        <f t="shared" si="0"/>
        <v>8409598.4217880554</v>
      </c>
    </row>
    <row r="74" spans="9:9" x14ac:dyDescent="0.25">
      <c r="I74" s="4">
        <f t="shared" si="0"/>
        <v>8409598.4217880554</v>
      </c>
    </row>
    <row r="75" spans="9:9" x14ac:dyDescent="0.25">
      <c r="I75" s="4">
        <f t="shared" si="0"/>
        <v>8409598.4217880554</v>
      </c>
    </row>
    <row r="76" spans="9:9" x14ac:dyDescent="0.25">
      <c r="I76" s="4">
        <f t="shared" si="0"/>
        <v>8409598.4217880554</v>
      </c>
    </row>
    <row r="77" spans="9:9" x14ac:dyDescent="0.25">
      <c r="I77" s="4">
        <f t="shared" si="0"/>
        <v>8409598.4217880554</v>
      </c>
    </row>
    <row r="78" spans="9:9" x14ac:dyDescent="0.25">
      <c r="I78" s="4">
        <f t="shared" si="0"/>
        <v>8409598.4217880554</v>
      </c>
    </row>
    <row r="79" spans="9:9" x14ac:dyDescent="0.25">
      <c r="I79" s="4">
        <f t="shared" si="0"/>
        <v>8409598.4217880554</v>
      </c>
    </row>
    <row r="80" spans="9:9" x14ac:dyDescent="0.25">
      <c r="I80" s="4">
        <f t="shared" si="0"/>
        <v>8409598.4217880554</v>
      </c>
    </row>
    <row r="81" spans="9:9" x14ac:dyDescent="0.25">
      <c r="I81" s="4">
        <f t="shared" si="0"/>
        <v>8409598.4217880554</v>
      </c>
    </row>
    <row r="82" spans="9:9" x14ac:dyDescent="0.25">
      <c r="I82" s="4">
        <f t="shared" si="0"/>
        <v>8409598.4217880554</v>
      </c>
    </row>
    <row r="83" spans="9:9" x14ac:dyDescent="0.25">
      <c r="I83" s="4">
        <f t="shared" si="0"/>
        <v>8409598.4217880554</v>
      </c>
    </row>
    <row r="84" spans="9:9" x14ac:dyDescent="0.25">
      <c r="I84" s="4">
        <f t="shared" si="0"/>
        <v>8409598.4217880554</v>
      </c>
    </row>
    <row r="85" spans="9:9" x14ac:dyDescent="0.25">
      <c r="I85" s="4">
        <f t="shared" si="0"/>
        <v>8409598.4217880554</v>
      </c>
    </row>
    <row r="86" spans="9:9" x14ac:dyDescent="0.25">
      <c r="I86" s="4">
        <f t="shared" si="0"/>
        <v>8409598.4217880554</v>
      </c>
    </row>
    <row r="87" spans="9:9" x14ac:dyDescent="0.25">
      <c r="I87" s="4">
        <f t="shared" si="0"/>
        <v>8409598.4217880554</v>
      </c>
    </row>
    <row r="88" spans="9:9" x14ac:dyDescent="0.25">
      <c r="I88" s="4">
        <f t="shared" si="0"/>
        <v>8409598.4217880554</v>
      </c>
    </row>
    <row r="89" spans="9:9" x14ac:dyDescent="0.25">
      <c r="I89" s="4">
        <f t="shared" si="0"/>
        <v>8409598.4217880554</v>
      </c>
    </row>
  </sheetData>
  <phoneticPr fontId="0" type="noConversion"/>
  <pageMargins left="0.25" right="0.25" top="0.5" bottom="0.5" header="0.5" footer="0.5"/>
  <pageSetup scale="5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pybarbo</dc:creator>
  <cp:lastModifiedBy>Havlíček Jan</cp:lastModifiedBy>
  <cp:lastPrinted>2001-08-08T18:59:18Z</cp:lastPrinted>
  <dcterms:created xsi:type="dcterms:W3CDTF">2001-08-07T18:35:20Z</dcterms:created>
  <dcterms:modified xsi:type="dcterms:W3CDTF">2023-09-10T15:01:53Z</dcterms:modified>
</cp:coreProperties>
</file>