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4220" windowHeight="8580"/>
  </bookViews>
  <sheets>
    <sheet name="LPG &amp; No. 2 OIL" sheetId="1" r:id="rId1"/>
    <sheet name="LNG 2000" sheetId="4" r:id="rId2"/>
    <sheet name="LNG 2001" sheetId="5" r:id="rId3"/>
    <sheet name="Sheet2" sheetId="2" r:id="rId4"/>
    <sheet name="Sheet3" sheetId="3" r:id="rId5"/>
  </sheets>
  <definedNames>
    <definedName name="_xlnm.Print_Area" localSheetId="1">'LNG 2000'!$A$1:$K$55</definedName>
    <definedName name="_xlnm.Print_Area" localSheetId="2">'LNG 2001'!$A$1:$K$55</definedName>
    <definedName name="_xlnm.Print_Area" localSheetId="0">'LPG &amp; No. 2 OIL'!$A$1:$N$108</definedName>
  </definedNames>
  <calcPr calcId="92512"/>
</workbook>
</file>

<file path=xl/calcChain.xml><?xml version="1.0" encoding="utf-8"?>
<calcChain xmlns="http://schemas.openxmlformats.org/spreadsheetml/2006/main">
  <c r="G9" i="4" l="1"/>
  <c r="G10" i="4"/>
  <c r="G11" i="4"/>
  <c r="G12" i="4"/>
  <c r="G13" i="4"/>
  <c r="G14" i="4"/>
  <c r="G15" i="4"/>
  <c r="G16" i="4"/>
  <c r="G17" i="4"/>
  <c r="G18" i="4"/>
  <c r="G19" i="4"/>
  <c r="G20" i="4"/>
  <c r="D22" i="4"/>
  <c r="E22" i="4"/>
  <c r="F22" i="4"/>
  <c r="G22" i="4"/>
  <c r="E30" i="4"/>
  <c r="G30" i="4"/>
  <c r="E31" i="4"/>
  <c r="I31" i="4"/>
  <c r="E32" i="4"/>
  <c r="I32" i="4"/>
  <c r="E33" i="4"/>
  <c r="I33" i="4"/>
  <c r="E34" i="4"/>
  <c r="I34" i="4"/>
  <c r="E35" i="4"/>
  <c r="I35" i="4"/>
  <c r="I36" i="4"/>
  <c r="I37" i="4"/>
  <c r="I38" i="4"/>
  <c r="I39" i="4"/>
  <c r="I40" i="4"/>
  <c r="D42" i="4"/>
  <c r="F42" i="4"/>
  <c r="I42" i="4"/>
  <c r="I49" i="4"/>
  <c r="D54" i="4"/>
  <c r="E54" i="4"/>
  <c r="F54" i="4"/>
  <c r="G54" i="4"/>
  <c r="H54" i="4"/>
  <c r="I54" i="4"/>
  <c r="G9" i="5"/>
  <c r="G10" i="5"/>
  <c r="G11" i="5"/>
  <c r="G12" i="5"/>
  <c r="G13" i="5"/>
  <c r="G14" i="5"/>
  <c r="G15" i="5"/>
  <c r="G16" i="5"/>
  <c r="G17" i="5"/>
  <c r="G18" i="5"/>
  <c r="G19" i="5"/>
  <c r="G20" i="5"/>
  <c r="D22" i="5"/>
  <c r="E22" i="5"/>
  <c r="F22" i="5"/>
  <c r="G22" i="5"/>
  <c r="E30" i="5"/>
  <c r="I30" i="5"/>
  <c r="E31" i="5"/>
  <c r="I31" i="5"/>
  <c r="E32" i="5"/>
  <c r="I32" i="5"/>
  <c r="E33" i="5"/>
  <c r="I33" i="5"/>
  <c r="E34" i="5"/>
  <c r="I34" i="5"/>
  <c r="E35" i="5"/>
  <c r="I35" i="5"/>
  <c r="I36" i="5"/>
  <c r="I37" i="5"/>
  <c r="I38" i="5"/>
  <c r="I39" i="5"/>
  <c r="I40" i="5"/>
  <c r="D42" i="5"/>
  <c r="F42" i="5"/>
  <c r="I42" i="5"/>
  <c r="I49" i="5"/>
  <c r="D54" i="5"/>
  <c r="E54" i="5"/>
  <c r="F54" i="5"/>
  <c r="G54" i="5"/>
  <c r="H54" i="5"/>
  <c r="I54" i="5"/>
  <c r="E9" i="1"/>
  <c r="H9" i="1"/>
  <c r="I9" i="1"/>
  <c r="L9" i="1"/>
  <c r="D10" i="1"/>
  <c r="E10" i="1"/>
  <c r="H10" i="1"/>
  <c r="L10" i="1"/>
  <c r="E11" i="1"/>
  <c r="H11" i="1"/>
  <c r="L11" i="1"/>
  <c r="E12" i="1"/>
  <c r="H12" i="1"/>
  <c r="L12" i="1"/>
  <c r="E13" i="1"/>
  <c r="H13" i="1"/>
  <c r="L13" i="1"/>
  <c r="E14" i="1"/>
  <c r="H14" i="1"/>
  <c r="L14" i="1"/>
  <c r="E15" i="1"/>
  <c r="H15" i="1"/>
  <c r="L15" i="1"/>
  <c r="E16" i="1"/>
  <c r="H16" i="1"/>
  <c r="L16" i="1"/>
  <c r="D18" i="1"/>
  <c r="E18" i="1"/>
  <c r="L18" i="1"/>
  <c r="F28" i="1"/>
  <c r="J28" i="1"/>
  <c r="L28" i="1"/>
  <c r="N28" i="1"/>
  <c r="F29" i="1"/>
  <c r="J29" i="1"/>
  <c r="L29" i="1"/>
  <c r="N29" i="1"/>
  <c r="F30" i="1"/>
  <c r="J30" i="1"/>
  <c r="L30" i="1"/>
  <c r="N30" i="1"/>
  <c r="F31" i="1"/>
  <c r="J31" i="1"/>
  <c r="L31" i="1"/>
  <c r="N31" i="1"/>
  <c r="F32" i="1"/>
  <c r="J32" i="1"/>
  <c r="L32" i="1"/>
  <c r="N32" i="1"/>
  <c r="F33" i="1"/>
  <c r="J33" i="1"/>
  <c r="L33" i="1"/>
  <c r="N33" i="1"/>
  <c r="F34" i="1"/>
  <c r="J34" i="1"/>
  <c r="L34" i="1"/>
  <c r="N34" i="1"/>
  <c r="F35" i="1"/>
  <c r="I35" i="1"/>
  <c r="J35" i="1"/>
  <c r="L35" i="1"/>
  <c r="F36" i="1"/>
  <c r="I36" i="1"/>
  <c r="J36" i="1"/>
  <c r="L36" i="1"/>
  <c r="F37" i="1"/>
  <c r="I37" i="1"/>
  <c r="J37" i="1"/>
  <c r="L37" i="1"/>
  <c r="F38" i="1"/>
  <c r="I38" i="1"/>
  <c r="J38" i="1"/>
  <c r="L38" i="1"/>
  <c r="F39" i="1"/>
  <c r="J39" i="1"/>
  <c r="L39" i="1"/>
  <c r="N39" i="1"/>
  <c r="F40" i="1"/>
  <c r="J40" i="1"/>
  <c r="L40" i="1"/>
  <c r="N40" i="1"/>
  <c r="F41" i="1"/>
  <c r="J41" i="1"/>
  <c r="L41" i="1"/>
  <c r="N41" i="1"/>
  <c r="F42" i="1"/>
  <c r="J42" i="1"/>
  <c r="L42" i="1"/>
  <c r="N42" i="1"/>
  <c r="F43" i="1"/>
  <c r="J43" i="1"/>
  <c r="L43" i="1"/>
  <c r="N43" i="1"/>
  <c r="F44" i="1"/>
  <c r="J44" i="1"/>
  <c r="L44" i="1"/>
  <c r="N44" i="1"/>
  <c r="F45" i="1"/>
  <c r="J45" i="1"/>
  <c r="L45" i="1"/>
  <c r="N45" i="1"/>
  <c r="D47" i="1"/>
  <c r="E47" i="1"/>
  <c r="F47" i="1"/>
  <c r="L47" i="1"/>
  <c r="N47" i="1"/>
  <c r="J51" i="1"/>
  <c r="H56" i="1"/>
  <c r="H57" i="1"/>
  <c r="H58" i="1"/>
  <c r="F59" i="1"/>
  <c r="H59" i="1"/>
  <c r="H60" i="1"/>
  <c r="H61" i="1"/>
  <c r="H62" i="1"/>
  <c r="H63" i="1"/>
  <c r="H64" i="1"/>
  <c r="H65" i="1"/>
  <c r="G66" i="1"/>
  <c r="H66" i="1"/>
  <c r="G67" i="1"/>
  <c r="H67" i="1"/>
  <c r="G68" i="1"/>
  <c r="H68" i="1"/>
  <c r="H69" i="1"/>
  <c r="D71" i="1"/>
  <c r="E71" i="1"/>
  <c r="F71" i="1"/>
  <c r="G71" i="1"/>
  <c r="H71" i="1"/>
  <c r="D77" i="1"/>
  <c r="E77" i="1"/>
  <c r="F77" i="1"/>
  <c r="G77" i="1"/>
  <c r="H77" i="1"/>
  <c r="I77" i="1"/>
  <c r="J77" i="1"/>
  <c r="L77" i="1"/>
  <c r="Q77" i="1"/>
  <c r="D78" i="1"/>
  <c r="E78" i="1"/>
  <c r="F78" i="1"/>
  <c r="H78" i="1"/>
  <c r="I78" i="1"/>
  <c r="J78" i="1"/>
  <c r="L78" i="1"/>
  <c r="D79" i="1"/>
  <c r="E79" i="1"/>
  <c r="F79" i="1"/>
  <c r="H79" i="1"/>
  <c r="I79" i="1"/>
  <c r="J79" i="1"/>
  <c r="L79" i="1"/>
  <c r="D80" i="1"/>
  <c r="F80" i="1"/>
  <c r="I80" i="1"/>
  <c r="J80" i="1"/>
  <c r="L80" i="1"/>
  <c r="D81" i="1"/>
  <c r="F81" i="1"/>
  <c r="I81" i="1"/>
  <c r="J81" i="1"/>
  <c r="L81" i="1"/>
  <c r="L83" i="1"/>
  <c r="F95" i="1"/>
  <c r="C103" i="1"/>
  <c r="C104" i="1"/>
  <c r="C105" i="1"/>
  <c r="C106" i="1"/>
  <c r="C107" i="1"/>
  <c r="C108" i="1"/>
</calcChain>
</file>

<file path=xl/sharedStrings.xml><?xml version="1.0" encoding="utf-8"?>
<sst xmlns="http://schemas.openxmlformats.org/spreadsheetml/2006/main" count="279" uniqueCount="117">
  <si>
    <t>Cargo</t>
  </si>
  <si>
    <t>Delivery</t>
  </si>
  <si>
    <t>Month</t>
  </si>
  <si>
    <t>EcoElectrica</t>
  </si>
  <si>
    <t>ProCaribe</t>
  </si>
  <si>
    <t>Total</t>
  </si>
  <si>
    <t>Pricing Basis</t>
  </si>
  <si>
    <t>(Month)</t>
  </si>
  <si>
    <t>Mont Belvieu</t>
  </si>
  <si>
    <t>Volume (Gallons)</t>
  </si>
  <si>
    <t>($/gal)</t>
  </si>
  <si>
    <t>Premium</t>
  </si>
  <si>
    <t>n.a.</t>
  </si>
  <si>
    <t>Total Price</t>
  </si>
  <si>
    <t>LPG</t>
  </si>
  <si>
    <t>No.2 Fuel Oil</t>
  </si>
  <si>
    <t>Peerless #1</t>
  </si>
  <si>
    <t>(Barrels)</t>
  </si>
  <si>
    <t>Volume</t>
  </si>
  <si>
    <t>(Gallons)</t>
  </si>
  <si>
    <t>Subtotal</t>
  </si>
  <si>
    <t>Platt's LS USGC</t>
  </si>
  <si>
    <t>No.2 Waterborne</t>
  </si>
  <si>
    <t>Other Costs</t>
  </si>
  <si>
    <t>($)</t>
  </si>
  <si>
    <t>Cost</t>
  </si>
  <si>
    <t>EcoElectrica Fuel Cost Summary</t>
  </si>
  <si>
    <t>LPG - Cargo Losses</t>
  </si>
  <si>
    <t>Demurrage</t>
  </si>
  <si>
    <t>EcoElectrica Volume (Gallons)</t>
  </si>
  <si>
    <t>Purchased</t>
  </si>
  <si>
    <t>Sold</t>
  </si>
  <si>
    <t>Retained</t>
  </si>
  <si>
    <t>Eco. Vols.</t>
  </si>
  <si>
    <t>(MT)</t>
  </si>
  <si>
    <t>Amount</t>
  </si>
  <si>
    <t>Remaining</t>
  </si>
  <si>
    <t>Commodity</t>
  </si>
  <si>
    <t>DYN</t>
  </si>
  <si>
    <t>LPG - Minimum Take Penalties</t>
  </si>
  <si>
    <t>Penalty</t>
  </si>
  <si>
    <t>Deficient</t>
  </si>
  <si>
    <t>Gallons</t>
  </si>
  <si>
    <t>per MT</t>
  </si>
  <si>
    <t>Bunkers</t>
  </si>
  <si>
    <t>Port Costs</t>
  </si>
  <si>
    <t>Other</t>
  </si>
  <si>
    <t>LPG - Hedging</t>
  </si>
  <si>
    <t>Hedged</t>
  </si>
  <si>
    <t>Price</t>
  </si>
  <si>
    <t>Current Market</t>
  </si>
  <si>
    <t>Adjustment made on final invoice.</t>
  </si>
  <si>
    <t>Adjustments due Eco:</t>
  </si>
  <si>
    <t>LPG purchased was sold (Spot #1). Hedging gain of $640,349.56.</t>
  </si>
  <si>
    <t>Originally overpaid by $9.80</t>
  </si>
  <si>
    <t>Hedging Gains of $2,008,776.</t>
  </si>
  <si>
    <t>Hedging Gains of $836,808.</t>
  </si>
  <si>
    <t>Hedging Gains of $464,478.</t>
  </si>
  <si>
    <t>Hedging Gains of $648,858.</t>
  </si>
  <si>
    <t>Hedging Gains of $823,410.</t>
  </si>
  <si>
    <t>OP #3 - Jakob Maersk</t>
  </si>
  <si>
    <t>OP #6A - Havis</t>
  </si>
  <si>
    <t>OP #6B - Hesperus</t>
  </si>
  <si>
    <t>OP #7 - Havis</t>
  </si>
  <si>
    <t>OP #8 - Berge Saga</t>
  </si>
  <si>
    <t>ST #1 - Jessie Maersk</t>
  </si>
  <si>
    <t>ST #2 - Henning Maersk</t>
  </si>
  <si>
    <t>OP #1 - Tycho Brahe</t>
  </si>
  <si>
    <t>OP #2 - Yuhsho</t>
  </si>
  <si>
    <t>Dynegy Spot #1 - Polar Gas</t>
  </si>
  <si>
    <t>OP #4 - Havprin</t>
  </si>
  <si>
    <t>OP #5 - Jakob Maersk</t>
  </si>
  <si>
    <t>Duke Spot #1 - Maersk Shetland</t>
  </si>
  <si>
    <t>Duke Spot #2 - Hermion</t>
  </si>
  <si>
    <t>Enron Spot #1 - Helene Maersk</t>
  </si>
  <si>
    <t>Enron Spot #2 - Helene Maersk</t>
  </si>
  <si>
    <t>Enron Spot #3 - Henriette Maersk</t>
  </si>
  <si>
    <t>Coastal #1 - Frances Hammer</t>
  </si>
  <si>
    <t>Coastal #2 - Turmoil</t>
  </si>
  <si>
    <t>Coastal #3 - Aggersborg</t>
  </si>
  <si>
    <t>Coastal #4 - Neptune</t>
  </si>
  <si>
    <t>Coastal #5 - Fandango</t>
  </si>
  <si>
    <t>Coastal #6 - Nordfast</t>
  </si>
  <si>
    <t>Coastal #7 - Uranus</t>
  </si>
  <si>
    <t>OP #10 - Helice</t>
  </si>
  <si>
    <t>OP #9 - Jakob Maersk</t>
  </si>
  <si>
    <t>Price Loss (Gain)</t>
  </si>
  <si>
    <t>Price Gain (Loss)</t>
  </si>
  <si>
    <t>LNG - Other Cargo Expenses</t>
  </si>
  <si>
    <t>Cabot #4</t>
  </si>
  <si>
    <t>LNG - Commodity Charges</t>
  </si>
  <si>
    <t>(Cubic Meters)</t>
  </si>
  <si>
    <t>LNG - Demand Charges, Demand Surcharges, Commodity Surcharges</t>
  </si>
  <si>
    <t>MMBtu/CBM</t>
  </si>
  <si>
    <t>Quantity</t>
  </si>
  <si>
    <t>(MMBtu)</t>
  </si>
  <si>
    <t>Negotiated</t>
  </si>
  <si>
    <t>Deviation</t>
  </si>
  <si>
    <t>Cabot #1 - Matthew</t>
  </si>
  <si>
    <t>Cabot #2 - Methane Artic</t>
  </si>
  <si>
    <t>Cabot #3 - Matthew</t>
  </si>
  <si>
    <t>Cabot #4 - Matthew</t>
  </si>
  <si>
    <t>Cabot #5 - Matthew</t>
  </si>
  <si>
    <t>($/MMBtu)</t>
  </si>
  <si>
    <t>Cabot #6 - Matthew</t>
  </si>
  <si>
    <t>Demand</t>
  </si>
  <si>
    <t>Charge</t>
  </si>
  <si>
    <t>Surcharge</t>
  </si>
  <si>
    <t>As of 1/29/01</t>
  </si>
  <si>
    <t>Cabot #7 - Methane Artic</t>
  </si>
  <si>
    <t>Cabot #8 - Methane Artic</t>
  </si>
  <si>
    <t>Cabot #9 - Matthew</t>
  </si>
  <si>
    <t>Cabot #10 - Matthew</t>
  </si>
  <si>
    <t>Cabot #11 - Matthew</t>
  </si>
  <si>
    <t>Cabot #12 - Matthew</t>
  </si>
  <si>
    <t>Cabot #9</t>
  </si>
  <si>
    <t>As of 8/02/01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</si>
</sst>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164" formatCode="&quot;$&quot;#,##0.00000_);\(&quot;$&quot;#,##0.00000\)"/>
    <numFmt numFmtId="165" formatCode="#,##0.0_);\(#,##0.0\)"/>
    <numFmt numFmtId="166" formatCode="#,##0.000_);\(#,##0.000\)"/>
    <numFmt numFmtId="167" formatCode="0.00000"/>
    <numFmt numFmtId="168" formatCode="&quot;$&quot;#,##0.000000_);\(&quot;$&quot;#,##0.000000\)"/>
  </numFmts>
  <fonts count="6" x14ac:knownFonts="1">
    <font>
      <sz val="10"/>
      <name val="Arial"/>
    </font>
    <font>
      <u/>
      <sz val="10"/>
      <name val="Arial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3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7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7" fontId="0" fillId="0" borderId="0" xfId="0" applyNumberFormat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/>
    <xf numFmtId="37" fontId="0" fillId="0" borderId="0" xfId="0" applyNumberFormat="1"/>
    <xf numFmtId="164" fontId="0" fillId="0" borderId="0" xfId="0" applyNumberFormat="1" applyAlignment="1">
      <alignment horizontal="right"/>
    </xf>
    <xf numFmtId="166" fontId="0" fillId="0" borderId="0" xfId="0" applyNumberFormat="1"/>
    <xf numFmtId="39" fontId="4" fillId="0" borderId="0" xfId="0" applyNumberFormat="1" applyFont="1"/>
    <xf numFmtId="167" fontId="0" fillId="0" borderId="0" xfId="0" applyNumberFormat="1"/>
    <xf numFmtId="15" fontId="0" fillId="0" borderId="0" xfId="0" applyNumberFormat="1" applyAlignment="1">
      <alignment horizontal="center"/>
    </xf>
    <xf numFmtId="168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8"/>
  <sheetViews>
    <sheetView tabSelected="1" topLeftCell="A44" zoomScale="75" workbookViewId="0">
      <selection activeCell="J64" sqref="J64"/>
    </sheetView>
  </sheetViews>
  <sheetFormatPr defaultRowHeight="13.2" x14ac:dyDescent="0.25"/>
  <cols>
    <col min="1" max="1" width="2.44140625" customWidth="1"/>
    <col min="2" max="2" width="28.109375" customWidth="1"/>
    <col min="3" max="3" width="10.5546875" customWidth="1"/>
    <col min="4" max="5" width="13.6640625" customWidth="1"/>
    <col min="6" max="6" width="16.109375" customWidth="1"/>
    <col min="7" max="7" width="14.44140625" customWidth="1"/>
    <col min="8" max="8" width="13.88671875" customWidth="1"/>
    <col min="9" max="9" width="14.44140625" customWidth="1"/>
    <col min="10" max="10" width="14.33203125" customWidth="1"/>
    <col min="11" max="11" width="2.5546875" customWidth="1"/>
    <col min="12" max="12" width="15.33203125" customWidth="1"/>
    <col min="13" max="13" width="4.44140625" customWidth="1"/>
    <col min="14" max="14" width="15.109375" customWidth="1"/>
    <col min="15" max="15" width="4.109375" customWidth="1"/>
    <col min="16" max="16" width="10.44140625" customWidth="1"/>
    <col min="17" max="17" width="13.6640625" bestFit="1" customWidth="1"/>
    <col min="18" max="18" width="10.6640625" bestFit="1" customWidth="1"/>
  </cols>
  <sheetData>
    <row r="2" spans="2:16" ht="17.399999999999999" x14ac:dyDescent="0.3">
      <c r="F2" s="9" t="s">
        <v>26</v>
      </c>
      <c r="J2" s="19" t="s">
        <v>116</v>
      </c>
    </row>
    <row r="4" spans="2:16" ht="15.6" x14ac:dyDescent="0.3">
      <c r="B4" s="6" t="s">
        <v>15</v>
      </c>
      <c r="F4" s="2" t="s">
        <v>6</v>
      </c>
      <c r="L4" s="2" t="s">
        <v>5</v>
      </c>
    </row>
    <row r="5" spans="2:16" x14ac:dyDescent="0.25">
      <c r="B5" s="2"/>
      <c r="C5" s="2"/>
      <c r="D5" s="2"/>
      <c r="E5" s="2"/>
      <c r="F5" s="2" t="s">
        <v>21</v>
      </c>
      <c r="H5" s="2"/>
      <c r="I5" s="2"/>
      <c r="J5" s="2"/>
      <c r="L5" s="2" t="s">
        <v>3</v>
      </c>
    </row>
    <row r="6" spans="2:16" x14ac:dyDescent="0.25">
      <c r="B6" s="2"/>
      <c r="C6" s="2" t="s">
        <v>1</v>
      </c>
      <c r="D6" s="2" t="s">
        <v>18</v>
      </c>
      <c r="E6" s="2" t="s">
        <v>18</v>
      </c>
      <c r="F6" s="2" t="s">
        <v>22</v>
      </c>
      <c r="G6" s="2" t="s">
        <v>11</v>
      </c>
      <c r="H6" s="2" t="s">
        <v>13</v>
      </c>
      <c r="I6" s="2" t="s">
        <v>23</v>
      </c>
      <c r="J6" s="2"/>
      <c r="L6" s="2" t="s">
        <v>25</v>
      </c>
    </row>
    <row r="7" spans="2:16" x14ac:dyDescent="0.25">
      <c r="B7" s="3" t="s">
        <v>0</v>
      </c>
      <c r="C7" s="3" t="s">
        <v>2</v>
      </c>
      <c r="D7" s="3" t="s">
        <v>17</v>
      </c>
      <c r="E7" s="3" t="s">
        <v>19</v>
      </c>
      <c r="F7" s="3" t="s">
        <v>10</v>
      </c>
      <c r="G7" s="3" t="s">
        <v>10</v>
      </c>
      <c r="H7" s="3" t="s">
        <v>10</v>
      </c>
      <c r="I7" s="3" t="s">
        <v>24</v>
      </c>
      <c r="J7" s="3"/>
      <c r="L7" s="3" t="s">
        <v>24</v>
      </c>
    </row>
    <row r="9" spans="2:16" x14ac:dyDescent="0.25">
      <c r="B9" t="s">
        <v>16</v>
      </c>
      <c r="C9" s="5">
        <v>36312</v>
      </c>
      <c r="D9" s="1">
        <v>23247.19</v>
      </c>
      <c r="E9" s="1">
        <f t="shared" ref="E9:E14" si="0">D9*42</f>
        <v>976381.98</v>
      </c>
      <c r="F9" s="4">
        <v>0.44790000000000002</v>
      </c>
      <c r="G9" s="4">
        <v>6.7500000000000004E-2</v>
      </c>
      <c r="H9" s="4">
        <f t="shared" ref="H9:H14" si="1">F9+G9</f>
        <v>0.51540000000000008</v>
      </c>
      <c r="I9" s="8">
        <f>40+423.01</f>
        <v>463.01</v>
      </c>
      <c r="J9" s="4"/>
      <c r="L9" s="8">
        <f t="shared" ref="L9:L14" si="2">E9*H9+I9</f>
        <v>503690.28249200009</v>
      </c>
    </row>
    <row r="10" spans="2:16" x14ac:dyDescent="0.25">
      <c r="B10" t="s">
        <v>77</v>
      </c>
      <c r="C10" s="5">
        <v>36342</v>
      </c>
      <c r="D10" s="1">
        <f>125067.41+105.365</f>
        <v>125172.77500000001</v>
      </c>
      <c r="E10" s="1">
        <f t="shared" si="0"/>
        <v>5257256.5500000007</v>
      </c>
      <c r="F10" s="4">
        <v>0.51249999999999996</v>
      </c>
      <c r="G10" s="4">
        <v>3.6499999999999998E-2</v>
      </c>
      <c r="H10" s="4">
        <f t="shared" si="1"/>
        <v>0.54899999999999993</v>
      </c>
      <c r="I10" s="8">
        <v>0</v>
      </c>
      <c r="J10" s="4"/>
      <c r="L10" s="8">
        <f t="shared" si="2"/>
        <v>2886233.84595</v>
      </c>
    </row>
    <row r="11" spans="2:16" x14ac:dyDescent="0.25">
      <c r="B11" t="s">
        <v>78</v>
      </c>
      <c r="C11" s="5">
        <v>36465</v>
      </c>
      <c r="D11" s="1">
        <v>89723</v>
      </c>
      <c r="E11" s="1">
        <f t="shared" si="0"/>
        <v>3768366</v>
      </c>
      <c r="F11" s="4">
        <v>0.66083333330000005</v>
      </c>
      <c r="G11" s="4">
        <v>4.2299999999999997E-2</v>
      </c>
      <c r="H11" s="4">
        <f t="shared" si="1"/>
        <v>0.70313333330000005</v>
      </c>
      <c r="I11" s="8">
        <v>0</v>
      </c>
      <c r="J11" s="4"/>
      <c r="L11" s="8">
        <f t="shared" si="2"/>
        <v>2649663.7466743882</v>
      </c>
      <c r="P11" s="8"/>
    </row>
    <row r="12" spans="2:16" x14ac:dyDescent="0.25">
      <c r="B12" t="s">
        <v>79</v>
      </c>
      <c r="C12" s="5">
        <v>36495</v>
      </c>
      <c r="D12" s="1">
        <v>67887.67</v>
      </c>
      <c r="E12" s="1">
        <f t="shared" si="0"/>
        <v>2851282.14</v>
      </c>
      <c r="F12" s="4">
        <v>0.68874999999999997</v>
      </c>
      <c r="G12" s="4">
        <v>4.3499999999999997E-2</v>
      </c>
      <c r="H12" s="4">
        <f t="shared" si="1"/>
        <v>0.73224999999999996</v>
      </c>
      <c r="I12" s="8">
        <v>0</v>
      </c>
      <c r="J12" s="4"/>
      <c r="L12" s="8">
        <f t="shared" si="2"/>
        <v>2087851.3470149999</v>
      </c>
    </row>
    <row r="13" spans="2:16" x14ac:dyDescent="0.25">
      <c r="B13" t="s">
        <v>80</v>
      </c>
      <c r="C13" s="5">
        <v>36557</v>
      </c>
      <c r="D13" s="1">
        <v>42079.97</v>
      </c>
      <c r="E13" s="1">
        <f t="shared" si="0"/>
        <v>1767358.74</v>
      </c>
      <c r="F13" s="4">
        <v>0.80374999999999996</v>
      </c>
      <c r="G13" s="4">
        <v>2.8500000000000001E-2</v>
      </c>
      <c r="H13" s="4">
        <f t="shared" si="1"/>
        <v>0.83224999999999993</v>
      </c>
      <c r="I13" s="8">
        <v>0</v>
      </c>
      <c r="J13" s="4"/>
      <c r="L13" s="8">
        <f t="shared" si="2"/>
        <v>1470884.311365</v>
      </c>
    </row>
    <row r="14" spans="2:16" x14ac:dyDescent="0.25">
      <c r="B14" t="s">
        <v>81</v>
      </c>
      <c r="C14" s="5">
        <v>36557</v>
      </c>
      <c r="D14" s="1">
        <v>58140.69</v>
      </c>
      <c r="E14" s="1">
        <f t="shared" si="0"/>
        <v>2441908.98</v>
      </c>
      <c r="F14" s="4">
        <v>0.7641666667</v>
      </c>
      <c r="G14" s="4">
        <v>2.8500000000000001E-2</v>
      </c>
      <c r="H14" s="4">
        <f t="shared" si="1"/>
        <v>0.79266666669999997</v>
      </c>
      <c r="I14" s="8">
        <v>0</v>
      </c>
      <c r="J14" s="4"/>
      <c r="L14" s="8">
        <f t="shared" si="2"/>
        <v>1935619.8515613968</v>
      </c>
    </row>
    <row r="15" spans="2:16" x14ac:dyDescent="0.25">
      <c r="B15" t="s">
        <v>82</v>
      </c>
      <c r="C15" s="5">
        <v>36586</v>
      </c>
      <c r="D15" s="1">
        <v>97992.84</v>
      </c>
      <c r="E15" s="1">
        <f>D15*42</f>
        <v>4115699.28</v>
      </c>
      <c r="F15" s="4">
        <v>0.84416666669999996</v>
      </c>
      <c r="G15" s="4">
        <v>4.3499999999999997E-2</v>
      </c>
      <c r="H15" s="4">
        <f>F15+G15</f>
        <v>0.88766666669999994</v>
      </c>
      <c r="I15" s="8">
        <v>0</v>
      </c>
      <c r="J15" s="4"/>
      <c r="L15" s="8">
        <f>E15*H15+I15</f>
        <v>3653369.0610171896</v>
      </c>
    </row>
    <row r="16" spans="2:16" x14ac:dyDescent="0.25">
      <c r="B16" t="s">
        <v>83</v>
      </c>
      <c r="C16" s="5">
        <v>36678</v>
      </c>
      <c r="D16" s="1">
        <v>69740.58</v>
      </c>
      <c r="E16" s="1">
        <f>D16*42</f>
        <v>2929104.36</v>
      </c>
      <c r="F16" s="4">
        <v>0.8175</v>
      </c>
      <c r="G16" s="4">
        <v>4.2500000000000003E-2</v>
      </c>
      <c r="H16" s="4">
        <f>F16+G16</f>
        <v>0.86</v>
      </c>
      <c r="I16" s="8">
        <v>0</v>
      </c>
      <c r="J16" s="4"/>
      <c r="L16" s="8">
        <f>E16*H16+I16</f>
        <v>2519029.7495999997</v>
      </c>
    </row>
    <row r="17" spans="2:16" ht="5.25" customHeight="1" x14ac:dyDescent="0.25">
      <c r="C17" s="5"/>
      <c r="D17" s="1"/>
      <c r="E17" s="1"/>
      <c r="F17" s="4"/>
      <c r="G17" s="4"/>
      <c r="H17" s="4"/>
      <c r="I17" s="8"/>
      <c r="J17" s="4"/>
      <c r="L17" s="8"/>
    </row>
    <row r="18" spans="2:16" x14ac:dyDescent="0.25">
      <c r="B18" s="7" t="s">
        <v>20</v>
      </c>
      <c r="C18" s="5"/>
      <c r="D18" s="1">
        <f>SUM(D9:D17)</f>
        <v>573984.71499999997</v>
      </c>
      <c r="E18" s="1">
        <f>SUM(E9:E17)</f>
        <v>24107358.030000001</v>
      </c>
      <c r="F18" s="4"/>
      <c r="G18" s="4"/>
      <c r="H18" s="4"/>
      <c r="I18" s="8"/>
      <c r="J18" s="4"/>
      <c r="L18" s="8">
        <f>SUM(L9:L17)</f>
        <v>17706342.195674974</v>
      </c>
    </row>
    <row r="19" spans="2:16" ht="6" customHeight="1" x14ac:dyDescent="0.25">
      <c r="B19" s="7"/>
      <c r="C19" s="5"/>
      <c r="D19" s="1"/>
      <c r="E19" s="1"/>
      <c r="F19" s="4"/>
      <c r="G19" s="4"/>
      <c r="H19" s="4"/>
      <c r="I19" s="8"/>
      <c r="J19" s="4"/>
      <c r="L19" s="8"/>
    </row>
    <row r="20" spans="2:16" x14ac:dyDescent="0.25">
      <c r="C20" s="5"/>
      <c r="D20" s="1"/>
      <c r="E20" s="2"/>
      <c r="F20" s="4"/>
      <c r="G20" s="4"/>
      <c r="H20" s="4"/>
      <c r="I20" s="8"/>
      <c r="J20" s="4"/>
      <c r="L20" s="8"/>
    </row>
    <row r="21" spans="2:16" x14ac:dyDescent="0.25">
      <c r="F21" s="4"/>
      <c r="G21" s="4"/>
      <c r="H21" s="4"/>
      <c r="I21" s="8"/>
      <c r="L21" s="8"/>
    </row>
    <row r="22" spans="2:16" x14ac:dyDescent="0.25">
      <c r="I22" s="8"/>
      <c r="L22" s="8"/>
    </row>
    <row r="23" spans="2:16" ht="15.6" x14ac:dyDescent="0.3">
      <c r="B23" s="6" t="s">
        <v>14</v>
      </c>
      <c r="L23" s="2" t="s">
        <v>5</v>
      </c>
      <c r="N23" s="2" t="s">
        <v>5</v>
      </c>
    </row>
    <row r="24" spans="2:16" x14ac:dyDescent="0.25">
      <c r="B24" s="2"/>
      <c r="C24" s="2"/>
      <c r="D24" s="2"/>
      <c r="E24" s="2"/>
      <c r="F24" s="2"/>
      <c r="G24" s="2" t="s">
        <v>8</v>
      </c>
      <c r="H24" s="2"/>
      <c r="I24" s="2"/>
      <c r="J24" s="2"/>
      <c r="L24" s="2" t="s">
        <v>3</v>
      </c>
      <c r="N24" s="2" t="s">
        <v>4</v>
      </c>
    </row>
    <row r="25" spans="2:16" ht="13.8" thickBot="1" x14ac:dyDescent="0.3">
      <c r="B25" s="2"/>
      <c r="C25" s="2" t="s">
        <v>1</v>
      </c>
      <c r="D25" s="10"/>
      <c r="E25" s="10" t="s">
        <v>9</v>
      </c>
      <c r="F25" s="10"/>
      <c r="G25" s="2" t="s">
        <v>6</v>
      </c>
      <c r="H25" s="2" t="s">
        <v>8</v>
      </c>
      <c r="I25" s="2" t="s">
        <v>11</v>
      </c>
      <c r="J25" s="2" t="s">
        <v>13</v>
      </c>
      <c r="L25" s="2" t="s">
        <v>25</v>
      </c>
      <c r="N25" s="2" t="s">
        <v>25</v>
      </c>
      <c r="P25" s="2" t="s">
        <v>18</v>
      </c>
    </row>
    <row r="26" spans="2:16" x14ac:dyDescent="0.25">
      <c r="B26" s="3" t="s">
        <v>0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7</v>
      </c>
      <c r="H26" s="3" t="s">
        <v>10</v>
      </c>
      <c r="I26" s="3" t="s">
        <v>10</v>
      </c>
      <c r="J26" s="3" t="s">
        <v>10</v>
      </c>
      <c r="L26" s="3" t="s">
        <v>24</v>
      </c>
      <c r="N26" s="3" t="s">
        <v>24</v>
      </c>
      <c r="P26" s="3" t="s">
        <v>34</v>
      </c>
    </row>
    <row r="27" spans="2:16" ht="4.5" customHeight="1" x14ac:dyDescent="0.25"/>
    <row r="28" spans="2:16" x14ac:dyDescent="0.25">
      <c r="B28" t="s">
        <v>65</v>
      </c>
      <c r="C28" s="5">
        <v>36342</v>
      </c>
      <c r="D28" s="1">
        <v>3840012.54</v>
      </c>
      <c r="E28" s="1">
        <v>1645719.6</v>
      </c>
      <c r="F28" s="1">
        <f t="shared" ref="F28:F36" si="3">D28+E28</f>
        <v>5485732.1400000006</v>
      </c>
      <c r="G28" s="5">
        <v>36342</v>
      </c>
      <c r="H28" s="4">
        <v>0.37268000000000001</v>
      </c>
      <c r="I28" s="4">
        <v>0.09</v>
      </c>
      <c r="J28" s="4">
        <f t="shared" ref="J28:J33" si="4">H28+I28</f>
        <v>0.46267999999999998</v>
      </c>
      <c r="L28" s="8">
        <f t="shared" ref="L28:L34" si="5">D28*J28</f>
        <v>1776697.0020071999</v>
      </c>
      <c r="N28" s="8">
        <f>E28*J28</f>
        <v>761441.54452800006</v>
      </c>
      <c r="P28" s="1"/>
    </row>
    <row r="29" spans="2:16" x14ac:dyDescent="0.25">
      <c r="B29" t="s">
        <v>66</v>
      </c>
      <c r="C29" s="5">
        <v>36373</v>
      </c>
      <c r="D29" s="1">
        <v>4846059.12</v>
      </c>
      <c r="E29" s="1">
        <v>1211514.78</v>
      </c>
      <c r="F29" s="1">
        <f t="shared" si="3"/>
        <v>6057573.9000000004</v>
      </c>
      <c r="G29" s="5">
        <v>36404</v>
      </c>
      <c r="H29" s="4">
        <v>0.43185000000000001</v>
      </c>
      <c r="I29" s="4">
        <v>0.09</v>
      </c>
      <c r="J29" s="4">
        <f t="shared" si="4"/>
        <v>0.52185000000000004</v>
      </c>
      <c r="L29" s="8">
        <f t="shared" si="5"/>
        <v>2528915.9517720002</v>
      </c>
      <c r="N29" s="8">
        <f t="shared" ref="N29:N34" si="6">E29*J29</f>
        <v>632228.98794300004</v>
      </c>
      <c r="P29" s="1"/>
    </row>
    <row r="30" spans="2:16" x14ac:dyDescent="0.25">
      <c r="B30" t="s">
        <v>67</v>
      </c>
      <c r="C30" s="5">
        <v>36434</v>
      </c>
      <c r="D30" s="1">
        <v>1895117.91</v>
      </c>
      <c r="E30" s="1">
        <v>1895117.91</v>
      </c>
      <c r="F30" s="1">
        <f t="shared" si="3"/>
        <v>3790235.82</v>
      </c>
      <c r="G30" s="5">
        <v>36434</v>
      </c>
      <c r="H30" s="4">
        <v>0.45407999999999998</v>
      </c>
      <c r="I30" s="4">
        <v>7.1499999999999994E-2</v>
      </c>
      <c r="J30" s="4">
        <f t="shared" si="4"/>
        <v>0.52557999999999994</v>
      </c>
      <c r="L30" s="8">
        <f t="shared" si="5"/>
        <v>996036.07113779988</v>
      </c>
      <c r="N30" s="8">
        <f t="shared" si="6"/>
        <v>996036.07113779988</v>
      </c>
      <c r="P30" s="1"/>
    </row>
    <row r="31" spans="2:16" x14ac:dyDescent="0.25">
      <c r="B31" t="s">
        <v>68</v>
      </c>
      <c r="C31" s="5">
        <v>36495</v>
      </c>
      <c r="D31" s="1">
        <v>2092091.4</v>
      </c>
      <c r="E31" s="1">
        <v>2090382.84</v>
      </c>
      <c r="F31" s="1">
        <f t="shared" si="3"/>
        <v>4182474.24</v>
      </c>
      <c r="G31" s="5">
        <v>36465</v>
      </c>
      <c r="H31" s="4">
        <v>0.43443999999999999</v>
      </c>
      <c r="I31" s="4">
        <v>7.1499999999999994E-2</v>
      </c>
      <c r="J31" s="4">
        <f t="shared" si="4"/>
        <v>0.50593999999999995</v>
      </c>
      <c r="L31" s="8">
        <f t="shared" si="5"/>
        <v>1058472.7229159998</v>
      </c>
      <c r="N31" s="8">
        <f t="shared" si="6"/>
        <v>1057608.2940695998</v>
      </c>
      <c r="P31" s="1"/>
    </row>
    <row r="32" spans="2:16" x14ac:dyDescent="0.25">
      <c r="B32" t="s">
        <v>60</v>
      </c>
      <c r="C32" s="5">
        <v>36557</v>
      </c>
      <c r="D32" s="1">
        <v>3377123.02</v>
      </c>
      <c r="E32" s="1">
        <v>2091016.58</v>
      </c>
      <c r="F32" s="1">
        <f t="shared" si="3"/>
        <v>5468139.5999999996</v>
      </c>
      <c r="G32" s="5">
        <v>36557</v>
      </c>
      <c r="H32" s="4">
        <v>0.59297</v>
      </c>
      <c r="I32" s="4">
        <v>7.1499999999999994E-2</v>
      </c>
      <c r="J32" s="4">
        <f t="shared" si="4"/>
        <v>0.66447000000000001</v>
      </c>
      <c r="L32" s="8">
        <f t="shared" si="5"/>
        <v>2243996.9330994003</v>
      </c>
      <c r="N32" s="8">
        <f t="shared" si="6"/>
        <v>1389417.7869126</v>
      </c>
      <c r="P32" s="1"/>
    </row>
    <row r="33" spans="2:16" x14ac:dyDescent="0.25">
      <c r="C33" s="5">
        <v>36557</v>
      </c>
      <c r="D33" s="1">
        <v>-1418369</v>
      </c>
      <c r="E33" s="1">
        <v>1418369</v>
      </c>
      <c r="F33" s="1">
        <f t="shared" si="3"/>
        <v>0</v>
      </c>
      <c r="G33" s="5">
        <v>36465</v>
      </c>
      <c r="H33" s="4">
        <v>0.43443999999999999</v>
      </c>
      <c r="I33" s="4">
        <v>5.5E-2</v>
      </c>
      <c r="J33" s="4">
        <f t="shared" si="4"/>
        <v>0.48943999999999999</v>
      </c>
      <c r="L33" s="8">
        <f t="shared" si="5"/>
        <v>-694206.52335999999</v>
      </c>
      <c r="N33" s="8">
        <f t="shared" si="6"/>
        <v>694206.52335999999</v>
      </c>
      <c r="P33" s="1"/>
    </row>
    <row r="34" spans="2:16" x14ac:dyDescent="0.25">
      <c r="C34" s="5">
        <v>36557</v>
      </c>
      <c r="D34" s="1">
        <v>-1047540</v>
      </c>
      <c r="E34" s="1">
        <v>1047540</v>
      </c>
      <c r="F34" s="1">
        <f t="shared" si="3"/>
        <v>0</v>
      </c>
      <c r="G34" s="5">
        <v>36586</v>
      </c>
      <c r="H34" s="4">
        <v>0.51461999999999997</v>
      </c>
      <c r="I34" s="4">
        <v>7.1499999999999994E-2</v>
      </c>
      <c r="J34" s="4">
        <f>MIN(H34+I34,0.56)</f>
        <v>0.56000000000000005</v>
      </c>
      <c r="L34" s="8">
        <f t="shared" si="5"/>
        <v>-586622.4</v>
      </c>
      <c r="N34" s="8">
        <f t="shared" si="6"/>
        <v>586622.4</v>
      </c>
      <c r="P34" s="1"/>
    </row>
    <row r="35" spans="2:16" x14ac:dyDescent="0.25">
      <c r="B35" t="s">
        <v>69</v>
      </c>
      <c r="C35" s="5">
        <v>36557</v>
      </c>
      <c r="D35" s="1">
        <v>4457939.22</v>
      </c>
      <c r="E35" s="1">
        <v>0</v>
      </c>
      <c r="F35" s="1">
        <f t="shared" si="3"/>
        <v>4457939.22</v>
      </c>
      <c r="G35" s="5">
        <v>36557</v>
      </c>
      <c r="H35" s="4">
        <v>0.62749999999999995</v>
      </c>
      <c r="I35" s="4">
        <f>J35-H35</f>
        <v>0.11949112956950547</v>
      </c>
      <c r="J35" s="4">
        <f>L35/F35</f>
        <v>0.74699112956950542</v>
      </c>
      <c r="L35" s="8">
        <f>P35*521*0.75</f>
        <v>3330041.0534999999</v>
      </c>
      <c r="N35" s="8">
        <v>0</v>
      </c>
      <c r="P35" s="14">
        <v>8522.1779999999999</v>
      </c>
    </row>
    <row r="36" spans="2:16" x14ac:dyDescent="0.25">
      <c r="B36" t="s">
        <v>74</v>
      </c>
      <c r="C36" s="5">
        <v>36586</v>
      </c>
      <c r="D36" s="1">
        <v>3648347.22</v>
      </c>
      <c r="E36" s="1">
        <v>0</v>
      </c>
      <c r="F36" s="1">
        <f t="shared" si="3"/>
        <v>3648347.22</v>
      </c>
      <c r="G36" s="5">
        <v>36586</v>
      </c>
      <c r="H36" s="4">
        <v>0.56625000000000003</v>
      </c>
      <c r="I36" s="4">
        <f>J36-H36</f>
        <v>0.10360467733934609</v>
      </c>
      <c r="J36" s="4">
        <f>L36/F36</f>
        <v>0.66985467733934612</v>
      </c>
      <c r="L36" s="8">
        <f>P36*521*(H36+0.1075)</f>
        <v>2443862.4498750004</v>
      </c>
      <c r="N36" s="8">
        <v>0</v>
      </c>
      <c r="P36" s="14">
        <v>6962.1</v>
      </c>
    </row>
    <row r="37" spans="2:16" ht="12.75" customHeight="1" x14ac:dyDescent="0.25">
      <c r="B37" t="s">
        <v>75</v>
      </c>
      <c r="C37" s="5">
        <v>36586</v>
      </c>
      <c r="D37" s="1">
        <v>3815879.76</v>
      </c>
      <c r="E37" s="1">
        <v>0</v>
      </c>
      <c r="F37" s="1">
        <f t="shared" ref="F37:F44" si="7">D37+E37</f>
        <v>3815879.76</v>
      </c>
      <c r="G37" s="5">
        <v>36586</v>
      </c>
      <c r="H37" s="4">
        <v>0.54500000000000004</v>
      </c>
      <c r="I37" s="4">
        <f>J37-H37</f>
        <v>0.10379170145287797</v>
      </c>
      <c r="J37" s="4">
        <f>L37/F37</f>
        <v>0.64879170145287801</v>
      </c>
      <c r="L37" s="8">
        <f>P37*ROUND(521*(H37+0.1075),3)</f>
        <v>2475711.1220299997</v>
      </c>
      <c r="N37" s="8">
        <v>0</v>
      </c>
      <c r="P37" s="14">
        <v>7282.51</v>
      </c>
    </row>
    <row r="38" spans="2:16" ht="12.75" customHeight="1" x14ac:dyDescent="0.25">
      <c r="B38" t="s">
        <v>76</v>
      </c>
      <c r="C38" s="5">
        <v>36586</v>
      </c>
      <c r="D38" s="1">
        <v>4727679.18</v>
      </c>
      <c r="E38" s="1">
        <v>0</v>
      </c>
      <c r="F38" s="1">
        <f t="shared" si="7"/>
        <v>4727679.18</v>
      </c>
      <c r="G38" s="5">
        <v>36586</v>
      </c>
      <c r="H38" s="4">
        <v>0.48583333000000001</v>
      </c>
      <c r="I38" s="4">
        <f>J38-H38</f>
        <v>9.6280296542653743E-2</v>
      </c>
      <c r="J38" s="4">
        <f>L38/F38</f>
        <v>0.58211362654265375</v>
      </c>
      <c r="L38" s="8">
        <f>P38*ROUND(521*(H38+0.1025),3)</f>
        <v>2752046.4725999995</v>
      </c>
      <c r="N38" s="8">
        <v>0</v>
      </c>
      <c r="P38" s="14">
        <v>8978.2999999999993</v>
      </c>
    </row>
    <row r="39" spans="2:16" ht="12.75" customHeight="1" x14ac:dyDescent="0.25">
      <c r="B39" t="s">
        <v>70</v>
      </c>
      <c r="C39" s="5">
        <v>36586</v>
      </c>
      <c r="D39" s="1">
        <v>11610359.039999999</v>
      </c>
      <c r="E39" s="1">
        <v>4094170.92</v>
      </c>
      <c r="F39" s="1">
        <f t="shared" si="7"/>
        <v>15704529.959999999</v>
      </c>
      <c r="G39" s="5">
        <v>36586</v>
      </c>
      <c r="H39" s="4">
        <v>0.51461999999999997</v>
      </c>
      <c r="I39" s="4">
        <v>7.1499999999999994E-2</v>
      </c>
      <c r="J39" s="4">
        <f t="shared" ref="J39:J44" si="8">H39+I39</f>
        <v>0.58611999999999997</v>
      </c>
      <c r="L39" s="8">
        <f t="shared" ref="L39:L45" si="9">D39*J39</f>
        <v>6805063.640524799</v>
      </c>
      <c r="N39" s="8">
        <f t="shared" ref="N39:N45" si="10">E39*J39</f>
        <v>2399675.4596303999</v>
      </c>
      <c r="P39" s="14"/>
    </row>
    <row r="40" spans="2:16" ht="12.75" customHeight="1" x14ac:dyDescent="0.25">
      <c r="B40" t="s">
        <v>61</v>
      </c>
      <c r="C40" s="5">
        <v>36617</v>
      </c>
      <c r="D40" s="1">
        <v>4023416.57</v>
      </c>
      <c r="E40" s="1">
        <v>785659.87</v>
      </c>
      <c r="F40" s="1">
        <f t="shared" si="7"/>
        <v>4809076.4399999995</v>
      </c>
      <c r="G40" s="5">
        <v>36617</v>
      </c>
      <c r="H40" s="4">
        <v>0.46933999999999998</v>
      </c>
      <c r="I40" s="4">
        <v>7.1499999999999994E-2</v>
      </c>
      <c r="J40" s="4">
        <f t="shared" si="8"/>
        <v>0.54083999999999999</v>
      </c>
      <c r="L40" s="8">
        <f t="shared" si="9"/>
        <v>2176024.6177188</v>
      </c>
      <c r="N40" s="8">
        <f t="shared" si="10"/>
        <v>424916.28409079998</v>
      </c>
      <c r="P40" s="14"/>
    </row>
    <row r="41" spans="2:16" ht="12.75" customHeight="1" x14ac:dyDescent="0.25">
      <c r="B41" t="s">
        <v>62</v>
      </c>
      <c r="C41" s="5">
        <v>36617</v>
      </c>
      <c r="D41" s="1">
        <v>10646995.800000001</v>
      </c>
      <c r="E41" s="1">
        <v>1047548.88</v>
      </c>
      <c r="F41" s="1">
        <f t="shared" si="7"/>
        <v>11694544.680000002</v>
      </c>
      <c r="G41" s="5">
        <v>36617</v>
      </c>
      <c r="H41" s="4">
        <v>0.46933999999999998</v>
      </c>
      <c r="I41" s="4">
        <v>7.1499999999999994E-2</v>
      </c>
      <c r="J41" s="4">
        <f t="shared" si="8"/>
        <v>0.54083999999999999</v>
      </c>
      <c r="L41" s="8">
        <f t="shared" si="9"/>
        <v>5758321.2084720004</v>
      </c>
      <c r="N41" s="8">
        <f t="shared" si="10"/>
        <v>566556.3362592</v>
      </c>
      <c r="P41" s="14"/>
    </row>
    <row r="42" spans="2:16" ht="12.75" customHeight="1" x14ac:dyDescent="0.25">
      <c r="B42" t="s">
        <v>63</v>
      </c>
      <c r="C42" s="5">
        <v>36647</v>
      </c>
      <c r="D42" s="1">
        <v>15118882.800000001</v>
      </c>
      <c r="E42" s="1">
        <v>1676075.1</v>
      </c>
      <c r="F42" s="1">
        <f t="shared" si="7"/>
        <v>16794957.900000002</v>
      </c>
      <c r="G42" s="5">
        <v>36647</v>
      </c>
      <c r="H42" s="4">
        <v>0.51324000000000003</v>
      </c>
      <c r="I42" s="4">
        <v>7.1499999999999994E-2</v>
      </c>
      <c r="J42" s="4">
        <f t="shared" si="8"/>
        <v>0.58474000000000004</v>
      </c>
      <c r="L42" s="8">
        <f t="shared" si="9"/>
        <v>8840615.5284720007</v>
      </c>
      <c r="N42" s="8">
        <f t="shared" si="10"/>
        <v>980068.15397400013</v>
      </c>
      <c r="P42" s="14"/>
    </row>
    <row r="43" spans="2:16" ht="12.75" customHeight="1" x14ac:dyDescent="0.25">
      <c r="B43" t="s">
        <v>64</v>
      </c>
      <c r="C43" s="5">
        <v>36678</v>
      </c>
      <c r="D43" s="1">
        <v>16487084.76</v>
      </c>
      <c r="E43" s="15">
        <v>4083201.9</v>
      </c>
      <c r="F43" s="1">
        <f t="shared" si="7"/>
        <v>20570286.66</v>
      </c>
      <c r="G43" s="5">
        <v>36647</v>
      </c>
      <c r="H43" s="4">
        <v>0.51324000000000003</v>
      </c>
      <c r="I43" s="4">
        <v>7.1499999999999994E-2</v>
      </c>
      <c r="J43" s="4">
        <f t="shared" si="8"/>
        <v>0.58474000000000004</v>
      </c>
      <c r="L43" s="8">
        <f t="shared" si="9"/>
        <v>9640657.9425624013</v>
      </c>
      <c r="N43" s="8">
        <f t="shared" si="10"/>
        <v>2387611.4790060003</v>
      </c>
      <c r="P43" s="14"/>
    </row>
    <row r="44" spans="2:16" ht="12.75" customHeight="1" x14ac:dyDescent="0.25">
      <c r="B44" t="s">
        <v>85</v>
      </c>
      <c r="C44" s="5">
        <v>36708</v>
      </c>
      <c r="D44" s="1">
        <v>10458556.5</v>
      </c>
      <c r="E44" s="15">
        <v>0</v>
      </c>
      <c r="F44" s="1">
        <f t="shared" si="7"/>
        <v>10458556.5</v>
      </c>
      <c r="G44" s="5">
        <v>36708</v>
      </c>
      <c r="H44" s="4">
        <v>0.54881999999999997</v>
      </c>
      <c r="I44" s="4">
        <v>7.1499999999999994E-2</v>
      </c>
      <c r="J44" s="4">
        <f t="shared" si="8"/>
        <v>0.62031999999999998</v>
      </c>
      <c r="L44" s="8">
        <f t="shared" si="9"/>
        <v>6487651.7680799998</v>
      </c>
      <c r="N44" s="8">
        <f t="shared" si="10"/>
        <v>0</v>
      </c>
      <c r="P44" s="14"/>
    </row>
    <row r="45" spans="2:16" ht="12.75" customHeight="1" x14ac:dyDescent="0.25">
      <c r="B45" t="s">
        <v>84</v>
      </c>
      <c r="C45" s="5">
        <v>36708</v>
      </c>
      <c r="D45" s="1">
        <v>1191492.76</v>
      </c>
      <c r="E45" s="1">
        <v>5237739.5599999996</v>
      </c>
      <c r="F45" s="1">
        <f>D45+E45</f>
        <v>6429232.3199999994</v>
      </c>
      <c r="G45" s="5">
        <v>36708</v>
      </c>
      <c r="H45" s="4">
        <v>0.54881999999999997</v>
      </c>
      <c r="I45" s="4">
        <v>7.1499999999999994E-2</v>
      </c>
      <c r="J45" s="4">
        <f>H45+I45</f>
        <v>0.62031999999999998</v>
      </c>
      <c r="L45" s="8">
        <f t="shared" si="9"/>
        <v>739106.78888320003</v>
      </c>
      <c r="N45" s="8">
        <f t="shared" si="10"/>
        <v>3249074.6038591997</v>
      </c>
      <c r="P45" s="14"/>
    </row>
    <row r="46" spans="2:16" ht="6" customHeight="1" x14ac:dyDescent="0.25">
      <c r="C46" s="5"/>
      <c r="D46" s="1"/>
      <c r="E46" s="1"/>
      <c r="F46" s="1"/>
      <c r="G46" s="5"/>
      <c r="H46" s="2"/>
      <c r="I46" s="4"/>
      <c r="J46" s="2"/>
      <c r="L46" s="8"/>
      <c r="N46" s="8"/>
    </row>
    <row r="47" spans="2:16" x14ac:dyDescent="0.25">
      <c r="B47" s="7" t="s">
        <v>20</v>
      </c>
      <c r="C47" s="5"/>
      <c r="D47" s="1">
        <f>SUM(D28:D46)</f>
        <v>99771128.600000009</v>
      </c>
      <c r="E47" s="1">
        <f>SUM(E28:E46)</f>
        <v>28324056.939999998</v>
      </c>
      <c r="F47" s="1">
        <f>SUM(F28:F46)</f>
        <v>128095185.53999999</v>
      </c>
      <c r="G47" s="5"/>
      <c r="H47" s="2"/>
      <c r="I47" s="4"/>
      <c r="J47" s="2"/>
      <c r="L47" s="8">
        <f>SUM(L28:L46)</f>
        <v>58772392.350290604</v>
      </c>
      <c r="N47" s="8">
        <f>SUM(N28:N46)</f>
        <v>16125463.924770599</v>
      </c>
    </row>
    <row r="48" spans="2:16" ht="5.25" customHeight="1" x14ac:dyDescent="0.25">
      <c r="B48" s="7"/>
      <c r="C48" s="5"/>
      <c r="D48" s="1"/>
      <c r="E48" s="1"/>
      <c r="F48" s="1"/>
      <c r="G48" s="5"/>
      <c r="H48" s="2"/>
      <c r="I48" s="4"/>
      <c r="J48" s="2"/>
      <c r="L48" s="8"/>
    </row>
    <row r="49" spans="2:17" x14ac:dyDescent="0.25">
      <c r="C49" s="5"/>
      <c r="D49" s="1"/>
      <c r="E49" s="1"/>
      <c r="F49" s="1"/>
      <c r="G49" s="5"/>
      <c r="H49" s="4"/>
      <c r="I49" s="4"/>
      <c r="J49" s="4"/>
      <c r="L49" s="8"/>
    </row>
    <row r="50" spans="2:17" x14ac:dyDescent="0.25">
      <c r="C50" s="5"/>
      <c r="D50" s="1"/>
      <c r="E50" s="15"/>
      <c r="F50" s="1"/>
      <c r="G50" s="5"/>
      <c r="H50" s="2"/>
      <c r="I50" s="4"/>
      <c r="J50" s="2"/>
    </row>
    <row r="51" spans="2:17" ht="15.6" x14ac:dyDescent="0.3">
      <c r="B51" s="6" t="s">
        <v>27</v>
      </c>
      <c r="J51" s="19" t="str">
        <f>J2</f>
        <v>As of 8/02/01</v>
      </c>
    </row>
    <row r="52" spans="2:17" x14ac:dyDescent="0.25">
      <c r="B52" s="2"/>
      <c r="C52" s="2"/>
      <c r="D52" s="2"/>
      <c r="E52" s="2"/>
      <c r="F52" s="2"/>
      <c r="G52" s="2"/>
      <c r="H52" s="2"/>
      <c r="I52" s="2"/>
      <c r="J52" s="2"/>
      <c r="L52" s="2"/>
    </row>
    <row r="53" spans="2:17" x14ac:dyDescent="0.25">
      <c r="B53" s="2"/>
      <c r="C53" s="2" t="s">
        <v>1</v>
      </c>
      <c r="D53" s="2" t="s">
        <v>28</v>
      </c>
      <c r="E53" s="2" t="s">
        <v>44</v>
      </c>
      <c r="F53" s="2" t="s">
        <v>45</v>
      </c>
      <c r="G53" s="2" t="s">
        <v>46</v>
      </c>
      <c r="H53" s="2" t="s">
        <v>5</v>
      </c>
      <c r="I53" s="2"/>
      <c r="J53" s="2"/>
      <c r="L53" s="2"/>
    </row>
    <row r="54" spans="2:17" x14ac:dyDescent="0.25">
      <c r="B54" s="3" t="s">
        <v>0</v>
      </c>
      <c r="C54" s="3" t="s">
        <v>2</v>
      </c>
      <c r="D54" s="3" t="s">
        <v>24</v>
      </c>
      <c r="E54" s="3" t="s">
        <v>24</v>
      </c>
      <c r="F54" s="3" t="s">
        <v>24</v>
      </c>
      <c r="G54" s="3" t="s">
        <v>24</v>
      </c>
      <c r="H54" s="3" t="s">
        <v>24</v>
      </c>
      <c r="I54" s="3"/>
      <c r="J54" s="3"/>
      <c r="L54" s="3"/>
    </row>
    <row r="55" spans="2:17" ht="5.25" customHeight="1" x14ac:dyDescent="0.25"/>
    <row r="56" spans="2:17" x14ac:dyDescent="0.25">
      <c r="B56" t="s">
        <v>65</v>
      </c>
      <c r="C56" s="5">
        <v>36342</v>
      </c>
      <c r="D56" s="8">
        <v>53140.62</v>
      </c>
      <c r="E56" s="8"/>
      <c r="F56" s="8"/>
      <c r="G56" s="8"/>
      <c r="H56" s="8">
        <f t="shared" ref="H56:H69" si="11">SUM(D56:G56)</f>
        <v>53140.62</v>
      </c>
      <c r="I56" s="4"/>
      <c r="J56" s="4"/>
      <c r="L56" s="8"/>
    </row>
    <row r="57" spans="2:17" x14ac:dyDescent="0.25">
      <c r="B57" t="s">
        <v>66</v>
      </c>
      <c r="C57" s="5">
        <v>36373</v>
      </c>
      <c r="D57" s="8">
        <v>5000</v>
      </c>
      <c r="E57" s="8"/>
      <c r="F57" s="8"/>
      <c r="G57" s="8"/>
      <c r="H57" s="8">
        <f t="shared" si="11"/>
        <v>5000</v>
      </c>
      <c r="Q57" s="8"/>
    </row>
    <row r="58" spans="2:17" x14ac:dyDescent="0.25">
      <c r="B58" t="s">
        <v>67</v>
      </c>
      <c r="C58" s="5">
        <v>36434</v>
      </c>
      <c r="D58" s="8">
        <v>2333.33</v>
      </c>
      <c r="E58" s="8"/>
      <c r="F58" s="8"/>
      <c r="G58" s="8"/>
      <c r="H58" s="8">
        <f t="shared" si="11"/>
        <v>2333.33</v>
      </c>
    </row>
    <row r="59" spans="2:17" x14ac:dyDescent="0.25">
      <c r="B59" t="s">
        <v>68</v>
      </c>
      <c r="C59" s="5">
        <v>36495</v>
      </c>
      <c r="D59" s="8">
        <v>838418.18</v>
      </c>
      <c r="E59" s="8">
        <v>74277.600000000006</v>
      </c>
      <c r="F59" s="8">
        <f>62379.91+34700.33</f>
        <v>97080.24</v>
      </c>
      <c r="G59" s="8">
        <v>28802.61</v>
      </c>
      <c r="H59" s="8">
        <f t="shared" si="11"/>
        <v>1038578.63</v>
      </c>
    </row>
    <row r="60" spans="2:17" x14ac:dyDescent="0.25">
      <c r="B60" t="s">
        <v>60</v>
      </c>
      <c r="C60" s="5">
        <v>36557</v>
      </c>
      <c r="D60" s="8">
        <v>140120.60999999999</v>
      </c>
      <c r="E60" s="8"/>
      <c r="F60" s="8"/>
      <c r="G60" s="8"/>
      <c r="H60" s="8">
        <f t="shared" si="11"/>
        <v>140120.60999999999</v>
      </c>
    </row>
    <row r="61" spans="2:17" x14ac:dyDescent="0.25">
      <c r="B61" t="s">
        <v>70</v>
      </c>
      <c r="C61" s="5">
        <v>36586</v>
      </c>
      <c r="D61" s="8">
        <v>26179.46</v>
      </c>
      <c r="E61" s="8"/>
      <c r="F61" s="8"/>
      <c r="G61" s="8"/>
      <c r="H61" s="8">
        <f t="shared" si="11"/>
        <v>26179.46</v>
      </c>
    </row>
    <row r="62" spans="2:17" x14ac:dyDescent="0.25">
      <c r="B62" t="s">
        <v>71</v>
      </c>
      <c r="C62" s="5">
        <v>36617</v>
      </c>
      <c r="D62" s="8"/>
      <c r="E62" s="8"/>
      <c r="F62" s="8"/>
      <c r="G62" s="8">
        <v>54171.01</v>
      </c>
      <c r="H62" s="8">
        <f>SUM(D62:G62)</f>
        <v>54171.01</v>
      </c>
    </row>
    <row r="63" spans="2:17" x14ac:dyDescent="0.25">
      <c r="B63" t="s">
        <v>61</v>
      </c>
      <c r="C63" s="5">
        <v>36617</v>
      </c>
      <c r="D63" s="8"/>
      <c r="E63" s="8"/>
      <c r="F63" s="8"/>
      <c r="G63" s="8">
        <v>80000</v>
      </c>
      <c r="H63" s="8">
        <f>SUM(D63:G63)</f>
        <v>80000</v>
      </c>
    </row>
    <row r="64" spans="2:17" x14ac:dyDescent="0.25">
      <c r="B64" t="s">
        <v>64</v>
      </c>
      <c r="C64" s="5">
        <v>36678</v>
      </c>
      <c r="D64" s="8">
        <v>7744.79</v>
      </c>
      <c r="E64" s="8"/>
      <c r="F64" s="8"/>
      <c r="G64" s="8">
        <v>61621.83</v>
      </c>
      <c r="H64" s="8">
        <f t="shared" si="11"/>
        <v>69366.62</v>
      </c>
    </row>
    <row r="65" spans="2:18" x14ac:dyDescent="0.25">
      <c r="B65" t="s">
        <v>85</v>
      </c>
      <c r="C65" s="5">
        <v>36708</v>
      </c>
      <c r="D65" s="8">
        <v>210832.66</v>
      </c>
      <c r="E65" s="8"/>
      <c r="F65" s="8"/>
      <c r="G65" s="8"/>
      <c r="H65" s="8">
        <f>SUM(D65:G65)</f>
        <v>210832.66</v>
      </c>
    </row>
    <row r="66" spans="2:18" x14ac:dyDescent="0.25">
      <c r="B66" t="s">
        <v>84</v>
      </c>
      <c r="C66" s="5">
        <v>36708</v>
      </c>
      <c r="D66" s="8"/>
      <c r="E66" s="8"/>
      <c r="F66" s="8"/>
      <c r="G66" s="8">
        <f>582396.65+52259.15+11335.63</f>
        <v>645991.43000000005</v>
      </c>
      <c r="H66" s="8">
        <f>SUM(D66:G66)</f>
        <v>645991.43000000005</v>
      </c>
    </row>
    <row r="67" spans="2:18" x14ac:dyDescent="0.25">
      <c r="B67" t="s">
        <v>72</v>
      </c>
      <c r="C67" s="5">
        <v>36526</v>
      </c>
      <c r="D67" s="8">
        <v>24036.34</v>
      </c>
      <c r="E67" s="8">
        <v>10323</v>
      </c>
      <c r="F67" s="8"/>
      <c r="G67" s="8">
        <f>2308.45</f>
        <v>2308.4499999999998</v>
      </c>
      <c r="H67" s="8">
        <f t="shared" si="11"/>
        <v>36667.789999999994</v>
      </c>
    </row>
    <row r="68" spans="2:18" x14ac:dyDescent="0.25">
      <c r="B68" t="s">
        <v>73</v>
      </c>
      <c r="C68" s="5">
        <v>36557</v>
      </c>
      <c r="D68" s="8">
        <v>5180.5600000000004</v>
      </c>
      <c r="E68" s="8"/>
      <c r="F68" s="8"/>
      <c r="G68" s="8">
        <f>46400+2071.31</f>
        <v>48471.31</v>
      </c>
      <c r="H68" s="8">
        <f t="shared" si="11"/>
        <v>53651.869999999995</v>
      </c>
      <c r="Q68" s="8"/>
      <c r="R68" s="8"/>
    </row>
    <row r="69" spans="2:18" x14ac:dyDescent="0.25">
      <c r="B69" t="s">
        <v>76</v>
      </c>
      <c r="C69" s="5">
        <v>36586</v>
      </c>
      <c r="D69" s="8">
        <v>12498.27</v>
      </c>
      <c r="E69" s="8"/>
      <c r="F69" s="8"/>
      <c r="G69" s="8"/>
      <c r="H69" s="8">
        <f t="shared" si="11"/>
        <v>12498.27</v>
      </c>
      <c r="Q69" s="8"/>
      <c r="R69" s="8"/>
    </row>
    <row r="70" spans="2:18" ht="4.5" customHeight="1" x14ac:dyDescent="0.25">
      <c r="D70" s="8"/>
      <c r="E70" s="8"/>
      <c r="F70" s="8"/>
      <c r="G70" s="8"/>
      <c r="H70" s="8"/>
      <c r="Q70" s="8"/>
    </row>
    <row r="71" spans="2:18" x14ac:dyDescent="0.25">
      <c r="C71" s="7" t="s">
        <v>5</v>
      </c>
      <c r="D71" s="8">
        <f>SUM(D56:D70)</f>
        <v>1325484.82</v>
      </c>
      <c r="E71" s="8">
        <f>SUM(E56:E70)</f>
        <v>84600.6</v>
      </c>
      <c r="F71" s="8">
        <f>SUM(F56:F70)</f>
        <v>97080.24</v>
      </c>
      <c r="G71" s="8">
        <f>SUM(G56:G70)</f>
        <v>921366.64000000013</v>
      </c>
      <c r="H71" s="8">
        <f>SUM(H56:H70)</f>
        <v>2428532.2999999998</v>
      </c>
      <c r="J71" s="8"/>
      <c r="Q71" s="8"/>
    </row>
    <row r="72" spans="2:18" x14ac:dyDescent="0.25">
      <c r="D72" s="8"/>
    </row>
    <row r="73" spans="2:18" x14ac:dyDescent="0.25">
      <c r="B73" s="2"/>
      <c r="C73" s="2"/>
      <c r="G73" s="2" t="s">
        <v>33</v>
      </c>
      <c r="H73" s="2" t="s">
        <v>35</v>
      </c>
      <c r="I73" s="2" t="s">
        <v>35</v>
      </c>
      <c r="J73" s="2" t="s">
        <v>37</v>
      </c>
      <c r="L73" s="2" t="s">
        <v>37</v>
      </c>
    </row>
    <row r="74" spans="2:18" ht="13.8" thickBot="1" x14ac:dyDescent="0.3">
      <c r="B74" s="2"/>
      <c r="C74" s="2" t="s">
        <v>1</v>
      </c>
      <c r="D74" s="10"/>
      <c r="E74" s="10" t="s">
        <v>29</v>
      </c>
      <c r="F74" s="10"/>
      <c r="G74" s="2" t="s">
        <v>36</v>
      </c>
      <c r="H74" s="2" t="s">
        <v>31</v>
      </c>
      <c r="I74" s="2" t="s">
        <v>31</v>
      </c>
      <c r="J74" s="2" t="s">
        <v>87</v>
      </c>
      <c r="L74" s="2" t="s">
        <v>86</v>
      </c>
    </row>
    <row r="75" spans="2:18" x14ac:dyDescent="0.25">
      <c r="B75" s="3" t="s">
        <v>0</v>
      </c>
      <c r="C75" s="3" t="s">
        <v>2</v>
      </c>
      <c r="D75" s="3" t="s">
        <v>30</v>
      </c>
      <c r="E75" s="3" t="s">
        <v>32</v>
      </c>
      <c r="F75" s="3" t="s">
        <v>36</v>
      </c>
      <c r="G75" s="3" t="s">
        <v>34</v>
      </c>
      <c r="H75" s="3" t="s">
        <v>34</v>
      </c>
      <c r="I75" s="3" t="s">
        <v>19</v>
      </c>
      <c r="J75" s="3" t="s">
        <v>10</v>
      </c>
      <c r="L75" s="3" t="s">
        <v>24</v>
      </c>
      <c r="P75" t="s">
        <v>52</v>
      </c>
    </row>
    <row r="76" spans="2:18" ht="4.5" customHeight="1" x14ac:dyDescent="0.25"/>
    <row r="77" spans="2:18" x14ac:dyDescent="0.25">
      <c r="B77" t="s">
        <v>68</v>
      </c>
      <c r="C77" s="5">
        <v>36495</v>
      </c>
      <c r="D77" s="1">
        <f>23054624-E31</f>
        <v>20964241.16</v>
      </c>
      <c r="E77" s="1">
        <f>D31</f>
        <v>2092091.4</v>
      </c>
      <c r="F77" s="1">
        <f>D77-E77</f>
        <v>18872149.760000002</v>
      </c>
      <c r="G77" s="1">
        <f>39923.471-3994.27</f>
        <v>35929.201000000001</v>
      </c>
      <c r="H77" s="1">
        <f>20420.963+15503.607</f>
        <v>35924.57</v>
      </c>
      <c r="I77" s="1">
        <f>10691307+8120060</f>
        <v>18811367</v>
      </c>
      <c r="J77" s="4">
        <f>0.5-J31</f>
        <v>-5.9399999999999453E-3</v>
      </c>
      <c r="L77" s="8">
        <f>-I77*J77</f>
        <v>111739.51997999898</v>
      </c>
      <c r="P77" t="s">
        <v>38</v>
      </c>
      <c r="Q77" s="8">
        <f>(F77-I77)*J31</f>
        <v>30752.429594400826</v>
      </c>
      <c r="R77" t="s">
        <v>51</v>
      </c>
    </row>
    <row r="78" spans="2:18" x14ac:dyDescent="0.25">
      <c r="B78" t="s">
        <v>60</v>
      </c>
      <c r="C78" s="5">
        <v>36557</v>
      </c>
      <c r="D78" s="1">
        <f>5468139.6+4965048.9-E32</f>
        <v>8342171.9199999999</v>
      </c>
      <c r="E78" s="1">
        <f>D32</f>
        <v>3377123.02</v>
      </c>
      <c r="F78" s="1">
        <f>D78-E78</f>
        <v>4965048.9000000004</v>
      </c>
      <c r="G78" s="1">
        <v>9494.4339999999993</v>
      </c>
      <c r="H78" s="1">
        <f>G78</f>
        <v>9494.4339999999993</v>
      </c>
      <c r="I78" s="1">
        <f>F78</f>
        <v>4965048.9000000004</v>
      </c>
      <c r="J78" s="4">
        <f>0.58292+0.0675-J32</f>
        <v>-1.4050000000000007E-2</v>
      </c>
      <c r="L78" s="8">
        <f>-I78*J78</f>
        <v>69758.937045000042</v>
      </c>
      <c r="Q78" s="8"/>
    </row>
    <row r="79" spans="2:18" x14ac:dyDescent="0.25">
      <c r="B79" t="s">
        <v>84</v>
      </c>
      <c r="C79" s="5">
        <v>36708</v>
      </c>
      <c r="D79" s="1">
        <f>6429232.32+10451830-E45</f>
        <v>11643322.760000002</v>
      </c>
      <c r="E79" s="1">
        <f>D45</f>
        <v>1191492.76</v>
      </c>
      <c r="F79" s="1">
        <f>D79-E79</f>
        <v>10451830.000000002</v>
      </c>
      <c r="G79" s="1">
        <v>20002.245999999999</v>
      </c>
      <c r="H79" s="1">
        <f>G79</f>
        <v>20002.245999999999</v>
      </c>
      <c r="I79" s="1">
        <f>F79</f>
        <v>10451830.000000002</v>
      </c>
      <c r="J79" s="4">
        <f>(6510731.07-6483479.19)/I79</f>
        <v>2.6073788035205206E-3</v>
      </c>
      <c r="L79" s="8">
        <f>-I79*J79</f>
        <v>-27251.879999999888</v>
      </c>
      <c r="Q79" s="8"/>
    </row>
    <row r="80" spans="2:18" x14ac:dyDescent="0.25">
      <c r="B80" t="s">
        <v>72</v>
      </c>
      <c r="C80" s="5">
        <v>36526</v>
      </c>
      <c r="D80" s="1">
        <f>5488.655*521</f>
        <v>2859589.2549999999</v>
      </c>
      <c r="E80" s="1">
        <v>0</v>
      </c>
      <c r="F80" s="1">
        <f>D80-E80</f>
        <v>2859589.2549999999</v>
      </c>
      <c r="G80" s="1">
        <v>5488.6549999999997</v>
      </c>
      <c r="H80" s="1">
        <v>5488.6549999999997</v>
      </c>
      <c r="I80" s="1">
        <f>H80*521</f>
        <v>2859589.2549999999</v>
      </c>
      <c r="J80" s="4">
        <f>0.0775-0.11</f>
        <v>-3.2500000000000001E-2</v>
      </c>
      <c r="L80" s="8">
        <f>-I80*J80</f>
        <v>92936.650787499995</v>
      </c>
      <c r="Q80" s="8"/>
    </row>
    <row r="81" spans="2:17" x14ac:dyDescent="0.25">
      <c r="B81" t="s">
        <v>73</v>
      </c>
      <c r="C81" s="5">
        <v>36557</v>
      </c>
      <c r="D81" s="1">
        <f>5482.281*521</f>
        <v>2856268.4010000001</v>
      </c>
      <c r="E81" s="1">
        <v>0</v>
      </c>
      <c r="F81" s="1">
        <f>D81-E81</f>
        <v>2856268.4010000001</v>
      </c>
      <c r="G81" s="1">
        <v>5482.2809999999999</v>
      </c>
      <c r="H81" s="1">
        <v>5482.2809999999999</v>
      </c>
      <c r="I81" s="1">
        <f>H81*521</f>
        <v>2856268.4010000001</v>
      </c>
      <c r="J81" s="4">
        <f>0.72292-0.747</f>
        <v>-2.407999999999999E-2</v>
      </c>
      <c r="L81" s="8">
        <f>-I81*J81</f>
        <v>68778.94309607998</v>
      </c>
      <c r="Q81" s="8"/>
    </row>
    <row r="82" spans="2:17" ht="6" customHeight="1" x14ac:dyDescent="0.25">
      <c r="C82" s="5"/>
      <c r="D82" s="1"/>
      <c r="E82" s="1"/>
      <c r="F82" s="1"/>
      <c r="G82" s="1"/>
      <c r="H82" s="1"/>
      <c r="I82" s="1"/>
      <c r="J82" s="4"/>
      <c r="L82" s="8"/>
      <c r="Q82" s="8"/>
    </row>
    <row r="83" spans="2:17" x14ac:dyDescent="0.25">
      <c r="J83" s="7"/>
      <c r="K83" s="7" t="s">
        <v>5</v>
      </c>
      <c r="L83" s="8">
        <f>SUM(L77:L82)</f>
        <v>315962.17090857914</v>
      </c>
    </row>
    <row r="85" spans="2:17" ht="15.6" x14ac:dyDescent="0.3">
      <c r="B85" s="6" t="s">
        <v>39</v>
      </c>
    </row>
    <row r="87" spans="2:17" x14ac:dyDescent="0.25">
      <c r="C87" s="2" t="s">
        <v>41</v>
      </c>
      <c r="D87" s="2"/>
    </row>
    <row r="88" spans="2:17" x14ac:dyDescent="0.25">
      <c r="C88" s="2" t="s">
        <v>18</v>
      </c>
      <c r="D88" s="2" t="s">
        <v>40</v>
      </c>
      <c r="E88" s="2" t="s">
        <v>42</v>
      </c>
      <c r="F88" s="2" t="s">
        <v>40</v>
      </c>
    </row>
    <row r="89" spans="2:17" x14ac:dyDescent="0.25">
      <c r="B89" s="3" t="s">
        <v>2</v>
      </c>
      <c r="C89" s="3" t="s">
        <v>34</v>
      </c>
      <c r="D89" s="3" t="s">
        <v>10</v>
      </c>
      <c r="E89" s="3" t="s">
        <v>43</v>
      </c>
      <c r="F89" s="3" t="s">
        <v>24</v>
      </c>
    </row>
    <row r="90" spans="2:17" ht="5.25" customHeight="1" x14ac:dyDescent="0.25">
      <c r="B90" s="3"/>
      <c r="D90" s="3"/>
      <c r="E90" s="3"/>
      <c r="F90" s="3"/>
    </row>
    <row r="91" spans="2:17" x14ac:dyDescent="0.25">
      <c r="B91" s="5">
        <v>36495</v>
      </c>
      <c r="C91" s="1">
        <v>15393</v>
      </c>
      <c r="D91" s="4">
        <v>3.7499999999999999E-2</v>
      </c>
      <c r="E91" s="11">
        <v>521.70000000000005</v>
      </c>
      <c r="F91" s="8">
        <v>301135</v>
      </c>
      <c r="P91" t="s">
        <v>54</v>
      </c>
    </row>
    <row r="92" spans="2:17" x14ac:dyDescent="0.25">
      <c r="B92" s="5">
        <v>36526</v>
      </c>
      <c r="C92" s="1">
        <v>31557</v>
      </c>
      <c r="D92" s="4">
        <v>2.1999999999999999E-2</v>
      </c>
      <c r="E92" s="11">
        <v>521.70000000000005</v>
      </c>
      <c r="F92" s="8">
        <v>362192.31</v>
      </c>
    </row>
    <row r="93" spans="2:17" x14ac:dyDescent="0.25">
      <c r="B93" s="5"/>
      <c r="C93" s="1"/>
      <c r="D93" s="4"/>
      <c r="E93" s="11"/>
      <c r="F93" s="8"/>
    </row>
    <row r="94" spans="2:17" ht="5.25" customHeight="1" x14ac:dyDescent="0.25">
      <c r="C94" s="4"/>
    </row>
    <row r="95" spans="2:17" x14ac:dyDescent="0.25">
      <c r="E95" s="7" t="s">
        <v>5</v>
      </c>
      <c r="F95" s="8">
        <f>SUM(F91:F94)</f>
        <v>663327.31000000006</v>
      </c>
    </row>
    <row r="97" spans="2:9" ht="15.6" x14ac:dyDescent="0.3">
      <c r="B97" s="6" t="s">
        <v>47</v>
      </c>
    </row>
    <row r="99" spans="2:9" x14ac:dyDescent="0.25">
      <c r="C99" s="2" t="s">
        <v>48</v>
      </c>
      <c r="D99" s="2" t="s">
        <v>48</v>
      </c>
      <c r="E99" s="2" t="s">
        <v>50</v>
      </c>
    </row>
    <row r="100" spans="2:9" x14ac:dyDescent="0.25">
      <c r="C100" s="2" t="s">
        <v>18</v>
      </c>
      <c r="D100" s="2" t="s">
        <v>49</v>
      </c>
      <c r="E100" s="2" t="s">
        <v>8</v>
      </c>
      <c r="G100" s="2"/>
      <c r="H100" s="2"/>
      <c r="I100" s="2"/>
    </row>
    <row r="101" spans="2:9" x14ac:dyDescent="0.25">
      <c r="B101" s="3" t="s">
        <v>2</v>
      </c>
      <c r="C101" s="3" t="s">
        <v>34</v>
      </c>
      <c r="D101" s="3" t="s">
        <v>10</v>
      </c>
      <c r="E101" s="3" t="s">
        <v>10</v>
      </c>
      <c r="G101" s="3"/>
      <c r="H101" s="3"/>
      <c r="I101" s="3"/>
    </row>
    <row r="102" spans="2:9" ht="6" customHeight="1" x14ac:dyDescent="0.25">
      <c r="B102" s="3"/>
      <c r="D102" s="3"/>
      <c r="E102" s="3"/>
      <c r="G102" s="3"/>
      <c r="H102" s="3"/>
      <c r="I102" s="3"/>
    </row>
    <row r="103" spans="2:9" x14ac:dyDescent="0.25">
      <c r="B103" s="5">
        <v>36526</v>
      </c>
      <c r="C103" s="12">
        <f>200000*42/521</f>
        <v>16122.840690978886</v>
      </c>
      <c r="D103" s="4">
        <v>0.41499999999999998</v>
      </c>
      <c r="E103" s="13" t="s">
        <v>12</v>
      </c>
      <c r="F103" s="12" t="s">
        <v>53</v>
      </c>
      <c r="G103" s="4"/>
      <c r="H103" s="11"/>
      <c r="I103" s="8"/>
    </row>
    <row r="104" spans="2:9" x14ac:dyDescent="0.25">
      <c r="B104" s="5">
        <v>36557</v>
      </c>
      <c r="C104" s="12">
        <f>200000*42/521</f>
        <v>16122.840690978886</v>
      </c>
      <c r="D104" s="4">
        <v>0.41499999999999998</v>
      </c>
      <c r="E104" s="13" t="s">
        <v>12</v>
      </c>
      <c r="F104" s="12" t="s">
        <v>55</v>
      </c>
      <c r="G104" s="4"/>
      <c r="H104" s="11"/>
      <c r="I104" s="8"/>
    </row>
    <row r="105" spans="2:9" x14ac:dyDescent="0.25">
      <c r="B105" s="5">
        <v>36586</v>
      </c>
      <c r="C105" s="12">
        <f>200000*42/521</f>
        <v>16122.840690978886</v>
      </c>
      <c r="D105" s="4">
        <v>0.41499999999999998</v>
      </c>
      <c r="E105" s="13" t="s">
        <v>12</v>
      </c>
      <c r="F105" s="12" t="s">
        <v>56</v>
      </c>
    </row>
    <row r="106" spans="2:9" x14ac:dyDescent="0.25">
      <c r="B106" s="5">
        <v>36617</v>
      </c>
      <c r="C106" s="12">
        <f>100000*42/521</f>
        <v>8061.4203454894432</v>
      </c>
      <c r="D106" s="4">
        <v>0.35875000000000001</v>
      </c>
      <c r="E106" s="13" t="s">
        <v>12</v>
      </c>
      <c r="F106" s="12" t="s">
        <v>57</v>
      </c>
    </row>
    <row r="107" spans="2:9" x14ac:dyDescent="0.25">
      <c r="B107" s="5">
        <v>36647</v>
      </c>
      <c r="C107" s="12">
        <f>100000*42/521</f>
        <v>8061.4203454894432</v>
      </c>
      <c r="D107" s="4">
        <v>0.35875000000000001</v>
      </c>
      <c r="E107" s="13" t="s">
        <v>12</v>
      </c>
      <c r="F107" s="12" t="s">
        <v>58</v>
      </c>
    </row>
    <row r="108" spans="2:9" x14ac:dyDescent="0.25">
      <c r="B108" s="5">
        <v>36678</v>
      </c>
      <c r="C108" s="12">
        <f>100000*42/521</f>
        <v>8061.4203454894432</v>
      </c>
      <c r="D108" s="4">
        <v>0.35875000000000001</v>
      </c>
      <c r="E108" s="13" t="s">
        <v>12</v>
      </c>
      <c r="F108" s="12" t="s">
        <v>59</v>
      </c>
    </row>
  </sheetData>
  <phoneticPr fontId="0" type="noConversion"/>
  <pageMargins left="0.25" right="0.25" top="0.5" bottom="0.5" header="0.5" footer="0.5"/>
  <pageSetup scale="75" orientation="landscape" horizontalDpi="300" verticalDpi="300" r:id="rId1"/>
  <headerFooter alignWithMargins="0"/>
  <rowBreaks count="1" manualBreakCount="1">
    <brk id="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4"/>
  <sheetViews>
    <sheetView zoomScale="75" workbookViewId="0">
      <selection activeCell="I5" sqref="I5"/>
    </sheetView>
  </sheetViews>
  <sheetFormatPr defaultRowHeight="13.2" x14ac:dyDescent="0.25"/>
  <cols>
    <col min="1" max="1" width="2.44140625" customWidth="1"/>
    <col min="2" max="2" width="28.109375" customWidth="1"/>
    <col min="3" max="3" width="10.5546875" customWidth="1"/>
    <col min="4" max="4" width="17.109375" customWidth="1"/>
    <col min="5" max="5" width="13.6640625" customWidth="1"/>
    <col min="6" max="6" width="16.109375" customWidth="1"/>
    <col min="7" max="7" width="14.44140625" customWidth="1"/>
    <col min="8" max="8" width="13.88671875" customWidth="1"/>
    <col min="9" max="9" width="14.44140625" customWidth="1"/>
    <col min="10" max="10" width="6.33203125" customWidth="1"/>
    <col min="11" max="11" width="4.44140625" customWidth="1"/>
    <col min="12" max="12" width="4.109375" customWidth="1"/>
    <col min="13" max="13" width="10.44140625" customWidth="1"/>
    <col min="14" max="14" width="13.6640625" bestFit="1" customWidth="1"/>
    <col min="15" max="15" width="10.6640625" bestFit="1" customWidth="1"/>
  </cols>
  <sheetData>
    <row r="2" spans="2:13" ht="17.399999999999999" x14ac:dyDescent="0.3">
      <c r="F2" s="9" t="s">
        <v>26</v>
      </c>
      <c r="I2" s="19" t="s">
        <v>108</v>
      </c>
    </row>
    <row r="4" spans="2:13" ht="15.6" x14ac:dyDescent="0.3">
      <c r="B4" s="6" t="s">
        <v>92</v>
      </c>
      <c r="F4" s="2"/>
    </row>
    <row r="5" spans="2:13" x14ac:dyDescent="0.25">
      <c r="B5" s="2"/>
      <c r="C5" s="2"/>
      <c r="D5" s="2"/>
      <c r="E5" s="2"/>
      <c r="F5" s="2"/>
      <c r="G5" s="2" t="s">
        <v>5</v>
      </c>
      <c r="H5" s="2"/>
      <c r="I5" s="2"/>
      <c r="J5" s="2"/>
    </row>
    <row r="6" spans="2:13" x14ac:dyDescent="0.25">
      <c r="B6" s="2"/>
      <c r="C6" s="2"/>
      <c r="D6" s="2" t="s">
        <v>105</v>
      </c>
      <c r="E6" s="2" t="s">
        <v>105</v>
      </c>
      <c r="F6" s="2" t="s">
        <v>37</v>
      </c>
      <c r="G6" s="2" t="s">
        <v>25</v>
      </c>
      <c r="H6" s="2"/>
      <c r="I6" s="2"/>
      <c r="J6" s="2"/>
    </row>
    <row r="7" spans="2:13" x14ac:dyDescent="0.25">
      <c r="B7" s="3" t="s">
        <v>2</v>
      </c>
      <c r="C7" s="3"/>
      <c r="D7" s="3" t="s">
        <v>106</v>
      </c>
      <c r="E7" s="3" t="s">
        <v>107</v>
      </c>
      <c r="F7" s="3" t="s">
        <v>107</v>
      </c>
      <c r="G7" s="3" t="s">
        <v>24</v>
      </c>
      <c r="H7" s="3"/>
      <c r="I7" s="3"/>
      <c r="J7" s="3"/>
    </row>
    <row r="9" spans="2:13" x14ac:dyDescent="0.25">
      <c r="B9" s="5">
        <v>36526</v>
      </c>
      <c r="C9" s="5"/>
      <c r="D9" s="8">
        <v>0</v>
      </c>
      <c r="E9" s="8">
        <v>0</v>
      </c>
      <c r="F9" s="8">
        <v>0</v>
      </c>
      <c r="G9" s="8">
        <f>SUM(D9:F9)</f>
        <v>0</v>
      </c>
      <c r="H9" s="4"/>
      <c r="I9" s="8"/>
      <c r="J9" s="4"/>
    </row>
    <row r="10" spans="2:13" x14ac:dyDescent="0.25">
      <c r="B10" s="5">
        <v>36557</v>
      </c>
      <c r="C10" s="5"/>
      <c r="D10" s="8">
        <v>1614849.39</v>
      </c>
      <c r="E10" s="8">
        <v>200473.60000000001</v>
      </c>
      <c r="F10" s="8">
        <v>0</v>
      </c>
      <c r="G10" s="8">
        <f t="shared" ref="G10:G22" si="0">SUM(D10:F10)</f>
        <v>1815322.99</v>
      </c>
      <c r="H10" s="4"/>
      <c r="I10" s="8"/>
      <c r="J10" s="4"/>
    </row>
    <row r="11" spans="2:13" x14ac:dyDescent="0.25">
      <c r="B11" s="5">
        <v>36586</v>
      </c>
      <c r="C11" s="5"/>
      <c r="D11" s="8">
        <v>1614849.39</v>
      </c>
      <c r="E11" s="8">
        <v>200473.60000000001</v>
      </c>
      <c r="F11" s="8">
        <v>0</v>
      </c>
      <c r="G11" s="8">
        <f t="shared" si="0"/>
        <v>1815322.99</v>
      </c>
      <c r="H11" s="4"/>
      <c r="I11" s="8"/>
      <c r="J11" s="4"/>
      <c r="M11" s="8"/>
    </row>
    <row r="12" spans="2:13" x14ac:dyDescent="0.25">
      <c r="B12" s="5">
        <v>36617</v>
      </c>
      <c r="C12" s="5"/>
      <c r="D12" s="8">
        <v>1614849.39</v>
      </c>
      <c r="E12" s="8">
        <v>200473.60000000001</v>
      </c>
      <c r="F12" s="8">
        <v>0</v>
      </c>
      <c r="G12" s="8">
        <f t="shared" si="0"/>
        <v>1815322.99</v>
      </c>
      <c r="H12" s="4"/>
      <c r="I12" s="8"/>
      <c r="J12" s="4"/>
    </row>
    <row r="13" spans="2:13" x14ac:dyDescent="0.25">
      <c r="B13" s="5">
        <v>36647</v>
      </c>
      <c r="C13" s="5"/>
      <c r="D13" s="8">
        <v>1614849.39</v>
      </c>
      <c r="E13" s="8">
        <v>200473.60000000001</v>
      </c>
      <c r="F13" s="8">
        <v>0</v>
      </c>
      <c r="G13" s="8">
        <f t="shared" si="0"/>
        <v>1815322.99</v>
      </c>
      <c r="H13" s="4"/>
      <c r="I13" s="8"/>
      <c r="J13" s="4"/>
    </row>
    <row r="14" spans="2:13" x14ac:dyDescent="0.25">
      <c r="B14" s="5">
        <v>36678</v>
      </c>
      <c r="C14" s="5"/>
      <c r="D14" s="8">
        <v>1614849.39</v>
      </c>
      <c r="E14" s="8">
        <v>200473.60000000001</v>
      </c>
      <c r="F14" s="8">
        <v>0</v>
      </c>
      <c r="G14" s="8">
        <f t="shared" si="0"/>
        <v>1815322.99</v>
      </c>
      <c r="H14" s="4"/>
      <c r="I14" s="8"/>
      <c r="J14" s="4"/>
    </row>
    <row r="15" spans="2:13" x14ac:dyDescent="0.25">
      <c r="B15" s="5">
        <v>36708</v>
      </c>
      <c r="C15" s="5"/>
      <c r="D15" s="8">
        <v>1614849.39</v>
      </c>
      <c r="E15" s="8">
        <v>200473.60000000001</v>
      </c>
      <c r="F15" s="8">
        <v>0</v>
      </c>
      <c r="G15" s="8">
        <f t="shared" si="0"/>
        <v>1815322.99</v>
      </c>
      <c r="H15" s="4"/>
      <c r="I15" s="8"/>
      <c r="J15" s="4"/>
    </row>
    <row r="16" spans="2:13" x14ac:dyDescent="0.25">
      <c r="B16" s="5">
        <v>36739</v>
      </c>
      <c r="C16" s="5"/>
      <c r="D16" s="8">
        <v>1614849.39</v>
      </c>
      <c r="E16" s="8">
        <v>200473.60000000001</v>
      </c>
      <c r="F16" s="8">
        <v>0</v>
      </c>
      <c r="G16" s="8">
        <f t="shared" si="0"/>
        <v>1815322.99</v>
      </c>
      <c r="H16" s="4"/>
      <c r="I16" s="8"/>
      <c r="J16" s="4"/>
    </row>
    <row r="17" spans="2:13" x14ac:dyDescent="0.25">
      <c r="B17" s="5">
        <v>36770</v>
      </c>
      <c r="C17" s="5"/>
      <c r="D17" s="8">
        <v>1614849.39</v>
      </c>
      <c r="E17" s="8">
        <v>200473.60000000001</v>
      </c>
      <c r="F17" s="8">
        <v>0</v>
      </c>
      <c r="G17" s="8">
        <f t="shared" si="0"/>
        <v>1815322.99</v>
      </c>
      <c r="H17" s="4"/>
      <c r="I17" s="8"/>
      <c r="J17" s="4"/>
    </row>
    <row r="18" spans="2:13" x14ac:dyDescent="0.25">
      <c r="B18" s="5">
        <v>36800</v>
      </c>
      <c r="C18" s="5"/>
      <c r="D18" s="8">
        <v>1614849.39</v>
      </c>
      <c r="E18" s="8">
        <v>200473.60000000001</v>
      </c>
      <c r="F18" s="8">
        <v>0</v>
      </c>
      <c r="G18" s="8">
        <f t="shared" si="0"/>
        <v>1815322.99</v>
      </c>
      <c r="H18" s="4"/>
      <c r="I18" s="8"/>
      <c r="J18" s="4"/>
    </row>
    <row r="19" spans="2:13" x14ac:dyDescent="0.25">
      <c r="B19" s="5">
        <v>36831</v>
      </c>
      <c r="C19" s="5"/>
      <c r="D19" s="8">
        <v>1614849.39</v>
      </c>
      <c r="E19" s="8">
        <v>200473.60000000001</v>
      </c>
      <c r="F19" s="8">
        <v>0</v>
      </c>
      <c r="G19" s="8">
        <f t="shared" si="0"/>
        <v>1815322.99</v>
      </c>
      <c r="H19" s="4"/>
      <c r="I19" s="8"/>
      <c r="J19" s="4"/>
    </row>
    <row r="20" spans="2:13" x14ac:dyDescent="0.25">
      <c r="B20" s="5">
        <v>36861</v>
      </c>
      <c r="C20" s="5"/>
      <c r="D20" s="8">
        <v>1614849.39</v>
      </c>
      <c r="E20" s="8">
        <v>200473.60000000001</v>
      </c>
      <c r="F20" s="8">
        <v>0</v>
      </c>
      <c r="G20" s="8">
        <f t="shared" si="0"/>
        <v>1815322.99</v>
      </c>
      <c r="H20" s="4"/>
      <c r="I20" s="8"/>
      <c r="J20" s="4"/>
    </row>
    <row r="21" spans="2:13" ht="5.25" customHeight="1" x14ac:dyDescent="0.25">
      <c r="C21" s="5"/>
      <c r="D21" s="8"/>
      <c r="E21" s="8"/>
      <c r="F21" s="8"/>
      <c r="G21" s="8"/>
      <c r="H21" s="4"/>
      <c r="I21" s="8"/>
      <c r="J21" s="4"/>
    </row>
    <row r="22" spans="2:13" x14ac:dyDescent="0.25">
      <c r="B22" s="7" t="s">
        <v>20</v>
      </c>
      <c r="C22" s="5"/>
      <c r="D22" s="8">
        <f>SUM(D9:D21)</f>
        <v>17763343.290000003</v>
      </c>
      <c r="E22" s="8">
        <f>SUM(E9:E21)</f>
        <v>2205209.6000000006</v>
      </c>
      <c r="F22" s="8">
        <f>SUM(F9:F21)</f>
        <v>0</v>
      </c>
      <c r="G22" s="8">
        <f t="shared" si="0"/>
        <v>19968552.890000004</v>
      </c>
      <c r="H22" s="4"/>
      <c r="I22" s="8"/>
      <c r="J22" s="4"/>
    </row>
    <row r="23" spans="2:13" ht="6" customHeight="1" x14ac:dyDescent="0.25">
      <c r="B23" s="7"/>
      <c r="C23" s="5"/>
      <c r="D23" s="1"/>
      <c r="E23" s="1"/>
      <c r="F23" s="4"/>
      <c r="G23" s="4"/>
      <c r="H23" s="4"/>
      <c r="I23" s="8"/>
      <c r="J23" s="4"/>
    </row>
    <row r="24" spans="2:13" x14ac:dyDescent="0.25">
      <c r="I24" s="8"/>
    </row>
    <row r="25" spans="2:13" ht="15.6" x14ac:dyDescent="0.3">
      <c r="B25" s="6" t="s">
        <v>90</v>
      </c>
      <c r="I25" s="2"/>
    </row>
    <row r="26" spans="2:13" x14ac:dyDescent="0.25">
      <c r="B26" s="2"/>
      <c r="C26" s="2"/>
      <c r="G26" s="2"/>
      <c r="H26" s="2"/>
      <c r="I26" s="2" t="s">
        <v>5</v>
      </c>
      <c r="J26" s="2"/>
    </row>
    <row r="27" spans="2:13" x14ac:dyDescent="0.25">
      <c r="B27" s="2"/>
      <c r="C27" s="2"/>
      <c r="D27" s="2" t="s">
        <v>18</v>
      </c>
      <c r="F27" s="2" t="s">
        <v>94</v>
      </c>
      <c r="G27" s="2" t="s">
        <v>49</v>
      </c>
      <c r="H27" s="2"/>
      <c r="I27" s="2" t="s">
        <v>25</v>
      </c>
      <c r="M27" s="2"/>
    </row>
    <row r="28" spans="2:13" ht="13.8" thickBot="1" x14ac:dyDescent="0.3">
      <c r="B28" s="3" t="s">
        <v>0</v>
      </c>
      <c r="C28" s="3" t="s">
        <v>1</v>
      </c>
      <c r="D28" s="10" t="s">
        <v>91</v>
      </c>
      <c r="E28" s="10" t="s">
        <v>93</v>
      </c>
      <c r="F28" s="10" t="s">
        <v>95</v>
      </c>
      <c r="G28" s="3" t="s">
        <v>103</v>
      </c>
      <c r="H28" s="3"/>
      <c r="I28" s="3" t="s">
        <v>24</v>
      </c>
      <c r="M28" s="3"/>
    </row>
    <row r="29" spans="2:13" ht="4.5" customHeight="1" x14ac:dyDescent="0.25"/>
    <row r="30" spans="2:13" x14ac:dyDescent="0.25">
      <c r="B30" t="s">
        <v>98</v>
      </c>
      <c r="C30" s="17">
        <v>36717</v>
      </c>
      <c r="D30" s="14">
        <v>121392.38</v>
      </c>
      <c r="E30" s="16">
        <f t="shared" ref="E30:E35" si="1">F30/D30</f>
        <v>22.605158577498852</v>
      </c>
      <c r="F30" s="14">
        <v>2744094</v>
      </c>
      <c r="G30" s="18">
        <f>I30/F30</f>
        <v>2.3178810346875873</v>
      </c>
      <c r="H30" s="4"/>
      <c r="I30" s="8">
        <v>6360483.4400000004</v>
      </c>
      <c r="M30" s="1"/>
    </row>
    <row r="31" spans="2:13" x14ac:dyDescent="0.25">
      <c r="B31" t="s">
        <v>99</v>
      </c>
      <c r="C31" s="17">
        <v>36758</v>
      </c>
      <c r="D31" s="14">
        <v>68586.649999999994</v>
      </c>
      <c r="E31" s="16">
        <f t="shared" si="1"/>
        <v>22.544722624592396</v>
      </c>
      <c r="F31" s="14">
        <v>1546267</v>
      </c>
      <c r="G31" s="18">
        <v>2.3178890000000001</v>
      </c>
      <c r="H31" s="4"/>
      <c r="I31" s="8">
        <f>F31*G31</f>
        <v>3584075.2703630002</v>
      </c>
      <c r="M31" s="1"/>
    </row>
    <row r="32" spans="2:13" x14ac:dyDescent="0.25">
      <c r="B32" t="s">
        <v>100</v>
      </c>
      <c r="C32" s="17">
        <v>36783</v>
      </c>
      <c r="D32" s="14">
        <v>117073</v>
      </c>
      <c r="E32" s="16">
        <f t="shared" si="1"/>
        <v>22.470749019842319</v>
      </c>
      <c r="F32" s="14">
        <v>2630718</v>
      </c>
      <c r="G32" s="18">
        <v>2.3178890000000001</v>
      </c>
      <c r="H32" s="4"/>
      <c r="I32" s="8">
        <f>F32*G32</f>
        <v>6097712.3143020002</v>
      </c>
      <c r="M32" s="1"/>
    </row>
    <row r="33" spans="2:13" x14ac:dyDescent="0.25">
      <c r="B33" t="s">
        <v>101</v>
      </c>
      <c r="C33" s="17">
        <v>36825</v>
      </c>
      <c r="D33" s="14">
        <v>30086.6</v>
      </c>
      <c r="E33" s="16">
        <f t="shared" si="1"/>
        <v>22.619903877473693</v>
      </c>
      <c r="F33" s="14">
        <v>680556</v>
      </c>
      <c r="G33" s="18">
        <v>2.3178890000000001</v>
      </c>
      <c r="H33" s="4"/>
      <c r="I33" s="8">
        <f>F33*G33</f>
        <v>1577453.2662840001</v>
      </c>
      <c r="M33" s="1"/>
    </row>
    <row r="34" spans="2:13" x14ac:dyDescent="0.25">
      <c r="B34" t="s">
        <v>102</v>
      </c>
      <c r="C34" s="17">
        <v>36843</v>
      </c>
      <c r="D34" s="14">
        <v>111936.2</v>
      </c>
      <c r="E34" s="16">
        <f t="shared" si="1"/>
        <v>22.60664557131652</v>
      </c>
      <c r="F34" s="14">
        <v>2530502</v>
      </c>
      <c r="G34" s="18">
        <v>2.3178890000000001</v>
      </c>
      <c r="H34" s="4"/>
      <c r="I34" s="8">
        <f>F34*G34</f>
        <v>5865422.7502779998</v>
      </c>
      <c r="M34" s="1"/>
    </row>
    <row r="35" spans="2:13" ht="12.75" customHeight="1" x14ac:dyDescent="0.25">
      <c r="B35" t="s">
        <v>104</v>
      </c>
      <c r="C35" s="17">
        <v>36889</v>
      </c>
      <c r="D35" s="14">
        <v>122088.5</v>
      </c>
      <c r="E35" s="16">
        <f t="shared" si="1"/>
        <v>22.601612764510989</v>
      </c>
      <c r="F35" s="14">
        <v>2759397</v>
      </c>
      <c r="G35" s="18">
        <v>2.3178890000000001</v>
      </c>
      <c r="H35" s="4"/>
      <c r="I35" s="8">
        <f t="shared" ref="I35:I40" si="2">F35*G35</f>
        <v>6395975.9529330004</v>
      </c>
      <c r="M35" s="14"/>
    </row>
    <row r="36" spans="2:13" ht="12.75" customHeight="1" x14ac:dyDescent="0.25">
      <c r="C36" s="5"/>
      <c r="D36" s="14"/>
      <c r="E36" s="16"/>
      <c r="F36" s="14"/>
      <c r="G36" s="18"/>
      <c r="H36" s="4"/>
      <c r="I36" s="8">
        <f t="shared" si="2"/>
        <v>0</v>
      </c>
      <c r="M36" s="14"/>
    </row>
    <row r="37" spans="2:13" ht="12.75" customHeight="1" x14ac:dyDescent="0.25">
      <c r="C37" s="5"/>
      <c r="D37" s="14"/>
      <c r="E37" s="16"/>
      <c r="F37" s="14"/>
      <c r="G37" s="18"/>
      <c r="H37" s="4"/>
      <c r="I37" s="8">
        <f t="shared" si="2"/>
        <v>0</v>
      </c>
      <c r="M37" s="14"/>
    </row>
    <row r="38" spans="2:13" ht="12.75" customHeight="1" x14ac:dyDescent="0.25">
      <c r="C38" s="5"/>
      <c r="D38" s="14"/>
      <c r="E38" s="16"/>
      <c r="F38" s="14"/>
      <c r="G38" s="18"/>
      <c r="H38" s="4"/>
      <c r="I38" s="8">
        <f t="shared" si="2"/>
        <v>0</v>
      </c>
      <c r="M38" s="14"/>
    </row>
    <row r="39" spans="2:13" ht="12.75" customHeight="1" x14ac:dyDescent="0.25">
      <c r="C39" s="5"/>
      <c r="D39" s="14"/>
      <c r="E39" s="16"/>
      <c r="F39" s="14"/>
      <c r="G39" s="18"/>
      <c r="H39" s="4"/>
      <c r="I39" s="8">
        <f t="shared" si="2"/>
        <v>0</v>
      </c>
      <c r="M39" s="14"/>
    </row>
    <row r="40" spans="2:13" ht="12.75" customHeight="1" x14ac:dyDescent="0.25">
      <c r="C40" s="5"/>
      <c r="D40" s="14"/>
      <c r="E40" s="16"/>
      <c r="F40" s="14"/>
      <c r="G40" s="18"/>
      <c r="H40" s="4"/>
      <c r="I40" s="8">
        <f t="shared" si="2"/>
        <v>0</v>
      </c>
      <c r="M40" s="14"/>
    </row>
    <row r="41" spans="2:13" ht="6" customHeight="1" x14ac:dyDescent="0.25">
      <c r="C41" s="5"/>
      <c r="D41" s="14"/>
      <c r="E41" s="16"/>
      <c r="F41" s="14"/>
      <c r="G41" s="5"/>
      <c r="H41" s="2"/>
      <c r="I41" s="8"/>
      <c r="J41" s="2"/>
    </row>
    <row r="42" spans="2:13" x14ac:dyDescent="0.25">
      <c r="B42" s="7" t="s">
        <v>20</v>
      </c>
      <c r="C42" s="5"/>
      <c r="D42" s="14">
        <f>SUM(D30:D41)</f>
        <v>571163.33000000007</v>
      </c>
      <c r="E42" s="16"/>
      <c r="F42" s="14">
        <f>SUM(F30:F41)</f>
        <v>12891534</v>
      </c>
      <c r="G42" s="5"/>
      <c r="H42" s="2"/>
      <c r="I42" s="8">
        <f>SUM(I30:I41)</f>
        <v>29881122.994160004</v>
      </c>
      <c r="J42" s="2"/>
    </row>
    <row r="43" spans="2:13" x14ac:dyDescent="0.25">
      <c r="C43" s="5"/>
      <c r="D43" s="14"/>
      <c r="E43" s="16"/>
      <c r="F43" s="14"/>
      <c r="G43" s="5"/>
      <c r="H43" s="4"/>
      <c r="I43" s="4"/>
      <c r="J43" s="4"/>
    </row>
    <row r="44" spans="2:13" ht="15.6" x14ac:dyDescent="0.3">
      <c r="B44" s="6" t="s">
        <v>88</v>
      </c>
    </row>
    <row r="45" spans="2:13" x14ac:dyDescent="0.25">
      <c r="B45" s="2"/>
      <c r="C45" s="2"/>
      <c r="D45" s="2"/>
      <c r="E45" s="2"/>
      <c r="F45" s="2"/>
      <c r="G45" s="2" t="s">
        <v>96</v>
      </c>
      <c r="H45" s="2"/>
      <c r="I45" s="2"/>
      <c r="J45" s="2"/>
    </row>
    <row r="46" spans="2:13" x14ac:dyDescent="0.25">
      <c r="B46" s="2"/>
      <c r="C46" s="2" t="s">
        <v>1</v>
      </c>
      <c r="D46" s="2" t="s">
        <v>28</v>
      </c>
      <c r="E46" s="2" t="s">
        <v>44</v>
      </c>
      <c r="F46" s="2" t="s">
        <v>45</v>
      </c>
      <c r="G46" s="2" t="s">
        <v>97</v>
      </c>
      <c r="H46" s="2" t="s">
        <v>46</v>
      </c>
      <c r="I46" s="2" t="s">
        <v>5</v>
      </c>
      <c r="J46" s="2"/>
    </row>
    <row r="47" spans="2:13" x14ac:dyDescent="0.25">
      <c r="B47" s="3" t="s">
        <v>0</v>
      </c>
      <c r="C47" s="3" t="s">
        <v>2</v>
      </c>
      <c r="D47" s="3" t="s">
        <v>24</v>
      </c>
      <c r="E47" s="3" t="s">
        <v>24</v>
      </c>
      <c r="F47" s="3" t="s">
        <v>24</v>
      </c>
      <c r="G47" s="3" t="s">
        <v>24</v>
      </c>
      <c r="H47" s="3" t="s">
        <v>24</v>
      </c>
      <c r="I47" s="3" t="s">
        <v>24</v>
      </c>
      <c r="J47" s="3"/>
    </row>
    <row r="48" spans="2:13" ht="5.25" customHeight="1" x14ac:dyDescent="0.25"/>
    <row r="49" spans="2:15" x14ac:dyDescent="0.25">
      <c r="B49" t="s">
        <v>89</v>
      </c>
      <c r="C49" s="5">
        <v>36800</v>
      </c>
      <c r="D49" s="8"/>
      <c r="E49" s="8"/>
      <c r="F49" s="8"/>
      <c r="G49" s="8">
        <v>250000</v>
      </c>
      <c r="H49" s="8"/>
      <c r="I49" s="8">
        <f>SUM(D49:H49)</f>
        <v>250000</v>
      </c>
      <c r="J49" s="4"/>
    </row>
    <row r="50" spans="2:15" x14ac:dyDescent="0.25">
      <c r="C50" s="5"/>
      <c r="D50" s="8"/>
      <c r="E50" s="8"/>
      <c r="F50" s="8"/>
      <c r="H50" s="8"/>
      <c r="I50" s="8"/>
    </row>
    <row r="51" spans="2:15" x14ac:dyDescent="0.25">
      <c r="C51" s="5"/>
      <c r="D51" s="8"/>
      <c r="E51" s="8"/>
      <c r="F51" s="8"/>
      <c r="H51" s="8"/>
      <c r="I51" s="8"/>
    </row>
    <row r="52" spans="2:15" x14ac:dyDescent="0.25">
      <c r="C52" s="5"/>
      <c r="D52" s="8"/>
      <c r="E52" s="8"/>
      <c r="F52" s="8"/>
      <c r="H52" s="8"/>
      <c r="I52" s="8"/>
      <c r="N52" s="8"/>
      <c r="O52" s="8"/>
    </row>
    <row r="53" spans="2:15" ht="4.5" customHeight="1" x14ac:dyDescent="0.25">
      <c r="D53" s="8"/>
      <c r="E53" s="8"/>
      <c r="F53" s="8"/>
      <c r="H53" s="8"/>
      <c r="I53" s="8"/>
      <c r="N53" s="8"/>
    </row>
    <row r="54" spans="2:15" x14ac:dyDescent="0.25">
      <c r="C54" s="7" t="s">
        <v>5</v>
      </c>
      <c r="D54" s="8">
        <f t="shared" ref="D54:I54" si="3">SUM(D49:D53)</f>
        <v>0</v>
      </c>
      <c r="E54" s="8">
        <f t="shared" si="3"/>
        <v>0</v>
      </c>
      <c r="F54" s="8">
        <f t="shared" si="3"/>
        <v>0</v>
      </c>
      <c r="G54" s="8">
        <f t="shared" si="3"/>
        <v>250000</v>
      </c>
      <c r="H54" s="8">
        <f t="shared" si="3"/>
        <v>0</v>
      </c>
      <c r="I54" s="8">
        <f t="shared" si="3"/>
        <v>250000</v>
      </c>
      <c r="J54" s="8"/>
      <c r="N54" s="8"/>
    </row>
  </sheetData>
  <phoneticPr fontId="0" type="noConversion"/>
  <pageMargins left="0.25" right="0.25" top="0.5" bottom="0.5" header="0.5" footer="0.5"/>
  <pageSetup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4"/>
  <sheetViews>
    <sheetView zoomScale="75" workbookViewId="0">
      <selection activeCell="I5" sqref="I5"/>
    </sheetView>
  </sheetViews>
  <sheetFormatPr defaultRowHeight="13.2" x14ac:dyDescent="0.25"/>
  <cols>
    <col min="1" max="1" width="2.44140625" customWidth="1"/>
    <col min="2" max="2" width="28.109375" customWidth="1"/>
    <col min="3" max="3" width="10.5546875" customWidth="1"/>
    <col min="4" max="4" width="17.109375" customWidth="1"/>
    <col min="5" max="5" width="13.6640625" customWidth="1"/>
    <col min="6" max="6" width="16.109375" customWidth="1"/>
    <col min="7" max="7" width="14.44140625" customWidth="1"/>
    <col min="8" max="8" width="13.88671875" customWidth="1"/>
    <col min="9" max="9" width="14.44140625" customWidth="1"/>
    <col min="10" max="10" width="6.33203125" customWidth="1"/>
    <col min="11" max="11" width="4.44140625" customWidth="1"/>
    <col min="12" max="12" width="4.109375" customWidth="1"/>
    <col min="13" max="13" width="10.44140625" customWidth="1"/>
    <col min="14" max="14" width="13.6640625" bestFit="1" customWidth="1"/>
    <col min="15" max="15" width="10.6640625" bestFit="1" customWidth="1"/>
  </cols>
  <sheetData>
    <row r="2" spans="2:13" ht="17.399999999999999" x14ac:dyDescent="0.3">
      <c r="F2" s="9" t="s">
        <v>26</v>
      </c>
      <c r="I2" s="19" t="s">
        <v>108</v>
      </c>
    </row>
    <row r="4" spans="2:13" ht="15.6" x14ac:dyDescent="0.3">
      <c r="B4" s="6" t="s">
        <v>92</v>
      </c>
      <c r="F4" s="2"/>
    </row>
    <row r="5" spans="2:13" x14ac:dyDescent="0.25">
      <c r="B5" s="2"/>
      <c r="C5" s="2"/>
      <c r="D5" s="2"/>
      <c r="E5" s="2"/>
      <c r="F5" s="2"/>
      <c r="G5" s="2" t="s">
        <v>5</v>
      </c>
      <c r="H5" s="2"/>
      <c r="I5" s="2"/>
      <c r="J5" s="2"/>
    </row>
    <row r="6" spans="2:13" x14ac:dyDescent="0.25">
      <c r="B6" s="2"/>
      <c r="C6" s="2"/>
      <c r="D6" s="2" t="s">
        <v>105</v>
      </c>
      <c r="E6" s="2" t="s">
        <v>105</v>
      </c>
      <c r="F6" s="2" t="s">
        <v>37</v>
      </c>
      <c r="G6" s="2" t="s">
        <v>25</v>
      </c>
      <c r="H6" s="2"/>
      <c r="I6" s="2"/>
      <c r="J6" s="2"/>
    </row>
    <row r="7" spans="2:13" x14ac:dyDescent="0.25">
      <c r="B7" s="3" t="s">
        <v>2</v>
      </c>
      <c r="C7" s="3"/>
      <c r="D7" s="3" t="s">
        <v>106</v>
      </c>
      <c r="E7" s="3" t="s">
        <v>107</v>
      </c>
      <c r="F7" s="3" t="s">
        <v>107</v>
      </c>
      <c r="G7" s="3" t="s">
        <v>24</v>
      </c>
      <c r="H7" s="3"/>
      <c r="I7" s="3"/>
      <c r="J7" s="3"/>
    </row>
    <row r="9" spans="2:13" x14ac:dyDescent="0.25">
      <c r="B9" s="5">
        <v>36526</v>
      </c>
      <c r="C9" s="5"/>
      <c r="D9" s="8">
        <v>0</v>
      </c>
      <c r="E9" s="8">
        <v>0</v>
      </c>
      <c r="F9" s="8">
        <v>0</v>
      </c>
      <c r="G9" s="8">
        <f>SUM(D9:F9)</f>
        <v>0</v>
      </c>
      <c r="H9" s="4"/>
      <c r="I9" s="8"/>
      <c r="J9" s="4"/>
    </row>
    <row r="10" spans="2:13" x14ac:dyDescent="0.25">
      <c r="B10" s="5">
        <v>36557</v>
      </c>
      <c r="C10" s="5"/>
      <c r="D10" s="8">
        <v>0</v>
      </c>
      <c r="E10" s="8">
        <v>0</v>
      </c>
      <c r="F10" s="8">
        <v>0</v>
      </c>
      <c r="G10" s="8">
        <f t="shared" ref="G10:G20" si="0">SUM(D10:F10)</f>
        <v>0</v>
      </c>
      <c r="H10" s="4"/>
      <c r="I10" s="8"/>
      <c r="J10" s="4"/>
    </row>
    <row r="11" spans="2:13" x14ac:dyDescent="0.25">
      <c r="B11" s="5">
        <v>36586</v>
      </c>
      <c r="C11" s="5"/>
      <c r="D11" s="8">
        <v>0</v>
      </c>
      <c r="E11" s="8">
        <v>0</v>
      </c>
      <c r="F11" s="8">
        <v>0</v>
      </c>
      <c r="G11" s="8">
        <f t="shared" si="0"/>
        <v>0</v>
      </c>
      <c r="H11" s="4"/>
      <c r="I11" s="8"/>
      <c r="J11" s="4"/>
      <c r="M11" s="8"/>
    </row>
    <row r="12" spans="2:13" x14ac:dyDescent="0.25">
      <c r="B12" s="5">
        <v>36617</v>
      </c>
      <c r="C12" s="5"/>
      <c r="D12" s="8">
        <v>0</v>
      </c>
      <c r="E12" s="8">
        <v>0</v>
      </c>
      <c r="F12" s="8">
        <v>0</v>
      </c>
      <c r="G12" s="8">
        <f t="shared" si="0"/>
        <v>0</v>
      </c>
      <c r="H12" s="4"/>
      <c r="I12" s="8"/>
      <c r="J12" s="4"/>
    </row>
    <row r="13" spans="2:13" x14ac:dyDescent="0.25">
      <c r="B13" s="5">
        <v>36647</v>
      </c>
      <c r="C13" s="5"/>
      <c r="D13" s="8">
        <v>0</v>
      </c>
      <c r="E13" s="8">
        <v>0</v>
      </c>
      <c r="F13" s="8">
        <v>0</v>
      </c>
      <c r="G13" s="8">
        <f t="shared" si="0"/>
        <v>0</v>
      </c>
      <c r="H13" s="4"/>
      <c r="I13" s="8"/>
      <c r="J13" s="4"/>
    </row>
    <row r="14" spans="2:13" x14ac:dyDescent="0.25">
      <c r="B14" s="5">
        <v>36678</v>
      </c>
      <c r="C14" s="5"/>
      <c r="D14" s="8">
        <v>0</v>
      </c>
      <c r="E14" s="8">
        <v>0</v>
      </c>
      <c r="F14" s="8">
        <v>0</v>
      </c>
      <c r="G14" s="8">
        <f t="shared" si="0"/>
        <v>0</v>
      </c>
      <c r="H14" s="4"/>
      <c r="I14" s="8"/>
      <c r="J14" s="4"/>
    </row>
    <row r="15" spans="2:13" x14ac:dyDescent="0.25">
      <c r="B15" s="5">
        <v>36708</v>
      </c>
      <c r="C15" s="5"/>
      <c r="D15" s="8">
        <v>0</v>
      </c>
      <c r="E15" s="8">
        <v>0</v>
      </c>
      <c r="F15" s="8">
        <v>0</v>
      </c>
      <c r="G15" s="8">
        <f t="shared" si="0"/>
        <v>0</v>
      </c>
      <c r="H15" s="4"/>
      <c r="I15" s="8"/>
      <c r="J15" s="4"/>
    </row>
    <row r="16" spans="2:13" x14ac:dyDescent="0.25">
      <c r="B16" s="5">
        <v>36739</v>
      </c>
      <c r="C16" s="5"/>
      <c r="D16" s="8">
        <v>0</v>
      </c>
      <c r="E16" s="8">
        <v>0</v>
      </c>
      <c r="F16" s="8">
        <v>0</v>
      </c>
      <c r="G16" s="8">
        <f t="shared" si="0"/>
        <v>0</v>
      </c>
      <c r="H16" s="4"/>
      <c r="I16" s="8"/>
      <c r="J16" s="4"/>
    </row>
    <row r="17" spans="2:13" x14ac:dyDescent="0.25">
      <c r="B17" s="5">
        <v>36770</v>
      </c>
      <c r="C17" s="5"/>
      <c r="D17" s="8">
        <v>0</v>
      </c>
      <c r="E17" s="8">
        <v>0</v>
      </c>
      <c r="F17" s="8">
        <v>0</v>
      </c>
      <c r="G17" s="8">
        <f t="shared" si="0"/>
        <v>0</v>
      </c>
      <c r="H17" s="4"/>
      <c r="I17" s="8"/>
      <c r="J17" s="4"/>
    </row>
    <row r="18" spans="2:13" x14ac:dyDescent="0.25">
      <c r="B18" s="5">
        <v>36800</v>
      </c>
      <c r="C18" s="5"/>
      <c r="D18" s="8">
        <v>0</v>
      </c>
      <c r="E18" s="8">
        <v>0</v>
      </c>
      <c r="F18" s="8">
        <v>0</v>
      </c>
      <c r="G18" s="8">
        <f t="shared" si="0"/>
        <v>0</v>
      </c>
      <c r="H18" s="4"/>
      <c r="I18" s="8"/>
      <c r="J18" s="4"/>
    </row>
    <row r="19" spans="2:13" x14ac:dyDescent="0.25">
      <c r="B19" s="5">
        <v>36831</v>
      </c>
      <c r="C19" s="5"/>
      <c r="D19" s="8">
        <v>0</v>
      </c>
      <c r="E19" s="8">
        <v>0</v>
      </c>
      <c r="F19" s="8">
        <v>0</v>
      </c>
      <c r="G19" s="8">
        <f t="shared" si="0"/>
        <v>0</v>
      </c>
      <c r="H19" s="4"/>
      <c r="I19" s="8"/>
      <c r="J19" s="4"/>
    </row>
    <row r="20" spans="2:13" x14ac:dyDescent="0.25">
      <c r="B20" s="5">
        <v>36861</v>
      </c>
      <c r="C20" s="5"/>
      <c r="D20" s="8">
        <v>0</v>
      </c>
      <c r="E20" s="8">
        <v>0</v>
      </c>
      <c r="F20" s="8">
        <v>0</v>
      </c>
      <c r="G20" s="8">
        <f t="shared" si="0"/>
        <v>0</v>
      </c>
      <c r="H20" s="4"/>
      <c r="I20" s="8"/>
      <c r="J20" s="4"/>
    </row>
    <row r="21" spans="2:13" ht="5.25" customHeight="1" x14ac:dyDescent="0.25">
      <c r="C21" s="5"/>
      <c r="D21" s="8"/>
      <c r="E21" s="8"/>
      <c r="F21" s="8"/>
      <c r="G21" s="8"/>
      <c r="H21" s="4"/>
      <c r="I21" s="8"/>
      <c r="J21" s="4"/>
    </row>
    <row r="22" spans="2:13" x14ac:dyDescent="0.25">
      <c r="B22" s="7" t="s">
        <v>20</v>
      </c>
      <c r="C22" s="5"/>
      <c r="D22" s="8">
        <f>SUM(D9:D21)</f>
        <v>0</v>
      </c>
      <c r="E22" s="8">
        <f>SUM(E9:E21)</f>
        <v>0</v>
      </c>
      <c r="F22" s="8">
        <f>SUM(F9:F21)</f>
        <v>0</v>
      </c>
      <c r="G22" s="8">
        <f>SUM(D22:F22)</f>
        <v>0</v>
      </c>
      <c r="H22" s="4"/>
      <c r="I22" s="8"/>
      <c r="J22" s="4"/>
    </row>
    <row r="23" spans="2:13" ht="6" customHeight="1" x14ac:dyDescent="0.25">
      <c r="B23" s="7"/>
      <c r="C23" s="5"/>
      <c r="D23" s="1"/>
      <c r="E23" s="1"/>
      <c r="F23" s="4"/>
      <c r="G23" s="4"/>
      <c r="H23" s="4"/>
      <c r="I23" s="8"/>
      <c r="J23" s="4"/>
    </row>
    <row r="24" spans="2:13" x14ac:dyDescent="0.25">
      <c r="I24" s="8"/>
    </row>
    <row r="25" spans="2:13" ht="15.6" x14ac:dyDescent="0.3">
      <c r="B25" s="6" t="s">
        <v>90</v>
      </c>
      <c r="I25" s="2"/>
    </row>
    <row r="26" spans="2:13" x14ac:dyDescent="0.25">
      <c r="B26" s="2"/>
      <c r="C26" s="2"/>
      <c r="G26" s="2"/>
      <c r="H26" s="2"/>
      <c r="I26" s="2" t="s">
        <v>5</v>
      </c>
      <c r="J26" s="2"/>
    </row>
    <row r="27" spans="2:13" x14ac:dyDescent="0.25">
      <c r="B27" s="2"/>
      <c r="C27" s="2"/>
      <c r="D27" s="2" t="s">
        <v>18</v>
      </c>
      <c r="F27" s="2" t="s">
        <v>94</v>
      </c>
      <c r="G27" s="2" t="s">
        <v>49</v>
      </c>
      <c r="H27" s="2"/>
      <c r="I27" s="2" t="s">
        <v>25</v>
      </c>
      <c r="M27" s="2"/>
    </row>
    <row r="28" spans="2:13" ht="13.8" thickBot="1" x14ac:dyDescent="0.3">
      <c r="B28" s="3" t="s">
        <v>0</v>
      </c>
      <c r="C28" s="3" t="s">
        <v>1</v>
      </c>
      <c r="D28" s="10" t="s">
        <v>91</v>
      </c>
      <c r="E28" s="10" t="s">
        <v>93</v>
      </c>
      <c r="F28" s="10" t="s">
        <v>95</v>
      </c>
      <c r="G28" s="3" t="s">
        <v>103</v>
      </c>
      <c r="H28" s="3"/>
      <c r="I28" s="3" t="s">
        <v>24</v>
      </c>
      <c r="M28" s="3"/>
    </row>
    <row r="29" spans="2:13" ht="4.5" customHeight="1" x14ac:dyDescent="0.25"/>
    <row r="30" spans="2:13" x14ac:dyDescent="0.25">
      <c r="B30" t="s">
        <v>109</v>
      </c>
      <c r="C30" s="17">
        <v>36927</v>
      </c>
      <c r="D30" s="14">
        <v>9.9999999999999995E-8</v>
      </c>
      <c r="E30" s="16">
        <f t="shared" ref="E30:E35" si="1">F30/D30</f>
        <v>1000.0000000000001</v>
      </c>
      <c r="F30" s="14">
        <v>1E-4</v>
      </c>
      <c r="G30" s="18">
        <v>3.48</v>
      </c>
      <c r="H30" s="4"/>
      <c r="I30" s="8">
        <f t="shared" ref="I30:I40" si="2">F30*G30</f>
        <v>3.48E-4</v>
      </c>
      <c r="M30" s="1"/>
    </row>
    <row r="31" spans="2:13" x14ac:dyDescent="0.25">
      <c r="B31" t="s">
        <v>110</v>
      </c>
      <c r="C31" s="17">
        <v>36933</v>
      </c>
      <c r="D31" s="14">
        <v>9.9999999999999995E-8</v>
      </c>
      <c r="E31" s="16">
        <f t="shared" si="1"/>
        <v>1000.0000000000001</v>
      </c>
      <c r="F31" s="14">
        <v>1E-4</v>
      </c>
      <c r="G31" s="18">
        <v>3.48</v>
      </c>
      <c r="H31" s="4"/>
      <c r="I31" s="8">
        <f t="shared" si="2"/>
        <v>3.48E-4</v>
      </c>
      <c r="M31" s="1"/>
    </row>
    <row r="32" spans="2:13" x14ac:dyDescent="0.25">
      <c r="B32" t="s">
        <v>111</v>
      </c>
      <c r="C32" s="17">
        <v>36959</v>
      </c>
      <c r="D32" s="14">
        <v>9.9999999999999995E-8</v>
      </c>
      <c r="E32" s="16">
        <f t="shared" si="1"/>
        <v>1000.0000000000001</v>
      </c>
      <c r="F32" s="14">
        <v>1E-4</v>
      </c>
      <c r="G32" s="18">
        <v>3.48</v>
      </c>
      <c r="H32" s="4"/>
      <c r="I32" s="8">
        <f t="shared" si="2"/>
        <v>3.48E-4</v>
      </c>
      <c r="M32" s="1"/>
    </row>
    <row r="33" spans="2:13" x14ac:dyDescent="0.25">
      <c r="B33" t="s">
        <v>112</v>
      </c>
      <c r="C33" s="17">
        <v>36979</v>
      </c>
      <c r="D33" s="14">
        <v>9.9999999999999995E-8</v>
      </c>
      <c r="E33" s="16">
        <f t="shared" si="1"/>
        <v>1000.0000000000001</v>
      </c>
      <c r="F33" s="14">
        <v>1E-4</v>
      </c>
      <c r="G33" s="18">
        <v>3.48</v>
      </c>
      <c r="H33" s="4"/>
      <c r="I33" s="8">
        <f t="shared" si="2"/>
        <v>3.48E-4</v>
      </c>
      <c r="M33" s="1"/>
    </row>
    <row r="34" spans="2:13" x14ac:dyDescent="0.25">
      <c r="B34" t="s">
        <v>113</v>
      </c>
      <c r="C34" s="17">
        <v>37029</v>
      </c>
      <c r="D34" s="14">
        <v>9.9999999999999995E-8</v>
      </c>
      <c r="E34" s="16">
        <f t="shared" si="1"/>
        <v>1000.0000000000001</v>
      </c>
      <c r="F34" s="14">
        <v>1E-4</v>
      </c>
      <c r="G34" s="18">
        <v>3.48</v>
      </c>
      <c r="H34" s="4"/>
      <c r="I34" s="8">
        <f t="shared" si="2"/>
        <v>3.48E-4</v>
      </c>
      <c r="M34" s="1"/>
    </row>
    <row r="35" spans="2:13" ht="12.75" customHeight="1" x14ac:dyDescent="0.25">
      <c r="B35" t="s">
        <v>114</v>
      </c>
      <c r="C35" s="17">
        <v>37077</v>
      </c>
      <c r="D35" s="14">
        <v>9.9999999999999995E-8</v>
      </c>
      <c r="E35" s="16">
        <f t="shared" si="1"/>
        <v>1000.0000000000001</v>
      </c>
      <c r="F35" s="14">
        <v>1E-4</v>
      </c>
      <c r="G35" s="18">
        <v>3.48</v>
      </c>
      <c r="H35" s="4"/>
      <c r="I35" s="8">
        <f t="shared" si="2"/>
        <v>3.48E-4</v>
      </c>
      <c r="M35" s="14"/>
    </row>
    <row r="36" spans="2:13" ht="12.75" customHeight="1" x14ac:dyDescent="0.25">
      <c r="C36" s="5"/>
      <c r="D36" s="14"/>
      <c r="E36" s="16"/>
      <c r="F36" s="14"/>
      <c r="G36" s="18"/>
      <c r="H36" s="4"/>
      <c r="I36" s="8">
        <f t="shared" si="2"/>
        <v>0</v>
      </c>
      <c r="M36" s="14"/>
    </row>
    <row r="37" spans="2:13" ht="12.75" customHeight="1" x14ac:dyDescent="0.25">
      <c r="C37" s="5"/>
      <c r="D37" s="14"/>
      <c r="E37" s="16"/>
      <c r="F37" s="14"/>
      <c r="G37" s="18"/>
      <c r="H37" s="4"/>
      <c r="I37" s="8">
        <f t="shared" si="2"/>
        <v>0</v>
      </c>
      <c r="M37" s="14"/>
    </row>
    <row r="38" spans="2:13" ht="12.75" customHeight="1" x14ac:dyDescent="0.25">
      <c r="C38" s="5"/>
      <c r="D38" s="14"/>
      <c r="E38" s="16"/>
      <c r="F38" s="14"/>
      <c r="G38" s="18"/>
      <c r="H38" s="4"/>
      <c r="I38" s="8">
        <f t="shared" si="2"/>
        <v>0</v>
      </c>
      <c r="M38" s="14"/>
    </row>
    <row r="39" spans="2:13" ht="12.75" customHeight="1" x14ac:dyDescent="0.25">
      <c r="C39" s="5"/>
      <c r="D39" s="14"/>
      <c r="E39" s="16"/>
      <c r="F39" s="14"/>
      <c r="G39" s="18"/>
      <c r="H39" s="4"/>
      <c r="I39" s="8">
        <f t="shared" si="2"/>
        <v>0</v>
      </c>
      <c r="M39" s="14"/>
    </row>
    <row r="40" spans="2:13" ht="12.75" customHeight="1" x14ac:dyDescent="0.25">
      <c r="C40" s="5"/>
      <c r="D40" s="14"/>
      <c r="E40" s="16"/>
      <c r="F40" s="14"/>
      <c r="G40" s="18"/>
      <c r="H40" s="4"/>
      <c r="I40" s="8">
        <f t="shared" si="2"/>
        <v>0</v>
      </c>
      <c r="M40" s="14"/>
    </row>
    <row r="41" spans="2:13" ht="6" customHeight="1" x14ac:dyDescent="0.25">
      <c r="C41" s="5"/>
      <c r="D41" s="14"/>
      <c r="E41" s="16"/>
      <c r="F41" s="14"/>
      <c r="G41" s="5"/>
      <c r="H41" s="2"/>
      <c r="I41" s="8"/>
      <c r="J41" s="2"/>
    </row>
    <row r="42" spans="2:13" x14ac:dyDescent="0.25">
      <c r="B42" s="7" t="s">
        <v>20</v>
      </c>
      <c r="C42" s="5"/>
      <c r="D42" s="14">
        <f>SUM(D30:D41)</f>
        <v>5.9999999999999997E-7</v>
      </c>
      <c r="E42" s="16"/>
      <c r="F42" s="14">
        <f>SUM(F30:F41)</f>
        <v>6.0000000000000006E-4</v>
      </c>
      <c r="G42" s="5"/>
      <c r="H42" s="2"/>
      <c r="I42" s="8">
        <f>SUM(I30:I41)</f>
        <v>2.088E-3</v>
      </c>
      <c r="J42" s="2"/>
    </row>
    <row r="43" spans="2:13" x14ac:dyDescent="0.25">
      <c r="C43" s="5"/>
      <c r="D43" s="14"/>
      <c r="E43" s="16"/>
      <c r="F43" s="14"/>
      <c r="G43" s="5"/>
      <c r="H43" s="4"/>
      <c r="I43" s="4"/>
      <c r="J43" s="4"/>
    </row>
    <row r="44" spans="2:13" ht="15.6" x14ac:dyDescent="0.3">
      <c r="B44" s="6" t="s">
        <v>88</v>
      </c>
    </row>
    <row r="45" spans="2:13" x14ac:dyDescent="0.25">
      <c r="B45" s="2"/>
      <c r="C45" s="2"/>
      <c r="D45" s="2"/>
      <c r="E45" s="2"/>
      <c r="F45" s="2"/>
      <c r="G45" s="2" t="s">
        <v>96</v>
      </c>
      <c r="H45" s="2"/>
      <c r="I45" s="2"/>
      <c r="J45" s="2"/>
    </row>
    <row r="46" spans="2:13" x14ac:dyDescent="0.25">
      <c r="B46" s="2"/>
      <c r="C46" s="2" t="s">
        <v>1</v>
      </c>
      <c r="D46" s="2" t="s">
        <v>28</v>
      </c>
      <c r="E46" s="2" t="s">
        <v>44</v>
      </c>
      <c r="F46" s="2" t="s">
        <v>45</v>
      </c>
      <c r="G46" s="2" t="s">
        <v>97</v>
      </c>
      <c r="H46" s="2" t="s">
        <v>46</v>
      </c>
      <c r="I46" s="2" t="s">
        <v>5</v>
      </c>
      <c r="J46" s="2"/>
    </row>
    <row r="47" spans="2:13" x14ac:dyDescent="0.25">
      <c r="B47" s="3" t="s">
        <v>0</v>
      </c>
      <c r="C47" s="3" t="s">
        <v>2</v>
      </c>
      <c r="D47" s="3" t="s">
        <v>24</v>
      </c>
      <c r="E47" s="3" t="s">
        <v>24</v>
      </c>
      <c r="F47" s="3" t="s">
        <v>24</v>
      </c>
      <c r="G47" s="3" t="s">
        <v>24</v>
      </c>
      <c r="H47" s="3" t="s">
        <v>24</v>
      </c>
      <c r="I47" s="3" t="s">
        <v>24</v>
      </c>
      <c r="J47" s="3"/>
    </row>
    <row r="48" spans="2:13" ht="5.25" customHeight="1" x14ac:dyDescent="0.25"/>
    <row r="49" spans="2:15" x14ac:dyDescent="0.25">
      <c r="B49" t="s">
        <v>115</v>
      </c>
      <c r="C49" s="5">
        <v>36951</v>
      </c>
      <c r="D49" s="8"/>
      <c r="E49" s="8"/>
      <c r="F49" s="8"/>
      <c r="G49" s="8">
        <v>3038619</v>
      </c>
      <c r="H49" s="8"/>
      <c r="I49" s="8">
        <f>SUM(D49:H49)</f>
        <v>3038619</v>
      </c>
      <c r="J49" s="4"/>
    </row>
    <row r="50" spans="2:15" x14ac:dyDescent="0.25">
      <c r="C50" s="5"/>
      <c r="D50" s="8"/>
      <c r="E50" s="8"/>
      <c r="F50" s="8"/>
      <c r="H50" s="8"/>
      <c r="I50" s="8"/>
    </row>
    <row r="51" spans="2:15" x14ac:dyDescent="0.25">
      <c r="C51" s="5"/>
      <c r="D51" s="8"/>
      <c r="E51" s="8"/>
      <c r="F51" s="8"/>
      <c r="H51" s="8"/>
      <c r="I51" s="8"/>
    </row>
    <row r="52" spans="2:15" x14ac:dyDescent="0.25">
      <c r="C52" s="5"/>
      <c r="D52" s="8"/>
      <c r="E52" s="8"/>
      <c r="F52" s="8"/>
      <c r="H52" s="8"/>
      <c r="I52" s="8"/>
      <c r="N52" s="8"/>
      <c r="O52" s="8"/>
    </row>
    <row r="53" spans="2:15" ht="4.5" customHeight="1" x14ac:dyDescent="0.25">
      <c r="D53" s="8"/>
      <c r="E53" s="8"/>
      <c r="F53" s="8"/>
      <c r="H53" s="8"/>
      <c r="I53" s="8"/>
      <c r="N53" s="8"/>
    </row>
    <row r="54" spans="2:15" x14ac:dyDescent="0.25">
      <c r="C54" s="7" t="s">
        <v>5</v>
      </c>
      <c r="D54" s="8">
        <f t="shared" ref="D54:I54" si="3">SUM(D49:D53)</f>
        <v>0</v>
      </c>
      <c r="E54" s="8">
        <f t="shared" si="3"/>
        <v>0</v>
      </c>
      <c r="F54" s="8">
        <f t="shared" si="3"/>
        <v>0</v>
      </c>
      <c r="G54" s="8">
        <f t="shared" si="3"/>
        <v>3038619</v>
      </c>
      <c r="H54" s="8">
        <f t="shared" si="3"/>
        <v>0</v>
      </c>
      <c r="I54" s="8">
        <f t="shared" si="3"/>
        <v>3038619</v>
      </c>
      <c r="J54" s="8"/>
      <c r="N54" s="8"/>
    </row>
  </sheetData>
  <phoneticPr fontId="0" type="noConversion"/>
  <pageMargins left="0.25" right="0.25" top="0.5" bottom="0.5" header="0.5" footer="0.5"/>
  <pageSetup scale="75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LPG &amp; No. 2 OIL</vt:lpstr>
      <vt:lpstr>LNG 2000</vt:lpstr>
      <vt:lpstr>LNG 2001</vt:lpstr>
      <vt:lpstr>Sheet2</vt:lpstr>
      <vt:lpstr>Sheet3</vt:lpstr>
      <vt:lpstr>'LNG 2000'!Print_Area</vt:lpstr>
      <vt:lpstr>'LNG 2001'!Print_Area</vt:lpstr>
      <vt:lpstr>'LPG &amp; No. 2 OIL'!Print_Area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2001-01-29T21:13:25Z</cp:lastPrinted>
  <dcterms:created xsi:type="dcterms:W3CDTF">2000-01-26T13:58:01Z</dcterms:created>
  <dcterms:modified xsi:type="dcterms:W3CDTF">2023-09-10T15:02:24Z</dcterms:modified>
</cp:coreProperties>
</file>