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Demand" sheetId="3" r:id="rId1"/>
    <sheet name="Sheet1" sheetId="1" r:id="rId2"/>
    <sheet name="Sheet2" sheetId="2" r:id="rId3"/>
  </sheets>
  <definedNames>
    <definedName name="_xlnm.Print_Area" localSheetId="0">Demand!$A$1:$K$26</definedName>
  </definedNames>
  <calcPr calcId="0"/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J9" i="3"/>
  <c r="K9" i="3"/>
  <c r="J10" i="3"/>
  <c r="C12" i="3"/>
  <c r="D12" i="3"/>
  <c r="E12" i="3"/>
  <c r="F12" i="3"/>
  <c r="G12" i="3"/>
  <c r="H12" i="3"/>
  <c r="I12" i="3"/>
  <c r="J12" i="3"/>
  <c r="C14" i="3"/>
  <c r="D14" i="3"/>
  <c r="G14" i="3"/>
  <c r="H14" i="3"/>
  <c r="I14" i="3"/>
  <c r="J14" i="3"/>
  <c r="C15" i="3"/>
  <c r="D15" i="3"/>
  <c r="G15" i="3"/>
  <c r="H15" i="3"/>
  <c r="I15" i="3"/>
  <c r="J15" i="3"/>
  <c r="C16" i="3"/>
  <c r="D16" i="3"/>
  <c r="C17" i="3"/>
  <c r="D17" i="3"/>
  <c r="E17" i="3"/>
  <c r="F17" i="3"/>
  <c r="G17" i="3"/>
  <c r="H17" i="3"/>
  <c r="I17" i="3"/>
  <c r="J17" i="3"/>
  <c r="C19" i="3"/>
  <c r="D19" i="3"/>
  <c r="E19" i="3"/>
  <c r="F19" i="3"/>
  <c r="G19" i="3"/>
  <c r="H19" i="3"/>
  <c r="I19" i="3"/>
  <c r="J19" i="3"/>
  <c r="C21" i="3"/>
  <c r="D21" i="3"/>
  <c r="E21" i="3"/>
  <c r="F21" i="3"/>
  <c r="G21" i="3"/>
  <c r="H21" i="3"/>
  <c r="I21" i="3"/>
  <c r="J21" i="3"/>
  <c r="C23" i="3"/>
  <c r="D23" i="3"/>
  <c r="E23" i="3"/>
  <c r="F23" i="3"/>
  <c r="G23" i="3"/>
  <c r="H23" i="3"/>
  <c r="I23" i="3"/>
  <c r="J23" i="3"/>
  <c r="C25" i="3"/>
  <c r="D25" i="3"/>
  <c r="E25" i="3"/>
  <c r="F25" i="3"/>
  <c r="G25" i="3"/>
  <c r="H25" i="3"/>
  <c r="I25" i="3"/>
  <c r="J25" i="3"/>
  <c r="K25" i="3"/>
  <c r="B5" i="1"/>
  <c r="B6" i="1"/>
  <c r="B7" i="1"/>
  <c r="B8" i="1"/>
  <c r="B13" i="1"/>
  <c r="C14" i="1"/>
  <c r="D18" i="1"/>
  <c r="E18" i="1"/>
  <c r="F18" i="1"/>
  <c r="G18" i="1"/>
  <c r="H18" i="1"/>
  <c r="I18" i="1"/>
  <c r="J18" i="1"/>
  <c r="K18" i="1"/>
  <c r="D23" i="1"/>
  <c r="E23" i="1"/>
  <c r="F23" i="1"/>
  <c r="G23" i="1"/>
  <c r="H23" i="1"/>
  <c r="I23" i="1"/>
  <c r="J23" i="1"/>
  <c r="K23" i="1"/>
  <c r="D25" i="1"/>
  <c r="E25" i="1"/>
  <c r="F25" i="1"/>
  <c r="G25" i="1"/>
  <c r="H25" i="1"/>
  <c r="I25" i="1"/>
  <c r="J25" i="1"/>
  <c r="K25" i="1"/>
  <c r="D27" i="1"/>
  <c r="E27" i="1"/>
  <c r="F27" i="1"/>
  <c r="G27" i="1"/>
  <c r="H27" i="1"/>
  <c r="I27" i="1"/>
  <c r="J27" i="1"/>
  <c r="K27" i="1"/>
  <c r="D28" i="1"/>
  <c r="E28" i="1"/>
  <c r="F29" i="1"/>
  <c r="G29" i="1"/>
  <c r="H29" i="1"/>
  <c r="I29" i="1"/>
  <c r="J29" i="1"/>
  <c r="L29" i="1"/>
  <c r="D32" i="1"/>
  <c r="E32" i="1"/>
  <c r="F32" i="1"/>
  <c r="G32" i="1"/>
  <c r="H32" i="1"/>
  <c r="I32" i="1"/>
  <c r="J32" i="1"/>
  <c r="D36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6" i="1"/>
  <c r="E46" i="1"/>
  <c r="F46" i="1"/>
  <c r="G46" i="1"/>
  <c r="H46" i="1"/>
  <c r="I46" i="1"/>
  <c r="J46" i="1"/>
  <c r="K46" i="1"/>
  <c r="D48" i="1"/>
  <c r="E48" i="1"/>
  <c r="F48" i="1"/>
  <c r="G48" i="1"/>
  <c r="H48" i="1"/>
  <c r="I48" i="1"/>
  <c r="J48" i="1"/>
  <c r="K48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E56" i="1"/>
  <c r="F56" i="1"/>
  <c r="G56" i="1"/>
  <c r="H56" i="1"/>
  <c r="I56" i="1"/>
  <c r="J56" i="1"/>
  <c r="K56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1" i="1"/>
  <c r="E61" i="1"/>
  <c r="F61" i="1"/>
  <c r="G61" i="1"/>
  <c r="H61" i="1"/>
  <c r="I61" i="1"/>
  <c r="J61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C3" i="2"/>
  <c r="C5" i="2"/>
  <c r="D5" i="2"/>
  <c r="C7" i="2"/>
  <c r="D7" i="2"/>
</calcChain>
</file>

<file path=xl/sharedStrings.xml><?xml version="1.0" encoding="utf-8"?>
<sst xmlns="http://schemas.openxmlformats.org/spreadsheetml/2006/main" count="76" uniqueCount="71">
  <si>
    <t>Payment</t>
  </si>
  <si>
    <t>Formula</t>
  </si>
  <si>
    <t>Cash</t>
  </si>
  <si>
    <t>Gas</t>
  </si>
  <si>
    <t>Demand Payment</t>
  </si>
  <si>
    <t>Proposed Post-Merger Rate:</t>
  </si>
  <si>
    <t>Horsepower (FERC)</t>
  </si>
  <si>
    <t>O&amp;M Cost per Horsepower</t>
  </si>
  <si>
    <t>Hp to Kw Conversion Factor</t>
  </si>
  <si>
    <t>Usage (Kwh)</t>
  </si>
  <si>
    <t>(10,000Hp*.7457/95.1%)</t>
  </si>
  <si>
    <t>Train Electrical Efficiency</t>
  </si>
  <si>
    <t>Max Usage Kwhr per day</t>
  </si>
  <si>
    <t>(7,843Kwh*24)</t>
  </si>
  <si>
    <t>Actual Usage Kwhr per month</t>
  </si>
  <si>
    <t>(188,320Khw*365)/12months</t>
  </si>
  <si>
    <t>Load Factor</t>
  </si>
  <si>
    <t>Gas Prices</t>
  </si>
  <si>
    <t>Customer Charge</t>
  </si>
  <si>
    <t>Generation Demand Charge</t>
  </si>
  <si>
    <t>Transmission Demand Charge</t>
  </si>
  <si>
    <t>($12.21-$8.86)</t>
  </si>
  <si>
    <t>Energy charge per month</t>
  </si>
  <si>
    <t>PRC Fees Surcharge</t>
  </si>
  <si>
    <t>Gross Receipts Tax</t>
  </si>
  <si>
    <t>Percent of Demand Charge Hit</t>
  </si>
  <si>
    <t>($2,854,079*.19)/12</t>
  </si>
  <si>
    <t>(((+10,000*(8.86+3.35))+1,050)*(1+.50%))*(1+5.62%)-((((8.86*0.25)+3.35)*(10,000*.7457/95.1%))+1,050)*(1+.50%)*(1+5.62%)</t>
  </si>
  <si>
    <t>(2854079*.81)/2.43799/12</t>
  </si>
  <si>
    <t>Add on</t>
  </si>
  <si>
    <t>Total Demand Payment</t>
  </si>
  <si>
    <t>O&amp;M Payment</t>
  </si>
  <si>
    <t>Actual Rebate</t>
  </si>
  <si>
    <t>Rebate wo Peak Charge per Agreement</t>
  </si>
  <si>
    <t>Energy Charge</t>
  </si>
  <si>
    <t>Kilowatts per month</t>
  </si>
  <si>
    <t>HPHR per Month</t>
  </si>
  <si>
    <t>Kwh * 1.34</t>
  </si>
  <si>
    <t>HPHR per month</t>
  </si>
  <si>
    <t>Energy Gas Payment</t>
  </si>
  <si>
    <t>(HPHR*5717)/1000000</t>
  </si>
  <si>
    <t>Rate Schedule 19 versus 21</t>
  </si>
  <si>
    <t>Rebate in Dispute</t>
  </si>
  <si>
    <t>Total Gas Payments</t>
  </si>
  <si>
    <t>Total Cash Payments wo/dispute</t>
  </si>
  <si>
    <t>Total Cash Payments w/dispute</t>
  </si>
  <si>
    <t>Cost per Kwh w/ Dispute</t>
  </si>
  <si>
    <t>Cost per Kwh wo/ Dispute</t>
  </si>
  <si>
    <t>Actual Cost per KwH</t>
  </si>
  <si>
    <t>Transwestern Index Price</t>
  </si>
  <si>
    <t>Total Energy Cost wo/dispute @ index</t>
  </si>
  <si>
    <t>Total Energy Cost w/dispute @ index</t>
  </si>
  <si>
    <t>Total Energy Cost wo/dispute @ 2.44</t>
  </si>
  <si>
    <t>Total Energy Cost w/dispute @2.44</t>
  </si>
  <si>
    <t>Load Management Fee</t>
  </si>
  <si>
    <t>Demand Charges per Month</t>
  </si>
  <si>
    <t xml:space="preserve">Generation  </t>
  </si>
  <si>
    <t>Transmission</t>
  </si>
  <si>
    <t>Distribution</t>
  </si>
  <si>
    <t>NMPUC Charge</t>
  </si>
  <si>
    <t xml:space="preserve">Gross Receipt Tax </t>
  </si>
  <si>
    <t>Rebate</t>
  </si>
  <si>
    <t>Rate 19</t>
  </si>
  <si>
    <t>Rate 21</t>
  </si>
  <si>
    <t>Pass Through Credits</t>
  </si>
  <si>
    <t>Total Rate 19 Adjustments</t>
  </si>
  <si>
    <t>Total Demand</t>
  </si>
  <si>
    <t>Total Cost</t>
  </si>
  <si>
    <t>Service Charge</t>
  </si>
  <si>
    <t>Transwestern Pipeline Company</t>
  </si>
  <si>
    <t>ECS Rebate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</si>
</sst>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_);_(@_)"/>
    <numFmt numFmtId="165" formatCode="_(* #,##0_);_(* \(#,##0\);_(* &quot;-&quot;??_);_(@_)"/>
    <numFmt numFmtId="166" formatCode="0.0%"/>
    <numFmt numFmtId="167" formatCode="_(&quot;$&quot;* #,##0_);_(&quot;$&quot;* \(#,##0\);_(&quot;$&quot;* &quot;-&quot;??_);_(@_)"/>
    <numFmt numFmtId="175" formatCode="_(* #,##0.0000_);_(* \(#,##0.0000\);_(* &quot;-&quot;??_);_(@_)"/>
    <numFmt numFmtId="177" formatCode="_(* #,##0.0000000_);_(* \(#,##0.0000000\);_(* &quot;-&quot;???????_);_(@_)"/>
    <numFmt numFmtId="181" formatCode="_(&quot;$&quot;* #,##0.000000_);_(&quot;$&quot;* \(#,##0.000000\);_(&quot;$&quot;* &quot;-&quot;??_);_(@_)"/>
    <numFmt numFmtId="184" formatCode="_(&quot;$&quot;* #,##0.000000000_);_(&quot;$&quot;* \(#,##0.000000000\);_(&quot;$&quot;* &quot;-&quot;??_);_(@_)"/>
    <numFmt numFmtId="186" formatCode="_(* #,##0.000000_);_(* \(#,##0.00000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Book Antiqua"/>
      <family val="1"/>
    </font>
    <font>
      <b/>
      <sz val="11"/>
      <name val="Book Antiqua"/>
      <family val="1"/>
    </font>
    <font>
      <sz val="11"/>
      <name val="Book Antiqua"/>
    </font>
    <font>
      <sz val="11"/>
      <name val="Times New Roman"/>
      <family val="1"/>
    </font>
    <font>
      <sz val="11"/>
      <color indexed="8"/>
      <name val="Book Antiqua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2" applyFont="1"/>
    <xf numFmtId="17" fontId="0" fillId="0" borderId="0" xfId="0" applyNumberFormat="1" applyAlignment="1">
      <alignment horizontal="center"/>
    </xf>
    <xf numFmtId="44" fontId="0" fillId="0" borderId="0" xfId="0" applyNumberFormat="1"/>
    <xf numFmtId="0" fontId="2" fillId="0" borderId="0" xfId="0" applyFont="1"/>
    <xf numFmtId="9" fontId="3" fillId="0" borderId="1" xfId="3" applyFont="1" applyBorder="1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4" fillId="0" borderId="0" xfId="0" applyFont="1"/>
    <xf numFmtId="165" fontId="4" fillId="0" borderId="0" xfId="1" applyNumberFormat="1" applyFont="1"/>
    <xf numFmtId="165" fontId="0" fillId="0" borderId="0" xfId="1" applyNumberFormat="1" applyFont="1" applyAlignment="1">
      <alignment horizontal="center"/>
    </xf>
    <xf numFmtId="0" fontId="5" fillId="0" borderId="0" xfId="0" applyFont="1"/>
    <xf numFmtId="166" fontId="5" fillId="0" borderId="0" xfId="3" applyNumberFormat="1" applyFont="1"/>
    <xf numFmtId="165" fontId="0" fillId="0" borderId="0" xfId="1" applyNumberFormat="1" applyFont="1"/>
    <xf numFmtId="9" fontId="0" fillId="0" borderId="0" xfId="3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7" fontId="6" fillId="0" borderId="0" xfId="2" applyNumberFormat="1" applyFont="1" applyFill="1" applyBorder="1" applyAlignment="1">
      <alignment horizontal="center"/>
    </xf>
    <xf numFmtId="10" fontId="0" fillId="0" borderId="0" xfId="3" applyNumberFormat="1" applyFont="1"/>
    <xf numFmtId="0" fontId="4" fillId="0" borderId="0" xfId="0" applyFont="1" applyBorder="1"/>
    <xf numFmtId="9" fontId="4" fillId="0" borderId="0" xfId="3" applyFont="1" applyBorder="1"/>
    <xf numFmtId="0" fontId="0" fillId="0" borderId="0" xfId="0" quotePrefix="1" applyAlignment="1">
      <alignment horizontal="justify" vertical="top" wrapText="1"/>
    </xf>
    <xf numFmtId="0" fontId="7" fillId="0" borderId="0" xfId="0" applyFont="1"/>
    <xf numFmtId="167" fontId="0" fillId="0" borderId="0" xfId="2" applyNumberFormat="1" applyFont="1"/>
    <xf numFmtId="43" fontId="0" fillId="0" borderId="0" xfId="2" applyNumberFormat="1" applyFont="1"/>
    <xf numFmtId="165" fontId="0" fillId="0" borderId="0" xfId="1" quotePrefix="1" applyNumberFormat="1" applyFont="1"/>
    <xf numFmtId="0" fontId="0" fillId="0" borderId="0" xfId="0" applyAlignment="1">
      <alignment horizontal="justify" vertical="top" wrapText="1"/>
    </xf>
    <xf numFmtId="165" fontId="0" fillId="0" borderId="0" xfId="0" applyNumberFormat="1"/>
    <xf numFmtId="175" fontId="0" fillId="0" borderId="0" xfId="0" applyNumberFormat="1"/>
    <xf numFmtId="43" fontId="0" fillId="0" borderId="0" xfId="0" applyNumberFormat="1"/>
    <xf numFmtId="177" fontId="0" fillId="0" borderId="0" xfId="1" applyNumberFormat="1" applyFont="1"/>
    <xf numFmtId="181" fontId="0" fillId="0" borderId="0" xfId="0" applyNumberFormat="1"/>
    <xf numFmtId="184" fontId="0" fillId="0" borderId="0" xfId="2" applyNumberFormat="1" applyFont="1"/>
    <xf numFmtId="186" fontId="0" fillId="0" borderId="0" xfId="1" applyNumberFormat="1" applyFont="1"/>
    <xf numFmtId="44" fontId="0" fillId="0" borderId="0" xfId="2" applyNumberFormat="1" applyFont="1"/>
    <xf numFmtId="44" fontId="8" fillId="0" borderId="0" xfId="2" applyNumberFormat="1" applyFont="1"/>
    <xf numFmtId="0" fontId="8" fillId="0" borderId="0" xfId="0" applyFont="1"/>
    <xf numFmtId="44" fontId="8" fillId="0" borderId="2" xfId="0" applyNumberFormat="1" applyFont="1" applyBorder="1"/>
    <xf numFmtId="0" fontId="9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topLeftCell="B1" workbookViewId="0">
      <selection activeCell="J16" sqref="J16"/>
    </sheetView>
  </sheetViews>
  <sheetFormatPr defaultRowHeight="13.2" x14ac:dyDescent="0.25"/>
  <cols>
    <col min="1" max="1" width="23.6640625" customWidth="1"/>
    <col min="3" max="11" width="12.33203125" bestFit="1" customWidth="1"/>
  </cols>
  <sheetData>
    <row r="1" spans="1:11" ht="15.6" x14ac:dyDescent="0.3">
      <c r="C1" s="38" t="s">
        <v>69</v>
      </c>
      <c r="D1" s="38"/>
      <c r="E1" s="38"/>
      <c r="F1" s="38"/>
      <c r="G1" s="38"/>
      <c r="H1" s="38"/>
      <c r="I1" s="38"/>
      <c r="J1" s="38"/>
      <c r="K1" s="38"/>
    </row>
    <row r="2" spans="1:11" ht="15.6" x14ac:dyDescent="0.3">
      <c r="C2" s="38" t="s">
        <v>70</v>
      </c>
      <c r="D2" s="38"/>
      <c r="E2" s="38"/>
      <c r="F2" s="38"/>
      <c r="G2" s="38"/>
      <c r="H2" s="38"/>
      <c r="I2" s="38"/>
      <c r="J2" s="38"/>
      <c r="K2" s="38"/>
    </row>
    <row r="3" spans="1:11" x14ac:dyDescent="0.25"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5">
      <c r="C4" s="2">
        <v>36647</v>
      </c>
      <c r="D4" s="2">
        <v>36678</v>
      </c>
      <c r="E4" s="2">
        <v>36708</v>
      </c>
      <c r="F4" s="2">
        <v>36739</v>
      </c>
      <c r="G4" s="2">
        <v>36770</v>
      </c>
      <c r="H4" s="2">
        <v>36800</v>
      </c>
      <c r="I4" s="2">
        <v>36831</v>
      </c>
      <c r="J4" s="2">
        <v>36861</v>
      </c>
    </row>
    <row r="6" spans="1:11" x14ac:dyDescent="0.25">
      <c r="A6" t="s">
        <v>55</v>
      </c>
      <c r="C6" s="34">
        <v>130721</v>
      </c>
      <c r="D6" s="34">
        <f t="shared" ref="D6:I6" si="0">+C6</f>
        <v>130721</v>
      </c>
      <c r="E6" s="34">
        <f t="shared" si="0"/>
        <v>130721</v>
      </c>
      <c r="F6" s="34">
        <f t="shared" si="0"/>
        <v>130721</v>
      </c>
      <c r="G6" s="34">
        <f t="shared" si="0"/>
        <v>130721</v>
      </c>
      <c r="H6" s="34">
        <f t="shared" si="0"/>
        <v>130721</v>
      </c>
      <c r="I6" s="34">
        <f t="shared" si="0"/>
        <v>130721</v>
      </c>
      <c r="J6" s="3">
        <f>+I6</f>
        <v>130721</v>
      </c>
    </row>
    <row r="7" spans="1:11" x14ac:dyDescent="0.25">
      <c r="C7" s="34"/>
      <c r="D7" s="34"/>
      <c r="E7" s="34"/>
      <c r="F7" s="34"/>
      <c r="G7" s="34"/>
      <c r="H7" s="34"/>
      <c r="I7" s="34"/>
    </row>
    <row r="8" spans="1:11" ht="13.8" thickBot="1" x14ac:dyDescent="0.3">
      <c r="A8" t="s">
        <v>68</v>
      </c>
      <c r="C8" s="34">
        <v>750</v>
      </c>
      <c r="D8" s="34">
        <v>750</v>
      </c>
      <c r="E8" s="34"/>
      <c r="F8" s="34"/>
      <c r="G8" s="34"/>
      <c r="H8" s="34"/>
      <c r="I8" s="34"/>
    </row>
    <row r="9" spans="1:11" ht="13.8" thickBot="1" x14ac:dyDescent="0.3">
      <c r="A9" t="s">
        <v>56</v>
      </c>
      <c r="C9" s="34">
        <v>0</v>
      </c>
      <c r="D9" s="34">
        <v>0</v>
      </c>
      <c r="E9" s="35">
        <v>43208.45</v>
      </c>
      <c r="F9" s="35">
        <v>78765.399999999994</v>
      </c>
      <c r="G9" s="35">
        <v>79013.48</v>
      </c>
      <c r="H9" s="35">
        <v>60726.44</v>
      </c>
      <c r="I9" s="35">
        <v>44397.46</v>
      </c>
      <c r="J9" s="36">
        <f>8.86*5914</f>
        <v>52398.039999999994</v>
      </c>
      <c r="K9" s="37">
        <f>(SUM(E9:J9)*(1+0.005))*(1+0.05875)</f>
        <v>381469.54806056246</v>
      </c>
    </row>
    <row r="10" spans="1:11" x14ac:dyDescent="0.25">
      <c r="A10" t="s">
        <v>57</v>
      </c>
      <c r="C10" s="34">
        <v>25735.87</v>
      </c>
      <c r="D10" s="34">
        <v>28779.94</v>
      </c>
      <c r="E10" s="34">
        <v>24698.880000000001</v>
      </c>
      <c r="F10" s="34">
        <v>31581.119999999999</v>
      </c>
      <c r="G10" s="34">
        <v>28880.35</v>
      </c>
      <c r="H10" s="34">
        <v>25372.9</v>
      </c>
      <c r="I10" s="34">
        <v>26307.55</v>
      </c>
      <c r="J10">
        <f>3.35*7565</f>
        <v>25342.75</v>
      </c>
    </row>
    <row r="11" spans="1:11" x14ac:dyDescent="0.25">
      <c r="A11" t="s">
        <v>58</v>
      </c>
      <c r="C11" s="34">
        <v>4137.6000000000004</v>
      </c>
      <c r="D11" s="34">
        <v>4627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</row>
    <row r="12" spans="1:11" x14ac:dyDescent="0.25">
      <c r="A12" t="s">
        <v>66</v>
      </c>
      <c r="C12" s="34">
        <f>SUM(C8:C11)</f>
        <v>30623.47</v>
      </c>
      <c r="D12" s="34">
        <f>SUM(D8:D11)</f>
        <v>34156.94</v>
      </c>
      <c r="E12" s="34">
        <f t="shared" ref="E12:J12" si="1">SUM(E9:E11)</f>
        <v>67907.33</v>
      </c>
      <c r="F12" s="34">
        <f t="shared" si="1"/>
        <v>110346.51999999999</v>
      </c>
      <c r="G12" s="34">
        <f t="shared" si="1"/>
        <v>107893.82999999999</v>
      </c>
      <c r="H12" s="34">
        <f t="shared" si="1"/>
        <v>86099.34</v>
      </c>
      <c r="I12" s="34">
        <f t="shared" si="1"/>
        <v>70705.009999999995</v>
      </c>
      <c r="J12" s="34">
        <f t="shared" si="1"/>
        <v>77740.789999999994</v>
      </c>
    </row>
    <row r="13" spans="1:11" x14ac:dyDescent="0.25">
      <c r="C13" s="34"/>
      <c r="D13" s="34"/>
      <c r="E13" s="34"/>
      <c r="F13" s="34"/>
      <c r="G13" s="34"/>
      <c r="H13" s="34"/>
      <c r="I13" s="34"/>
    </row>
    <row r="14" spans="1:11" x14ac:dyDescent="0.25">
      <c r="A14" t="s">
        <v>62</v>
      </c>
      <c r="B14">
        <v>3.3727E-2</v>
      </c>
      <c r="C14" s="34">
        <f>+B14*4231512</f>
        <v>142716.205224</v>
      </c>
      <c r="D14" s="34">
        <f>+B14*5097423</f>
        <v>171920.78552100001</v>
      </c>
      <c r="E14" s="34"/>
      <c r="F14" s="34"/>
      <c r="G14" s="34">
        <f>+K14*4416381</f>
        <v>88857.585720000003</v>
      </c>
      <c r="H14" s="34">
        <f>+K14*5174218</f>
        <v>104105.26616</v>
      </c>
      <c r="I14" s="34">
        <f>+K14*3722520</f>
        <v>74897.102400000003</v>
      </c>
      <c r="J14">
        <f>+K14*5168655</f>
        <v>103993.33859999999</v>
      </c>
      <c r="K14">
        <v>2.0119999999999999E-2</v>
      </c>
    </row>
    <row r="15" spans="1:11" x14ac:dyDescent="0.25">
      <c r="A15" t="s">
        <v>63</v>
      </c>
      <c r="B15">
        <v>-1.762E-2</v>
      </c>
      <c r="C15" s="34">
        <f>+B15*4231512</f>
        <v>-74559.241439999998</v>
      </c>
      <c r="D15" s="34">
        <f>+B15*5097423</f>
        <v>-89816.593259999994</v>
      </c>
      <c r="E15" s="34"/>
      <c r="F15" s="34"/>
      <c r="G15" s="34">
        <f>+B15*4418381</f>
        <v>-77851.873219999994</v>
      </c>
      <c r="H15" s="34">
        <f>+B15*5174218</f>
        <v>-91169.721160000001</v>
      </c>
      <c r="I15" s="34">
        <f>+B15*3722520</f>
        <v>-65590.8024</v>
      </c>
      <c r="J15">
        <f>+B15*5168655</f>
        <v>-91071.701100000006</v>
      </c>
    </row>
    <row r="16" spans="1:11" x14ac:dyDescent="0.25">
      <c r="A16" t="s">
        <v>64</v>
      </c>
      <c r="C16" s="34">
        <f>-0.0072917435*4231512</f>
        <v>-30855.100121171999</v>
      </c>
      <c r="D16" s="34">
        <f>-0.009473893*5097423</f>
        <v>-48292.440077739004</v>
      </c>
      <c r="E16" s="34"/>
      <c r="F16" s="34"/>
      <c r="G16" s="34"/>
      <c r="H16" s="34"/>
      <c r="I16" s="34"/>
    </row>
    <row r="17" spans="1:11" x14ac:dyDescent="0.25">
      <c r="A17" t="s">
        <v>65</v>
      </c>
      <c r="C17" s="34">
        <f>SUM(C14:C16)</f>
        <v>37301.863662828007</v>
      </c>
      <c r="D17" s="34">
        <f>SUM(D14:D16)</f>
        <v>33811.752183261015</v>
      </c>
      <c r="E17" s="34">
        <f t="shared" ref="E17:J17" si="2">SUM(E14:E16)</f>
        <v>0</v>
      </c>
      <c r="F17" s="34">
        <f t="shared" si="2"/>
        <v>0</v>
      </c>
      <c r="G17" s="34">
        <f t="shared" si="2"/>
        <v>11005.712500000009</v>
      </c>
      <c r="H17" s="34">
        <f t="shared" si="2"/>
        <v>12935.544999999998</v>
      </c>
      <c r="I17" s="34">
        <f t="shared" si="2"/>
        <v>9306.3000000000029</v>
      </c>
      <c r="J17" s="34">
        <f t="shared" si="2"/>
        <v>12921.637499999983</v>
      </c>
    </row>
    <row r="18" spans="1:11" x14ac:dyDescent="0.25">
      <c r="C18" s="34"/>
      <c r="D18" s="34"/>
      <c r="E18" s="34"/>
      <c r="F18" s="34"/>
      <c r="G18" s="34"/>
      <c r="H18" s="34"/>
      <c r="I18" s="34"/>
    </row>
    <row r="19" spans="1:11" x14ac:dyDescent="0.25">
      <c r="A19" t="s">
        <v>59</v>
      </c>
      <c r="C19" s="34">
        <f>(C12+C17)*0.005</f>
        <v>339.62666831414003</v>
      </c>
      <c r="D19" s="34">
        <f>(D12+D17)*0.005</f>
        <v>339.84346091630505</v>
      </c>
      <c r="E19" s="34">
        <f t="shared" ref="E19:J19" si="3">(E12+E17)*0.005</f>
        <v>339.53665000000001</v>
      </c>
      <c r="F19" s="34">
        <f t="shared" si="3"/>
        <v>551.73259999999993</v>
      </c>
      <c r="G19" s="34">
        <f t="shared" si="3"/>
        <v>594.49771250000003</v>
      </c>
      <c r="H19" s="34">
        <f t="shared" si="3"/>
        <v>495.17442499999999</v>
      </c>
      <c r="I19" s="34">
        <f t="shared" si="3"/>
        <v>400.05655000000002</v>
      </c>
      <c r="J19" s="34">
        <f t="shared" si="3"/>
        <v>453.31213749999989</v>
      </c>
    </row>
    <row r="20" spans="1:11" x14ac:dyDescent="0.25">
      <c r="C20" s="34"/>
      <c r="D20" s="34"/>
      <c r="E20" s="34"/>
      <c r="F20" s="34"/>
      <c r="G20" s="34"/>
      <c r="H20" s="34"/>
      <c r="I20" s="34"/>
      <c r="J20" s="34"/>
    </row>
    <row r="21" spans="1:11" x14ac:dyDescent="0.25">
      <c r="A21" t="s">
        <v>60</v>
      </c>
      <c r="C21" s="34">
        <f>(+C19+C17+C12)*5.875%</f>
        <v>4010.5664194546011</v>
      </c>
      <c r="D21" s="34">
        <f>(+D19+D17+D12)*5.875%</f>
        <v>4013.1264690954172</v>
      </c>
      <c r="E21" s="34">
        <f t="shared" ref="E21:J21" si="4">(+E19+E17+E12)*5.875%</f>
        <v>4009.5034156874995</v>
      </c>
      <c r="F21" s="34">
        <f t="shared" si="4"/>
        <v>6515.2723402499996</v>
      </c>
      <c r="G21" s="34">
        <f t="shared" si="4"/>
        <v>7020.2748624843744</v>
      </c>
      <c r="H21" s="34">
        <f t="shared" si="4"/>
        <v>5847.3909912187501</v>
      </c>
      <c r="I21" s="34">
        <f t="shared" si="4"/>
        <v>4724.1677848124991</v>
      </c>
      <c r="J21" s="34">
        <f t="shared" si="4"/>
        <v>5353.0497037031237</v>
      </c>
    </row>
    <row r="22" spans="1:11" x14ac:dyDescent="0.25">
      <c r="C22" s="34"/>
      <c r="D22" s="34"/>
      <c r="E22" s="34"/>
      <c r="F22" s="34"/>
      <c r="G22" s="34"/>
      <c r="H22" s="34"/>
      <c r="I22" s="34"/>
      <c r="J22" s="34"/>
    </row>
    <row r="23" spans="1:11" x14ac:dyDescent="0.25">
      <c r="A23" t="s">
        <v>67</v>
      </c>
      <c r="C23" s="34">
        <f>+C21+C19+C17+C12</f>
        <v>72275.526750596749</v>
      </c>
      <c r="D23" s="34">
        <f>+D21+D19+D17+D12</f>
        <v>72321.66211327273</v>
      </c>
      <c r="E23" s="34">
        <f t="shared" ref="E23:J23" si="5">+E21+E19+E17+E12</f>
        <v>72256.370065687501</v>
      </c>
      <c r="F23" s="34">
        <f t="shared" si="5"/>
        <v>117413.52494024999</v>
      </c>
      <c r="G23" s="34">
        <f t="shared" si="5"/>
        <v>126514.31507498436</v>
      </c>
      <c r="H23" s="34">
        <f t="shared" si="5"/>
        <v>105377.45041621875</v>
      </c>
      <c r="I23" s="34">
        <f t="shared" si="5"/>
        <v>85135.534334812502</v>
      </c>
      <c r="J23" s="34">
        <f t="shared" si="5"/>
        <v>96468.789341203097</v>
      </c>
    </row>
    <row r="24" spans="1:11" x14ac:dyDescent="0.25">
      <c r="C24" s="34"/>
      <c r="D24" s="34"/>
      <c r="E24" s="34"/>
      <c r="F24" s="34"/>
      <c r="G24" s="34"/>
      <c r="H24" s="34"/>
      <c r="I24" s="34"/>
    </row>
    <row r="25" spans="1:11" x14ac:dyDescent="0.25">
      <c r="A25" t="s">
        <v>61</v>
      </c>
      <c r="C25" s="34">
        <f>+C6-C23</f>
        <v>58445.473249403251</v>
      </c>
      <c r="D25" s="34">
        <f t="shared" ref="D25:J25" si="6">+D6-D23</f>
        <v>58399.33788672727</v>
      </c>
      <c r="E25" s="34">
        <f t="shared" si="6"/>
        <v>58464.629934312499</v>
      </c>
      <c r="F25" s="34">
        <f t="shared" si="6"/>
        <v>13307.47505975001</v>
      </c>
      <c r="G25" s="34">
        <f t="shared" si="6"/>
        <v>4206.6849250156374</v>
      </c>
      <c r="H25" s="34">
        <f t="shared" si="6"/>
        <v>25343.549583781249</v>
      </c>
      <c r="I25" s="34">
        <f t="shared" si="6"/>
        <v>45585.465665187498</v>
      </c>
      <c r="J25" s="34">
        <f t="shared" si="6"/>
        <v>34252.210658796903</v>
      </c>
      <c r="K25" s="3">
        <f>SUM(C25:J25)</f>
        <v>298004.82696297433</v>
      </c>
    </row>
    <row r="26" spans="1:11" x14ac:dyDescent="0.25">
      <c r="C26" s="34"/>
      <c r="D26" s="34"/>
      <c r="E26" s="34"/>
      <c r="F26" s="34"/>
      <c r="G26" s="34"/>
      <c r="H26" s="34"/>
      <c r="I26" s="34"/>
    </row>
    <row r="27" spans="1:11" x14ac:dyDescent="0.25">
      <c r="C27" s="34"/>
      <c r="D27" s="34"/>
      <c r="E27" s="34"/>
      <c r="F27" s="34"/>
      <c r="G27" s="34"/>
      <c r="H27" s="34"/>
      <c r="I27" s="34"/>
    </row>
    <row r="28" spans="1:11" x14ac:dyDescent="0.25">
      <c r="C28" s="34"/>
      <c r="D28" s="34"/>
      <c r="E28" s="34"/>
      <c r="F28" s="34"/>
      <c r="G28" s="34"/>
      <c r="H28" s="34"/>
      <c r="I28" s="34"/>
    </row>
    <row r="29" spans="1:11" x14ac:dyDescent="0.25">
      <c r="C29" s="34"/>
      <c r="D29" s="34"/>
      <c r="E29" s="34"/>
      <c r="F29" s="34"/>
      <c r="G29" s="34"/>
      <c r="H29" s="34"/>
      <c r="I29" s="34"/>
    </row>
    <row r="30" spans="1:11" x14ac:dyDescent="0.25">
      <c r="C30" s="34"/>
      <c r="D30" s="34"/>
      <c r="E30" s="34"/>
      <c r="F30" s="34"/>
      <c r="G30" s="34"/>
      <c r="H30" s="34"/>
      <c r="I30" s="34"/>
    </row>
    <row r="31" spans="1:11" x14ac:dyDescent="0.25">
      <c r="C31" s="34"/>
      <c r="D31" s="34"/>
      <c r="E31" s="34"/>
      <c r="F31" s="34"/>
      <c r="G31" s="34"/>
      <c r="H31" s="34"/>
      <c r="I31" s="34"/>
    </row>
    <row r="32" spans="1:11" x14ac:dyDescent="0.25">
      <c r="C32" s="34"/>
      <c r="D32" s="34"/>
      <c r="E32" s="34"/>
      <c r="F32" s="34"/>
      <c r="G32" s="34"/>
      <c r="H32" s="34"/>
      <c r="I32" s="34"/>
    </row>
    <row r="33" spans="3:9" x14ac:dyDescent="0.25">
      <c r="C33" s="34"/>
      <c r="D33" s="34"/>
      <c r="E33" s="34"/>
      <c r="F33" s="34"/>
      <c r="G33" s="34"/>
      <c r="H33" s="34"/>
      <c r="I33" s="34"/>
    </row>
    <row r="34" spans="3:9" x14ac:dyDescent="0.25">
      <c r="C34" s="34"/>
      <c r="D34" s="34"/>
      <c r="E34" s="34"/>
      <c r="F34" s="34"/>
      <c r="G34" s="34"/>
      <c r="H34" s="34"/>
      <c r="I34" s="34"/>
    </row>
  </sheetData>
  <mergeCells count="2">
    <mergeCell ref="C1:K1"/>
    <mergeCell ref="C2:K2"/>
  </mergeCells>
  <pageMargins left="0.22" right="0.22" top="1" bottom="1" header="0.5" footer="0.5"/>
  <pageSetup scale="9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C25" sqref="C25"/>
    </sheetView>
  </sheetViews>
  <sheetFormatPr defaultRowHeight="13.2" x14ac:dyDescent="0.25"/>
  <cols>
    <col min="1" max="1" width="50.33203125" customWidth="1"/>
    <col min="2" max="2" width="18" customWidth="1"/>
    <col min="3" max="3" width="44.44140625" customWidth="1"/>
    <col min="4" max="4" width="13" bestFit="1" customWidth="1"/>
    <col min="5" max="10" width="12.88671875" bestFit="1" customWidth="1"/>
    <col min="11" max="12" width="12.33203125" bestFit="1" customWidth="1"/>
  </cols>
  <sheetData>
    <row r="1" spans="1:3" ht="15.6" x14ac:dyDescent="0.3">
      <c r="A1" s="4" t="s">
        <v>5</v>
      </c>
      <c r="C1" s="5" t="s">
        <v>1</v>
      </c>
    </row>
    <row r="2" spans="1:3" x14ac:dyDescent="0.25">
      <c r="A2" t="s">
        <v>6</v>
      </c>
      <c r="B2" s="6">
        <v>10000</v>
      </c>
    </row>
    <row r="3" spans="1:3" x14ac:dyDescent="0.25">
      <c r="A3" t="s">
        <v>7</v>
      </c>
      <c r="B3" s="1">
        <v>15</v>
      </c>
    </row>
    <row r="4" spans="1:3" x14ac:dyDescent="0.25">
      <c r="A4" t="s">
        <v>8</v>
      </c>
      <c r="B4" s="7">
        <v>0.74570000000000003</v>
      </c>
    </row>
    <row r="5" spans="1:3" ht="14.4" x14ac:dyDescent="0.3">
      <c r="A5" s="8" t="s">
        <v>9</v>
      </c>
      <c r="B5" s="9">
        <f>+B2*B4/B6</f>
        <v>7842.9021577709636</v>
      </c>
      <c r="C5" s="10" t="s">
        <v>10</v>
      </c>
    </row>
    <row r="6" spans="1:3" ht="13.8" x14ac:dyDescent="0.25">
      <c r="A6" s="11" t="s">
        <v>11</v>
      </c>
      <c r="B6" s="12">
        <f>0.98*0.98*0.99</f>
        <v>0.95079599999999986</v>
      </c>
    </row>
    <row r="7" spans="1:3" x14ac:dyDescent="0.25">
      <c r="A7" t="s">
        <v>12</v>
      </c>
      <c r="B7" s="13">
        <f>+B5*24</f>
        <v>188229.65178650312</v>
      </c>
      <c r="C7" s="10" t="s">
        <v>13</v>
      </c>
    </row>
    <row r="8" spans="1:3" x14ac:dyDescent="0.25">
      <c r="A8" t="s">
        <v>14</v>
      </c>
      <c r="B8" s="6">
        <f>(+B7*365)/12</f>
        <v>5725318.5751728034</v>
      </c>
      <c r="C8" s="10" t="s">
        <v>15</v>
      </c>
    </row>
    <row r="9" spans="1:3" x14ac:dyDescent="0.25">
      <c r="A9" t="s">
        <v>16</v>
      </c>
      <c r="B9" s="14">
        <v>0.95</v>
      </c>
      <c r="C9" s="15"/>
    </row>
    <row r="10" spans="1:3" x14ac:dyDescent="0.25">
      <c r="A10" t="s">
        <v>17</v>
      </c>
      <c r="B10" s="1">
        <v>2.4379900000000001</v>
      </c>
      <c r="C10" s="16"/>
    </row>
    <row r="11" spans="1:3" ht="14.4" x14ac:dyDescent="0.3">
      <c r="A11" t="s">
        <v>18</v>
      </c>
      <c r="B11" s="17">
        <v>1050</v>
      </c>
      <c r="C11" s="16"/>
    </row>
    <row r="12" spans="1:3" x14ac:dyDescent="0.25">
      <c r="A12" t="s">
        <v>19</v>
      </c>
      <c r="B12">
        <v>8.86</v>
      </c>
      <c r="C12" s="16"/>
    </row>
    <row r="13" spans="1:3" x14ac:dyDescent="0.25">
      <c r="A13" t="s">
        <v>20</v>
      </c>
      <c r="B13">
        <f>12.21-B12</f>
        <v>3.3500000000000014</v>
      </c>
      <c r="C13" s="15" t="s">
        <v>21</v>
      </c>
    </row>
    <row r="14" spans="1:3" x14ac:dyDescent="0.25">
      <c r="A14" t="s">
        <v>22</v>
      </c>
      <c r="B14">
        <v>1.762E-2</v>
      </c>
      <c r="C14" s="15">
        <f>(B14*(1+B15))*(1+B16)</f>
        <v>1.8703295219999999E-2</v>
      </c>
    </row>
    <row r="15" spans="1:3" x14ac:dyDescent="0.25">
      <c r="A15" t="s">
        <v>23</v>
      </c>
      <c r="B15" s="18">
        <v>5.0000000000000001E-3</v>
      </c>
      <c r="C15" s="15"/>
    </row>
    <row r="16" spans="1:3" x14ac:dyDescent="0.25">
      <c r="A16" t="s">
        <v>24</v>
      </c>
      <c r="B16" s="18">
        <v>5.62E-2</v>
      </c>
      <c r="C16" s="15"/>
    </row>
    <row r="17" spans="1:12" ht="14.4" x14ac:dyDescent="0.3">
      <c r="A17" s="19" t="s">
        <v>25</v>
      </c>
      <c r="B17" s="20">
        <v>0.25</v>
      </c>
    </row>
    <row r="18" spans="1:12" x14ac:dyDescent="0.25">
      <c r="A18" t="s">
        <v>36</v>
      </c>
      <c r="D18">
        <f>31*24*10000</f>
        <v>7440000</v>
      </c>
      <c r="E18">
        <f>30*24*10000</f>
        <v>7200000</v>
      </c>
      <c r="F18">
        <f>31*24*10000</f>
        <v>7440000</v>
      </c>
      <c r="G18">
        <f>31*24*10000</f>
        <v>7440000</v>
      </c>
      <c r="H18">
        <f>30*24*10000</f>
        <v>7200000</v>
      </c>
      <c r="I18">
        <f>31*24*10000</f>
        <v>7440000</v>
      </c>
      <c r="J18">
        <f>30*24*10000</f>
        <v>7200000</v>
      </c>
      <c r="K18">
        <f>31*24*10000</f>
        <v>7440000</v>
      </c>
    </row>
    <row r="20" spans="1:12" x14ac:dyDescent="0.25">
      <c r="A20" s="22" t="s">
        <v>0</v>
      </c>
      <c r="C20" t="s">
        <v>1</v>
      </c>
      <c r="D20" s="2">
        <v>36647</v>
      </c>
      <c r="E20" s="2">
        <v>36678</v>
      </c>
      <c r="F20" s="2">
        <v>36708</v>
      </c>
      <c r="G20" s="2">
        <v>36739</v>
      </c>
      <c r="H20" s="2">
        <v>36770</v>
      </c>
      <c r="I20" s="2">
        <v>36800</v>
      </c>
      <c r="J20" s="2">
        <v>36831</v>
      </c>
      <c r="K20" s="2">
        <v>36861</v>
      </c>
    </row>
    <row r="22" spans="1:12" x14ac:dyDescent="0.25">
      <c r="A22" s="22" t="s">
        <v>2</v>
      </c>
    </row>
    <row r="23" spans="1:12" x14ac:dyDescent="0.25">
      <c r="A23" t="s">
        <v>4</v>
      </c>
      <c r="C23" t="s">
        <v>26</v>
      </c>
      <c r="D23" s="1">
        <f>(2854079*0.19)/12</f>
        <v>45189.584166666667</v>
      </c>
      <c r="E23" s="3">
        <f t="shared" ref="E23:K23" si="0">+D23</f>
        <v>45189.584166666667</v>
      </c>
      <c r="F23" s="3">
        <f t="shared" si="0"/>
        <v>45189.584166666667</v>
      </c>
      <c r="G23" s="3">
        <f t="shared" si="0"/>
        <v>45189.584166666667</v>
      </c>
      <c r="H23" s="3">
        <f t="shared" si="0"/>
        <v>45189.584166666667</v>
      </c>
      <c r="I23" s="3">
        <f t="shared" si="0"/>
        <v>45189.584166666667</v>
      </c>
      <c r="J23" s="3">
        <f t="shared" si="0"/>
        <v>45189.584166666667</v>
      </c>
      <c r="K23" s="3">
        <f t="shared" si="0"/>
        <v>45189.584166666667</v>
      </c>
    </row>
    <row r="25" spans="1:12" ht="39.75" customHeight="1" x14ac:dyDescent="0.25">
      <c r="A25" t="s">
        <v>33</v>
      </c>
      <c r="C25" s="21" t="s">
        <v>27</v>
      </c>
      <c r="D25" s="1">
        <f>(((+B2*(B12+B13))+B11)*(1+B15))*(1+B16)-((((B12*0.25)+B13)*(B2*B4/B6))+B11)*(1+B15)*(1+B16)</f>
        <v>83277.695205022523</v>
      </c>
      <c r="E25" s="3">
        <f t="shared" ref="E25:K25" si="1">+D25</f>
        <v>83277.695205022523</v>
      </c>
      <c r="F25" s="3">
        <f t="shared" si="1"/>
        <v>83277.695205022523</v>
      </c>
      <c r="G25" s="3">
        <f t="shared" si="1"/>
        <v>83277.695205022523</v>
      </c>
      <c r="H25" s="3">
        <f t="shared" si="1"/>
        <v>83277.695205022523</v>
      </c>
      <c r="I25" s="3">
        <f t="shared" si="1"/>
        <v>83277.695205022523</v>
      </c>
      <c r="J25" s="3">
        <f t="shared" si="1"/>
        <v>83277.695205022523</v>
      </c>
      <c r="K25" s="3">
        <f t="shared" si="1"/>
        <v>83277.695205022523</v>
      </c>
    </row>
    <row r="26" spans="1:12" ht="14.25" customHeight="1" x14ac:dyDescent="0.25">
      <c r="C26" s="21"/>
      <c r="D26" s="1"/>
      <c r="E26" s="3"/>
      <c r="F26" s="3"/>
      <c r="G26" s="3"/>
      <c r="H26" s="3"/>
      <c r="I26" s="3"/>
      <c r="J26" s="3"/>
      <c r="K26" s="3"/>
    </row>
    <row r="27" spans="1:12" ht="14.25" customHeight="1" x14ac:dyDescent="0.25">
      <c r="A27" t="s">
        <v>32</v>
      </c>
      <c r="C27" s="21"/>
      <c r="D27" s="1">
        <f>(((+$B$2*($B$12+$B$13))+$B$11)*(1+$B$15))*(1+$B$16)-((25735.87+4137.6)*(1+B15))*(1+0.05875)</f>
        <v>98934.70610568751</v>
      </c>
      <c r="E27" s="1">
        <f>((((+$B$2*($B$12+$B$13))+$B$11)*(1+$B$15))*(1+$B$16))-((28779.94+4627)*(1+B15))*(1+5.875%)</f>
        <v>95174.939436375003</v>
      </c>
      <c r="F27" s="1">
        <f>(((+$B$2*($B$12+$B$13))+$B$11)*(1+$B$15))*(1+$B$16)-((24698.88)*(1+B15))*(1+5.875%)</f>
        <v>104440.69625400001</v>
      </c>
      <c r="G27" s="1">
        <f>(((+$B$2*($B$12+$B$13))+$B$11)*(1+$B$15))*(1+$B$16)-((3.35*9427.2)*(1+B15))*(1+5.875%)</f>
        <v>97117.691795999999</v>
      </c>
      <c r="H27" s="1">
        <f>(((+$B$2*($B$12+$B$13))+$B$11)*(1+$B$15))*(1+$B$16)-((8621*3.35)*(1+B15))*(1+5.875%)</f>
        <v>99991.429234687501</v>
      </c>
      <c r="I27" s="1">
        <f>(((+$B$2*($B$12+$B$13))+$B$11)*(1+$B$15))*(1+$B$16)-((7574*3.35)*(1+B15))*(1+5.875%)</f>
        <v>103723.50948562501</v>
      </c>
      <c r="J27" s="1">
        <f>(((+$B$2*($B$12+$B$13))+$B$11)*(1+$B$15))*(1+$B$16)-((3.35*7853)*(1+B15))*(1+5.875%)</f>
        <v>102729.00099468751</v>
      </c>
      <c r="K27" s="1">
        <f>(((+$B$2*($B$12+$B$13))+$B$11)*(1+$B$15))*(1+$B$16)</f>
        <v>130721.38515</v>
      </c>
    </row>
    <row r="28" spans="1:12" ht="31.5" customHeight="1" x14ac:dyDescent="0.25">
      <c r="A28" t="s">
        <v>41</v>
      </c>
      <c r="C28" s="26"/>
      <c r="D28" s="1">
        <f>(((0.032727+0.001-0.005541726-0.0017500175)*D42)-(D42*0.01762)*(1+B15))*(1+5.875%)</f>
        <v>39098.650168646163</v>
      </c>
      <c r="E28" s="1">
        <f>(((0.032727+0.001-0.0072001578-0.0022737352)*E42)-(E42*0.01762)*(1+B15))*(1+5.875%)</f>
        <v>35322.726033457497</v>
      </c>
      <c r="F28" s="1"/>
      <c r="G28" s="1"/>
      <c r="H28" s="1"/>
      <c r="I28" s="1"/>
      <c r="J28" s="1"/>
      <c r="K28" s="1"/>
    </row>
    <row r="29" spans="1:12" ht="14.25" customHeight="1" x14ac:dyDescent="0.25">
      <c r="A29" t="s">
        <v>42</v>
      </c>
      <c r="C29" s="21"/>
      <c r="D29" s="1"/>
      <c r="F29" s="1">
        <f>((8.86*4876.8)*(1+B15))*(1+5.875%)</f>
        <v>45975.679041599993</v>
      </c>
      <c r="G29" s="1">
        <f>((8.86*8890)*(1+B15))*(1+5.875%)</f>
        <v>83809.831586249988</v>
      </c>
      <c r="H29" s="1">
        <f>((8918*8.86)*(1+B15))*(1+5.875%)</f>
        <v>84073.799559749983</v>
      </c>
      <c r="I29" s="1">
        <f>((6854*8.86)*(1+B15))*(1+5.875%)</f>
        <v>64615.588941749993</v>
      </c>
      <c r="J29" s="1">
        <f>((8.86*5011)*(1+B15))*(1+5.875%)</f>
        <v>47240.839828874996</v>
      </c>
      <c r="K29" s="1"/>
      <c r="L29" s="3">
        <f>SUM(F29:K29)</f>
        <v>325715.73895822495</v>
      </c>
    </row>
    <row r="30" spans="1:12" ht="14.25" customHeight="1" x14ac:dyDescent="0.25">
      <c r="C30" s="21"/>
      <c r="D30" s="1"/>
      <c r="F30" s="1"/>
      <c r="G30" s="1"/>
      <c r="H30" s="1"/>
      <c r="I30" s="1"/>
      <c r="J30" s="1"/>
      <c r="K30" s="1"/>
    </row>
    <row r="32" spans="1:12" s="23" customFormat="1" x14ac:dyDescent="0.25">
      <c r="A32" s="23" t="s">
        <v>31</v>
      </c>
      <c r="D32" s="23">
        <f>+D43*0.00231</f>
        <v>13098.222244799999</v>
      </c>
      <c r="E32" s="23">
        <f>+E43*0.0018</f>
        <v>12294.984276000001</v>
      </c>
      <c r="F32" s="23">
        <f>+F43*0.00195</f>
        <v>12758.617911000001</v>
      </c>
      <c r="G32" s="23">
        <f>+G43*0.00171</f>
        <v>14319.1121238</v>
      </c>
      <c r="H32" s="23">
        <f>+H43*0.00209</f>
        <v>12374.117828599999</v>
      </c>
      <c r="I32" s="23">
        <f>+I43*0.00184</f>
        <v>12757.551900800001</v>
      </c>
      <c r="J32" s="23">
        <f>+J43*0.00248</f>
        <v>12370.678464000002</v>
      </c>
      <c r="L32" s="24"/>
    </row>
    <row r="34" spans="1:11" x14ac:dyDescent="0.25">
      <c r="A34" s="22" t="s">
        <v>3</v>
      </c>
    </row>
    <row r="36" spans="1:11" x14ac:dyDescent="0.25">
      <c r="A36" t="s">
        <v>4</v>
      </c>
      <c r="C36" t="s">
        <v>28</v>
      </c>
      <c r="D36" s="13">
        <f>(2854079*0.81)/2.43799/12</f>
        <v>79020.148770093409</v>
      </c>
      <c r="E36" s="13">
        <f>+D36</f>
        <v>79020.148770093409</v>
      </c>
      <c r="F36" s="13">
        <f t="shared" ref="F36:K36" si="2">+E36</f>
        <v>79020.148770093409</v>
      </c>
      <c r="G36" s="13">
        <f t="shared" si="2"/>
        <v>79020.148770093409</v>
      </c>
      <c r="H36" s="13">
        <f t="shared" si="2"/>
        <v>79020.148770093409</v>
      </c>
      <c r="I36" s="13">
        <f t="shared" si="2"/>
        <v>79020.148770093409</v>
      </c>
      <c r="J36" s="13">
        <f t="shared" si="2"/>
        <v>79020.148770093409</v>
      </c>
      <c r="K36" s="13">
        <f t="shared" si="2"/>
        <v>79020.148770093409</v>
      </c>
    </row>
    <row r="37" spans="1:11" x14ac:dyDescent="0.25">
      <c r="C37" t="s">
        <v>29</v>
      </c>
      <c r="D37" s="13">
        <v>2585</v>
      </c>
      <c r="E37" s="13">
        <f>+D37</f>
        <v>2585</v>
      </c>
      <c r="F37" s="13">
        <f t="shared" ref="F37:K37" si="3">+E37</f>
        <v>2585</v>
      </c>
      <c r="G37" s="13">
        <f t="shared" si="3"/>
        <v>2585</v>
      </c>
      <c r="H37" s="13">
        <f t="shared" si="3"/>
        <v>2585</v>
      </c>
      <c r="I37" s="13">
        <f t="shared" si="3"/>
        <v>2585</v>
      </c>
      <c r="J37" s="13">
        <f t="shared" si="3"/>
        <v>2585</v>
      </c>
      <c r="K37" s="13">
        <f t="shared" si="3"/>
        <v>2585</v>
      </c>
    </row>
    <row r="38" spans="1:11" x14ac:dyDescent="0.25">
      <c r="A38" t="s">
        <v>30</v>
      </c>
      <c r="D38" s="13">
        <f>+D37+D36</f>
        <v>81605.148770093409</v>
      </c>
      <c r="E38" s="13">
        <f>+D38</f>
        <v>81605.148770093409</v>
      </c>
      <c r="F38" s="13">
        <f t="shared" ref="F38:K38" si="4">+E38</f>
        <v>81605.148770093409</v>
      </c>
      <c r="G38" s="13">
        <f t="shared" si="4"/>
        <v>81605.148770093409</v>
      </c>
      <c r="H38" s="13">
        <f t="shared" si="4"/>
        <v>81605.148770093409</v>
      </c>
      <c r="I38" s="13">
        <f t="shared" si="4"/>
        <v>81605.148770093409</v>
      </c>
      <c r="J38" s="13">
        <f t="shared" si="4"/>
        <v>81605.148770093409</v>
      </c>
      <c r="K38" s="13">
        <f t="shared" si="4"/>
        <v>81605.148770093409</v>
      </c>
    </row>
    <row r="41" spans="1:11" x14ac:dyDescent="0.25">
      <c r="A41" t="s">
        <v>34</v>
      </c>
    </row>
    <row r="42" spans="1:11" s="13" customFormat="1" x14ac:dyDescent="0.25">
      <c r="A42" s="13" t="s">
        <v>35</v>
      </c>
      <c r="D42" s="13">
        <v>4231512</v>
      </c>
      <c r="E42" s="13">
        <v>5097423</v>
      </c>
      <c r="F42" s="13">
        <v>4882747</v>
      </c>
      <c r="G42" s="13">
        <v>6249067</v>
      </c>
      <c r="H42" s="13">
        <v>4418381</v>
      </c>
      <c r="I42" s="13">
        <v>5174218</v>
      </c>
      <c r="J42" s="13">
        <v>3722520</v>
      </c>
    </row>
    <row r="43" spans="1:11" s="13" customFormat="1" x14ac:dyDescent="0.25">
      <c r="A43" s="13" t="s">
        <v>38</v>
      </c>
      <c r="C43" s="13" t="s">
        <v>37</v>
      </c>
      <c r="D43" s="13">
        <f>+D42*1.34</f>
        <v>5670226.0800000001</v>
      </c>
      <c r="E43" s="13">
        <f t="shared" ref="E43:K43" si="5">+E42*1.34</f>
        <v>6830546.8200000003</v>
      </c>
      <c r="F43" s="13">
        <f t="shared" si="5"/>
        <v>6542880.9800000004</v>
      </c>
      <c r="G43" s="13">
        <f t="shared" si="5"/>
        <v>8373749.7800000003</v>
      </c>
      <c r="H43" s="13">
        <f t="shared" si="5"/>
        <v>5920630.54</v>
      </c>
      <c r="I43" s="13">
        <f t="shared" si="5"/>
        <v>6933452.1200000001</v>
      </c>
      <c r="J43" s="13">
        <f t="shared" si="5"/>
        <v>4988176.8000000007</v>
      </c>
      <c r="K43" s="13">
        <f t="shared" si="5"/>
        <v>0</v>
      </c>
    </row>
    <row r="44" spans="1:11" x14ac:dyDescent="0.25">
      <c r="A44" t="s">
        <v>16</v>
      </c>
      <c r="D44">
        <f>+D43/D18</f>
        <v>0.76212716129032254</v>
      </c>
      <c r="E44">
        <f t="shared" ref="E44:K44" si="6">+E43/E18</f>
        <v>0.94868705833333333</v>
      </c>
      <c r="F44">
        <f t="shared" si="6"/>
        <v>0.87941948655913982</v>
      </c>
      <c r="G44">
        <f t="shared" si="6"/>
        <v>1.125504002688172</v>
      </c>
      <c r="H44">
        <f t="shared" si="6"/>
        <v>0.82230979722222219</v>
      </c>
      <c r="I44">
        <f t="shared" si="6"/>
        <v>0.93191560752688174</v>
      </c>
      <c r="J44">
        <f t="shared" si="6"/>
        <v>0.69280233333333341</v>
      </c>
      <c r="K44">
        <f t="shared" si="6"/>
        <v>0</v>
      </c>
    </row>
    <row r="46" spans="1:11" s="13" customFormat="1" x14ac:dyDescent="0.25">
      <c r="A46" s="13" t="s">
        <v>39</v>
      </c>
      <c r="B46" s="30"/>
      <c r="C46" s="25" t="s">
        <v>40</v>
      </c>
      <c r="D46" s="13">
        <f>(+D43*5717)/1000000</f>
        <v>32416.682499360002</v>
      </c>
      <c r="E46" s="13">
        <f t="shared" ref="E46:K46" si="7">(+E43*5717)/1000000</f>
        <v>39050.236169939999</v>
      </c>
      <c r="F46" s="13">
        <f t="shared" si="7"/>
        <v>37405.650562660005</v>
      </c>
      <c r="G46" s="13">
        <f t="shared" si="7"/>
        <v>47872.727492260005</v>
      </c>
      <c r="H46" s="13">
        <f t="shared" si="7"/>
        <v>33848.244797179999</v>
      </c>
      <c r="I46" s="13">
        <f t="shared" si="7"/>
        <v>39638.54577004</v>
      </c>
      <c r="J46" s="13">
        <f t="shared" si="7"/>
        <v>28517.406765600004</v>
      </c>
      <c r="K46" s="13">
        <f t="shared" si="7"/>
        <v>0</v>
      </c>
    </row>
    <row r="48" spans="1:11" x14ac:dyDescent="0.25">
      <c r="A48" t="s">
        <v>43</v>
      </c>
      <c r="D48" s="27">
        <f>+D46+D38</f>
        <v>114021.83126945341</v>
      </c>
      <c r="E48" s="27">
        <f t="shared" ref="E48:K48" si="8">+E46+E38</f>
        <v>120655.3849400334</v>
      </c>
      <c r="F48" s="27">
        <f t="shared" si="8"/>
        <v>119010.79933275341</v>
      </c>
      <c r="G48" s="27">
        <f t="shared" si="8"/>
        <v>129477.87626235341</v>
      </c>
      <c r="H48" s="27">
        <f t="shared" si="8"/>
        <v>115453.39356727341</v>
      </c>
      <c r="I48" s="27">
        <f t="shared" si="8"/>
        <v>121243.69454013341</v>
      </c>
      <c r="J48" s="27">
        <f t="shared" si="8"/>
        <v>110122.55553569342</v>
      </c>
      <c r="K48" s="27">
        <f t="shared" si="8"/>
        <v>81605.148770093409</v>
      </c>
    </row>
    <row r="50" spans="1:11" x14ac:dyDescent="0.25">
      <c r="A50" t="s">
        <v>44</v>
      </c>
      <c r="D50" s="3">
        <f>-D23+D27-D28+D32</f>
        <v>27744.694015174678</v>
      </c>
      <c r="E50" s="3">
        <f t="shared" ref="E50:K50" si="9">-E23+E27-E28+E32</f>
        <v>26957.613512250842</v>
      </c>
      <c r="F50" s="3">
        <f t="shared" si="9"/>
        <v>72009.729998333351</v>
      </c>
      <c r="G50" s="3">
        <f t="shared" si="9"/>
        <v>66247.219753133337</v>
      </c>
      <c r="H50" s="3">
        <f t="shared" si="9"/>
        <v>67175.962896620826</v>
      </c>
      <c r="I50" s="3">
        <f t="shared" si="9"/>
        <v>71291.477219758337</v>
      </c>
      <c r="J50" s="3">
        <f t="shared" si="9"/>
        <v>69910.095292020836</v>
      </c>
      <c r="K50" s="3">
        <f t="shared" si="9"/>
        <v>85531.800983333334</v>
      </c>
    </row>
    <row r="51" spans="1:11" x14ac:dyDescent="0.25">
      <c r="A51" t="s">
        <v>45</v>
      </c>
      <c r="D51" s="3">
        <f>-D23+D27-D28+D32-D29</f>
        <v>27744.694015174678</v>
      </c>
      <c r="E51" s="3">
        <f t="shared" ref="E51:K51" si="10">-E23+E27-E28+E32-E29</f>
        <v>26957.613512250842</v>
      </c>
      <c r="F51" s="3">
        <f t="shared" si="10"/>
        <v>26034.050956733357</v>
      </c>
      <c r="G51" s="3">
        <f t="shared" si="10"/>
        <v>-17562.611833116651</v>
      </c>
      <c r="H51" s="3">
        <f t="shared" si="10"/>
        <v>-16897.836663129157</v>
      </c>
      <c r="I51" s="3">
        <f t="shared" si="10"/>
        <v>6675.8882780083441</v>
      </c>
      <c r="J51" s="3">
        <f t="shared" si="10"/>
        <v>22669.255463145841</v>
      </c>
      <c r="K51" s="3">
        <f t="shared" si="10"/>
        <v>85531.800983333334</v>
      </c>
    </row>
    <row r="53" spans="1:11" x14ac:dyDescent="0.25">
      <c r="A53" t="s">
        <v>52</v>
      </c>
      <c r="D53" s="3">
        <f>+D48*2.44-D50</f>
        <v>250468.57428229167</v>
      </c>
      <c r="E53" s="3">
        <f t="shared" ref="E53:K53" si="11">+E48*2.44-E50</f>
        <v>267441.52574143064</v>
      </c>
      <c r="F53" s="3">
        <f t="shared" si="11"/>
        <v>218376.62037358494</v>
      </c>
      <c r="G53" s="3">
        <f t="shared" si="11"/>
        <v>249678.79832700899</v>
      </c>
      <c r="H53" s="3">
        <f t="shared" si="11"/>
        <v>214530.31740752628</v>
      </c>
      <c r="I53" s="3">
        <f t="shared" si="11"/>
        <v>224543.13745816721</v>
      </c>
      <c r="J53" s="3">
        <f t="shared" si="11"/>
        <v>198788.94021507114</v>
      </c>
      <c r="K53" s="3">
        <f t="shared" si="11"/>
        <v>113584.76201569459</v>
      </c>
    </row>
    <row r="54" spans="1:11" x14ac:dyDescent="0.25">
      <c r="A54" t="s">
        <v>53</v>
      </c>
      <c r="D54" s="3">
        <f>+D48*2.44-D51</f>
        <v>250468.57428229167</v>
      </c>
      <c r="E54" s="3">
        <f t="shared" ref="E54:K54" si="12">+E48*2.44-E51</f>
        <v>267441.52574143064</v>
      </c>
      <c r="F54" s="3">
        <f t="shared" si="12"/>
        <v>264352.29941518494</v>
      </c>
      <c r="G54" s="3">
        <f t="shared" si="12"/>
        <v>333488.62991325895</v>
      </c>
      <c r="H54" s="3">
        <f t="shared" si="12"/>
        <v>298604.11696727626</v>
      </c>
      <c r="I54" s="3">
        <f t="shared" si="12"/>
        <v>289158.72639991721</v>
      </c>
      <c r="J54" s="3">
        <f t="shared" si="12"/>
        <v>246029.78004394611</v>
      </c>
      <c r="K54" s="3">
        <f t="shared" si="12"/>
        <v>113584.76201569459</v>
      </c>
    </row>
    <row r="56" spans="1:11" x14ac:dyDescent="0.25">
      <c r="A56" t="s">
        <v>54</v>
      </c>
      <c r="D56" s="1">
        <v>23779.97</v>
      </c>
      <c r="E56" s="3">
        <f>+D56</f>
        <v>23779.97</v>
      </c>
      <c r="F56" s="3">
        <f t="shared" ref="F56:K56" si="13">+E56</f>
        <v>23779.97</v>
      </c>
      <c r="G56" s="3">
        <f t="shared" si="13"/>
        <v>23779.97</v>
      </c>
      <c r="H56" s="3">
        <f t="shared" si="13"/>
        <v>23779.97</v>
      </c>
      <c r="I56" s="3">
        <f t="shared" si="13"/>
        <v>23779.97</v>
      </c>
      <c r="J56" s="3">
        <f t="shared" si="13"/>
        <v>23779.97</v>
      </c>
      <c r="K56" s="3">
        <f t="shared" si="13"/>
        <v>23779.97</v>
      </c>
    </row>
    <row r="58" spans="1:11" x14ac:dyDescent="0.25">
      <c r="A58" t="s">
        <v>47</v>
      </c>
      <c r="D58" s="28">
        <f>(+D53-D56)/D42</f>
        <v>5.3571537616410321E-2</v>
      </c>
      <c r="E58" s="28">
        <f t="shared" ref="E58:K58" si="14">(+E53-E56)/E42</f>
        <v>4.780092916389922E-2</v>
      </c>
      <c r="F58" s="28">
        <f t="shared" si="14"/>
        <v>3.9853928613050184E-2</v>
      </c>
      <c r="G58" s="28">
        <f t="shared" si="14"/>
        <v>3.6149208886223971E-2</v>
      </c>
      <c r="H58" s="28">
        <f t="shared" si="14"/>
        <v>4.3172000650809943E-2</v>
      </c>
      <c r="I58" s="28">
        <f t="shared" si="14"/>
        <v>3.8800678181353632E-2</v>
      </c>
      <c r="J58" s="28">
        <f t="shared" si="14"/>
        <v>4.7013574195725244E-2</v>
      </c>
      <c r="K58" s="28" t="e">
        <f t="shared" si="14"/>
        <v>#DIV/0!</v>
      </c>
    </row>
    <row r="59" spans="1:11" x14ac:dyDescent="0.25">
      <c r="A59" t="s">
        <v>46</v>
      </c>
      <c r="D59" s="28">
        <f>(+D54-D56)/D42</f>
        <v>5.3571537616410321E-2</v>
      </c>
      <c r="E59" s="28">
        <f t="shared" ref="E59:K59" si="15">(+E54-E56)/E42</f>
        <v>4.780092916389922E-2</v>
      </c>
      <c r="F59" s="28">
        <f t="shared" si="15"/>
        <v>4.9269873990027531E-2</v>
      </c>
      <c r="G59" s="28">
        <f t="shared" si="15"/>
        <v>4.9560784019959933E-2</v>
      </c>
      <c r="H59" s="28">
        <f t="shared" si="15"/>
        <v>6.2200192099159453E-2</v>
      </c>
      <c r="I59" s="28">
        <f t="shared" si="15"/>
        <v>5.1288669398915389E-2</v>
      </c>
      <c r="J59" s="28">
        <f t="shared" si="15"/>
        <v>5.9704127860682042E-2</v>
      </c>
      <c r="K59" s="28" t="e">
        <f t="shared" si="15"/>
        <v>#DIV/0!</v>
      </c>
    </row>
    <row r="61" spans="1:11" x14ac:dyDescent="0.25">
      <c r="A61" t="s">
        <v>48</v>
      </c>
      <c r="D61" s="28">
        <f>171607.49/D42</f>
        <v>4.0554650441733356E-2</v>
      </c>
      <c r="E61" s="28">
        <f>148188.29/E42</f>
        <v>2.9071216965906109E-2</v>
      </c>
      <c r="F61" s="28">
        <f>163800.31/F42</f>
        <v>3.3546753497570116E-2</v>
      </c>
      <c r="G61" s="28">
        <f>234573.85/G42</f>
        <v>3.7537419585995796E-2</v>
      </c>
      <c r="H61" s="28">
        <f>209394.93/H42</f>
        <v>4.7391777666978017E-2</v>
      </c>
      <c r="I61" s="28">
        <f>202386.02/I42</f>
        <v>3.9114320270232136E-2</v>
      </c>
      <c r="J61" s="28">
        <f>154927.01/J42</f>
        <v>4.1618852282862148E-2</v>
      </c>
    </row>
    <row r="63" spans="1:11" s="1" customFormat="1" x14ac:dyDescent="0.25">
      <c r="A63" s="1" t="s">
        <v>49</v>
      </c>
      <c r="D63" s="1">
        <v>2.31</v>
      </c>
      <c r="E63" s="1">
        <v>4.09</v>
      </c>
      <c r="F63" s="1">
        <v>3.85</v>
      </c>
      <c r="G63" s="1">
        <v>4</v>
      </c>
      <c r="H63" s="1">
        <v>4.6399999999999997</v>
      </c>
    </row>
    <row r="65" spans="1:11" x14ac:dyDescent="0.25">
      <c r="A65" t="s">
        <v>50</v>
      </c>
      <c r="D65" s="3">
        <f>+D48*D63-D50</f>
        <v>235645.73621726272</v>
      </c>
      <c r="E65" s="3">
        <f t="shared" ref="E65:K65" si="16">+E48*E63-E50</f>
        <v>466522.91089248576</v>
      </c>
      <c r="F65" s="3">
        <f t="shared" si="16"/>
        <v>386181.84743276727</v>
      </c>
      <c r="G65" s="3">
        <f t="shared" si="16"/>
        <v>451664.28529628029</v>
      </c>
      <c r="H65" s="3">
        <f t="shared" si="16"/>
        <v>468527.78325552773</v>
      </c>
      <c r="I65" s="3">
        <f t="shared" si="16"/>
        <v>-71291.477219758337</v>
      </c>
      <c r="J65" s="3">
        <f t="shared" si="16"/>
        <v>-69910.095292020836</v>
      </c>
      <c r="K65" s="3">
        <f t="shared" si="16"/>
        <v>-85531.800983333334</v>
      </c>
    </row>
    <row r="66" spans="1:11" x14ac:dyDescent="0.25">
      <c r="A66" t="s">
        <v>51</v>
      </c>
      <c r="D66" s="29">
        <f>+D63*D48-D51</f>
        <v>235645.73621726272</v>
      </c>
      <c r="E66" s="29">
        <f t="shared" ref="E66:K66" si="17">+E63*E48-E51</f>
        <v>466522.91089248576</v>
      </c>
      <c r="F66" s="29">
        <f t="shared" si="17"/>
        <v>432157.52647436725</v>
      </c>
      <c r="G66" s="29">
        <f t="shared" si="17"/>
        <v>535474.11688253027</v>
      </c>
      <c r="H66" s="29">
        <f t="shared" si="17"/>
        <v>552601.58281527774</v>
      </c>
      <c r="I66" s="29">
        <f t="shared" si="17"/>
        <v>-6675.8882780083441</v>
      </c>
      <c r="J66" s="29">
        <f t="shared" si="17"/>
        <v>-22669.255463145841</v>
      </c>
      <c r="K66" s="29">
        <f t="shared" si="17"/>
        <v>-85531.800983333334</v>
      </c>
    </row>
    <row r="68" spans="1:11" x14ac:dyDescent="0.25">
      <c r="A68" t="s">
        <v>47</v>
      </c>
      <c r="D68" s="28">
        <f>(+D65-D56)/D42</f>
        <v>5.0068572703388936E-2</v>
      </c>
      <c r="E68" s="28">
        <f t="shared" ref="E68:K68" si="18">(+E65-E56)/E42</f>
        <v>8.6856229293210671E-2</v>
      </c>
      <c r="F68" s="28">
        <f t="shared" si="18"/>
        <v>7.4220900127073414E-2</v>
      </c>
      <c r="G68" s="28">
        <f t="shared" si="18"/>
        <v>6.8471711904557961E-2</v>
      </c>
      <c r="H68" s="28">
        <f t="shared" si="18"/>
        <v>0.10065854738546264</v>
      </c>
      <c r="I68" s="28">
        <f t="shared" si="18"/>
        <v>-1.8374070674980904E-2</v>
      </c>
      <c r="J68" s="28">
        <f t="shared" si="18"/>
        <v>-2.5168451826187863E-2</v>
      </c>
      <c r="K68" s="28" t="e">
        <f t="shared" si="18"/>
        <v>#DIV/0!</v>
      </c>
    </row>
    <row r="69" spans="1:11" x14ac:dyDescent="0.25">
      <c r="A69" t="s">
        <v>46</v>
      </c>
      <c r="D69" s="28">
        <f>(+D66-D56)/D42</f>
        <v>5.0068572703388936E-2</v>
      </c>
      <c r="E69" s="28">
        <f t="shared" ref="E69:K69" si="19">(+E66-E56)/E42</f>
        <v>8.6856229293210671E-2</v>
      </c>
      <c r="F69" s="28">
        <f t="shared" si="19"/>
        <v>8.3636845504050747E-2</v>
      </c>
      <c r="G69" s="28">
        <f t="shared" si="19"/>
        <v>8.1883287038293923E-2</v>
      </c>
      <c r="H69" s="28">
        <f t="shared" si="19"/>
        <v>0.11968673883381215</v>
      </c>
      <c r="I69" s="28">
        <f t="shared" si="19"/>
        <v>-5.8860794574191397E-3</v>
      </c>
      <c r="J69" s="28">
        <f t="shared" si="19"/>
        <v>-1.2477898161231059E-2</v>
      </c>
      <c r="K69" s="28" t="e">
        <f t="shared" si="19"/>
        <v>#DIV/0!</v>
      </c>
    </row>
  </sheetData>
  <pageMargins left="0.25" right="0.24" top="0.51" bottom="0.51" header="0.5" footer="0.5"/>
  <pageSetup scale="5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workbookViewId="0">
      <selection activeCell="D7" sqref="D7"/>
    </sheetView>
  </sheetViews>
  <sheetFormatPr defaultRowHeight="13.2" x14ac:dyDescent="0.25"/>
  <cols>
    <col min="3" max="3" width="10.6640625" bestFit="1" customWidth="1"/>
    <col min="4" max="4" width="13.6640625" bestFit="1" customWidth="1"/>
  </cols>
  <sheetData>
    <row r="3" spans="2:4" x14ac:dyDescent="0.25">
      <c r="B3">
        <v>1.762E-2</v>
      </c>
      <c r="C3">
        <f>((B3*(1+0.005%))*(1+5.875%))</f>
        <v>1.8656107758750002E-2</v>
      </c>
      <c r="D3">
        <v>1.8700000000000001E-2</v>
      </c>
    </row>
    <row r="4" spans="2:4" x14ac:dyDescent="0.25">
      <c r="C4">
        <v>1.341</v>
      </c>
      <c r="D4">
        <v>1.341</v>
      </c>
    </row>
    <row r="5" spans="2:4" x14ac:dyDescent="0.25">
      <c r="C5">
        <f>+C3/C4</f>
        <v>1.3912086322706936E-2</v>
      </c>
      <c r="D5">
        <f>+D3/D4</f>
        <v>1.3944817300522E-2</v>
      </c>
    </row>
    <row r="6" spans="2:4" x14ac:dyDescent="0.25">
      <c r="C6" s="1">
        <v>3</v>
      </c>
      <c r="D6" s="32">
        <v>2.4390999999999998</v>
      </c>
    </row>
    <row r="7" spans="2:4" x14ac:dyDescent="0.25">
      <c r="C7" s="31">
        <f>+C5/C6</f>
        <v>4.6373621075689788E-3</v>
      </c>
      <c r="D7" s="33">
        <f>+D5/D6</f>
        <v>5.7171978600803579E-3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Demand</vt:lpstr>
      <vt:lpstr>Sheet1</vt:lpstr>
      <vt:lpstr>Sheet2</vt:lpstr>
      <vt:lpstr>Demand!Print_Area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Havlíček Jan</cp:lastModifiedBy>
  <cp:lastPrinted>2001-02-14T16:30:22Z</cp:lastPrinted>
  <dcterms:created xsi:type="dcterms:W3CDTF">2001-01-16T20:46:49Z</dcterms:created>
  <dcterms:modified xsi:type="dcterms:W3CDTF">2023-09-10T15:02:33Z</dcterms:modified>
</cp:coreProperties>
</file>