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668" windowWidth="15336" windowHeight="4716" tabRatio="806"/>
  </bookViews>
  <sheets>
    <sheet name="Origination Summary" sheetId="1" r:id="rId1"/>
    <sheet name="International Origin Summary" sheetId="2" r:id="rId2"/>
  </sheets>
  <externalReferences>
    <externalReference r:id="rId3"/>
  </externalReferences>
  <definedNames>
    <definedName name="erv58sec1">#REF!</definedName>
    <definedName name="erv80sec1">#REF!</definedName>
    <definedName name="_xlnm.Print_Area" localSheetId="0">'Origination Summary'!$A$1:$J$805</definedName>
    <definedName name="_xlnm.Print_Titles" localSheetId="0">'Origination Summary'!$1:$12</definedName>
  </definedNames>
  <calcPr calcId="0" fullCalcOnLoad="1"/>
</workbook>
</file>

<file path=xl/calcChain.xml><?xml version="1.0" encoding="utf-8"?>
<calcChain xmlns="http://schemas.openxmlformats.org/spreadsheetml/2006/main">
  <c r="A9" i="2" l="1"/>
  <c r="P22" i="2"/>
  <c r="R22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G51" i="2"/>
  <c r="H51" i="2"/>
  <c r="I51" i="2"/>
  <c r="J51" i="2"/>
  <c r="K51" i="2"/>
  <c r="L51" i="2"/>
  <c r="L55" i="2"/>
  <c r="G56" i="2"/>
  <c r="H56" i="2"/>
  <c r="I56" i="2"/>
  <c r="J56" i="2"/>
  <c r="L56" i="2"/>
  <c r="G57" i="2"/>
  <c r="H57" i="2"/>
  <c r="I57" i="2"/>
  <c r="J57" i="2"/>
  <c r="L57" i="2"/>
  <c r="L58" i="2"/>
  <c r="H59" i="2"/>
  <c r="I59" i="2"/>
  <c r="J59" i="2"/>
  <c r="L59" i="2"/>
  <c r="H60" i="2"/>
  <c r="I60" i="2"/>
  <c r="J60" i="2"/>
  <c r="L60" i="2"/>
  <c r="H61" i="2"/>
  <c r="I61" i="2"/>
  <c r="J61" i="2"/>
  <c r="L61" i="2"/>
  <c r="H62" i="2"/>
  <c r="I62" i="2"/>
  <c r="J62" i="2"/>
  <c r="L62" i="2"/>
  <c r="H63" i="2"/>
  <c r="I63" i="2"/>
  <c r="J63" i="2"/>
  <c r="L63" i="2"/>
  <c r="G64" i="2"/>
  <c r="H64" i="2"/>
  <c r="I64" i="2"/>
  <c r="J64" i="2"/>
  <c r="K64" i="2"/>
  <c r="L64" i="2"/>
  <c r="N65" i="2"/>
  <c r="O65" i="2"/>
  <c r="P65" i="2"/>
  <c r="R65" i="2"/>
  <c r="G66" i="2"/>
  <c r="H66" i="2"/>
  <c r="I66" i="2"/>
  <c r="J66" i="2"/>
  <c r="K66" i="2"/>
  <c r="L66" i="2"/>
  <c r="L72" i="2"/>
  <c r="L73" i="2"/>
  <c r="L74" i="2"/>
  <c r="L75" i="2"/>
  <c r="L76" i="2"/>
  <c r="L77" i="2"/>
  <c r="G78" i="2"/>
  <c r="H78" i="2"/>
  <c r="K78" i="2"/>
  <c r="L78" i="2"/>
  <c r="G79" i="2"/>
  <c r="H79" i="2"/>
  <c r="K79" i="2"/>
  <c r="L79" i="2"/>
  <c r="G80" i="2"/>
  <c r="H80" i="2"/>
  <c r="K80" i="2"/>
  <c r="L80" i="2"/>
  <c r="L82" i="2"/>
  <c r="L83" i="2"/>
  <c r="L84" i="2"/>
  <c r="L85" i="2"/>
  <c r="L86" i="2"/>
  <c r="G87" i="2"/>
  <c r="H87" i="2"/>
  <c r="I87" i="2"/>
  <c r="J87" i="2"/>
  <c r="K87" i="2"/>
  <c r="L87" i="2"/>
  <c r="L91" i="2"/>
  <c r="M91" i="2"/>
  <c r="N91" i="2"/>
  <c r="O91" i="2"/>
  <c r="P91" i="2"/>
  <c r="Q91" i="2"/>
  <c r="R91" i="2"/>
  <c r="L92" i="2"/>
  <c r="L93" i="2"/>
  <c r="L94" i="2"/>
  <c r="L95" i="2"/>
  <c r="L96" i="2"/>
  <c r="L97" i="2"/>
  <c r="L98" i="2"/>
  <c r="G99" i="2"/>
  <c r="H99" i="2"/>
  <c r="I99" i="2"/>
  <c r="J99" i="2"/>
  <c r="K99" i="2"/>
  <c r="L99" i="2"/>
  <c r="G102" i="2"/>
  <c r="H102" i="2"/>
  <c r="I102" i="2"/>
  <c r="J102" i="2"/>
  <c r="K102" i="2"/>
  <c r="L102" i="2"/>
  <c r="N102" i="2"/>
  <c r="O102" i="2"/>
  <c r="P102" i="2"/>
  <c r="R102" i="2"/>
  <c r="G106" i="2"/>
  <c r="H106" i="2"/>
  <c r="I106" i="2"/>
  <c r="J106" i="2"/>
  <c r="K106" i="2"/>
  <c r="L106" i="2"/>
  <c r="N106" i="2"/>
  <c r="O106" i="2"/>
  <c r="P106" i="2"/>
  <c r="R106" i="2"/>
  <c r="G109" i="2"/>
  <c r="H109" i="2"/>
  <c r="I109" i="2"/>
  <c r="J109" i="2"/>
  <c r="K109" i="2"/>
  <c r="L109" i="2"/>
  <c r="N109" i="2"/>
  <c r="O109" i="2"/>
  <c r="P109" i="2"/>
  <c r="R109" i="2"/>
  <c r="G113" i="2"/>
  <c r="H113" i="2"/>
  <c r="I113" i="2"/>
  <c r="J113" i="2"/>
  <c r="K113" i="2"/>
  <c r="L113" i="2"/>
  <c r="M113" i="2"/>
  <c r="N113" i="2"/>
  <c r="O113" i="2"/>
  <c r="P113" i="2"/>
  <c r="R113" i="2"/>
  <c r="G115" i="2"/>
  <c r="H115" i="2"/>
  <c r="I115" i="2"/>
  <c r="J115" i="2"/>
  <c r="K115" i="2"/>
  <c r="L115" i="2"/>
  <c r="M115" i="2"/>
  <c r="N115" i="2"/>
  <c r="O115" i="2"/>
  <c r="P115" i="2"/>
  <c r="R115" i="2"/>
  <c r="A127" i="2"/>
  <c r="L137" i="2"/>
  <c r="P137" i="2"/>
  <c r="R137" i="2"/>
  <c r="L138" i="2"/>
  <c r="L139" i="2"/>
  <c r="R139" i="2"/>
  <c r="L140" i="2"/>
  <c r="P140" i="2"/>
  <c r="R140" i="2"/>
  <c r="G141" i="2"/>
  <c r="H141" i="2"/>
  <c r="I141" i="2"/>
  <c r="J141" i="2"/>
  <c r="L141" i="2"/>
  <c r="N141" i="2"/>
  <c r="O141" i="2"/>
  <c r="P141" i="2"/>
  <c r="R141" i="2"/>
  <c r="L145" i="2"/>
  <c r="P145" i="2"/>
  <c r="R145" i="2"/>
  <c r="L146" i="2"/>
  <c r="R146" i="2"/>
  <c r="L147" i="2"/>
  <c r="L148" i="2"/>
  <c r="L149" i="2"/>
  <c r="L150" i="2"/>
  <c r="L151" i="2"/>
  <c r="L152" i="2"/>
  <c r="L153" i="2"/>
  <c r="P153" i="2"/>
  <c r="R153" i="2"/>
  <c r="G154" i="2"/>
  <c r="H154" i="2"/>
  <c r="I154" i="2"/>
  <c r="J154" i="2"/>
  <c r="K154" i="2"/>
  <c r="L154" i="2"/>
  <c r="N154" i="2"/>
  <c r="O154" i="2"/>
  <c r="P154" i="2"/>
  <c r="R154" i="2"/>
  <c r="G157" i="2"/>
  <c r="H157" i="2"/>
  <c r="I157" i="2"/>
  <c r="J157" i="2"/>
  <c r="K157" i="2"/>
  <c r="L157" i="2"/>
  <c r="N157" i="2"/>
  <c r="O157" i="2"/>
  <c r="P157" i="2"/>
  <c r="R157" i="2"/>
  <c r="L159" i="2"/>
  <c r="L160" i="2"/>
  <c r="G161" i="2"/>
  <c r="H161" i="2"/>
  <c r="I161" i="2"/>
  <c r="J161" i="2"/>
  <c r="K161" i="2"/>
  <c r="L161" i="2"/>
  <c r="M161" i="2"/>
  <c r="N161" i="2"/>
  <c r="O161" i="2"/>
  <c r="P161" i="2"/>
  <c r="R161" i="2"/>
  <c r="G163" i="2"/>
  <c r="H163" i="2"/>
  <c r="I163" i="2"/>
  <c r="J163" i="2"/>
  <c r="K163" i="2"/>
  <c r="L163" i="2"/>
  <c r="M163" i="2"/>
  <c r="N163" i="2"/>
  <c r="O163" i="2"/>
  <c r="P163" i="2"/>
  <c r="R163" i="2"/>
  <c r="E19" i="1"/>
  <c r="F19" i="1"/>
  <c r="I19" i="1"/>
  <c r="D21" i="1"/>
  <c r="E21" i="1"/>
  <c r="F21" i="1"/>
  <c r="G21" i="1"/>
  <c r="H21" i="1"/>
  <c r="I21" i="1"/>
  <c r="I25" i="1"/>
  <c r="I26" i="1"/>
  <c r="I27" i="1"/>
  <c r="I28" i="1"/>
  <c r="I29" i="1"/>
  <c r="I30" i="1"/>
  <c r="I31" i="1"/>
  <c r="D32" i="1"/>
  <c r="I32" i="1"/>
  <c r="I33" i="1"/>
  <c r="I34" i="1"/>
  <c r="I35" i="1"/>
  <c r="I36" i="1"/>
  <c r="I37" i="1"/>
  <c r="D39" i="1"/>
  <c r="E39" i="1"/>
  <c r="F39" i="1"/>
  <c r="G39" i="1"/>
  <c r="H39" i="1"/>
  <c r="I39" i="1"/>
  <c r="I43" i="1"/>
  <c r="I44" i="1"/>
  <c r="I45" i="1"/>
  <c r="I46" i="1"/>
  <c r="E47" i="1"/>
  <c r="F47" i="1"/>
  <c r="I47" i="1"/>
  <c r="I48" i="1"/>
  <c r="I49" i="1"/>
  <c r="I50" i="1"/>
  <c r="I51" i="1"/>
  <c r="I54" i="1"/>
  <c r="I55" i="1"/>
  <c r="D56" i="1"/>
  <c r="E56" i="1"/>
  <c r="I56" i="1"/>
  <c r="D57" i="1"/>
  <c r="E57" i="1"/>
  <c r="I57" i="1"/>
  <c r="D58" i="1"/>
  <c r="I58" i="1"/>
  <c r="I59" i="1"/>
  <c r="I60" i="1"/>
  <c r="D61" i="1"/>
  <c r="I61" i="1"/>
  <c r="D63" i="1"/>
  <c r="E63" i="1"/>
  <c r="F63" i="1"/>
  <c r="G63" i="1"/>
  <c r="H63" i="1"/>
  <c r="I63" i="1"/>
  <c r="E67" i="1"/>
  <c r="F67" i="1"/>
  <c r="I67" i="1"/>
  <c r="E68" i="1"/>
  <c r="F68" i="1"/>
  <c r="I68" i="1"/>
  <c r="E69" i="1"/>
  <c r="F69" i="1"/>
  <c r="I69" i="1"/>
  <c r="E70" i="1"/>
  <c r="F70" i="1"/>
  <c r="I70" i="1"/>
  <c r="E71" i="1"/>
  <c r="F71" i="1"/>
  <c r="I71" i="1"/>
  <c r="E72" i="1"/>
  <c r="F72" i="1"/>
  <c r="I72" i="1"/>
  <c r="E73" i="1"/>
  <c r="F73" i="1"/>
  <c r="I73" i="1"/>
  <c r="E74" i="1"/>
  <c r="F74" i="1"/>
  <c r="I74" i="1"/>
  <c r="E75" i="1"/>
  <c r="I75" i="1"/>
  <c r="E76" i="1"/>
  <c r="F76" i="1"/>
  <c r="I76" i="1"/>
  <c r="I77" i="1"/>
  <c r="I78" i="1"/>
  <c r="I79" i="1"/>
  <c r="I80" i="1"/>
  <c r="I81" i="1"/>
  <c r="D82" i="1"/>
  <c r="I83" i="1"/>
  <c r="I84" i="1"/>
  <c r="I85" i="1"/>
  <c r="I86" i="1"/>
  <c r="I87" i="1"/>
  <c r="I88" i="1"/>
  <c r="D90" i="1"/>
  <c r="E90" i="1"/>
  <c r="F90" i="1"/>
  <c r="G90" i="1"/>
  <c r="H90" i="1"/>
  <c r="I90" i="1"/>
  <c r="I94" i="1"/>
  <c r="I95" i="1"/>
  <c r="D97" i="1"/>
  <c r="E97" i="1"/>
  <c r="F97" i="1"/>
  <c r="G97" i="1"/>
  <c r="H97" i="1"/>
  <c r="I97" i="1"/>
  <c r="E103" i="1"/>
  <c r="I103" i="1"/>
  <c r="I104" i="1"/>
  <c r="I105" i="1"/>
  <c r="I106" i="1"/>
  <c r="I107" i="1"/>
  <c r="D109" i="1"/>
  <c r="E109" i="1"/>
  <c r="F109" i="1"/>
  <c r="G109" i="1"/>
  <c r="H109" i="1"/>
  <c r="I109" i="1"/>
  <c r="I113" i="1"/>
  <c r="D114" i="1"/>
  <c r="E114" i="1"/>
  <c r="F114" i="1"/>
  <c r="G114" i="1"/>
  <c r="H114" i="1"/>
  <c r="I114" i="1"/>
  <c r="I120" i="1"/>
  <c r="D122" i="1"/>
  <c r="E122" i="1"/>
  <c r="F122" i="1"/>
  <c r="G122" i="1"/>
  <c r="H122" i="1"/>
  <c r="I122" i="1"/>
  <c r="E126" i="1"/>
  <c r="F126" i="1"/>
  <c r="I126" i="1"/>
  <c r="E127" i="1"/>
  <c r="F127" i="1"/>
  <c r="I127" i="1"/>
  <c r="E128" i="1"/>
  <c r="I128" i="1"/>
  <c r="E129" i="1"/>
  <c r="I129" i="1"/>
  <c r="E130" i="1"/>
  <c r="F130" i="1"/>
  <c r="I130" i="1"/>
  <c r="E131" i="1"/>
  <c r="I131" i="1"/>
  <c r="D136" i="1"/>
  <c r="E136" i="1"/>
  <c r="F136" i="1"/>
  <c r="G136" i="1"/>
  <c r="H136" i="1"/>
  <c r="I136" i="1"/>
  <c r="D138" i="1"/>
  <c r="E138" i="1"/>
  <c r="F138" i="1"/>
  <c r="G138" i="1"/>
  <c r="H138" i="1"/>
  <c r="I138" i="1"/>
  <c r="E141" i="1"/>
  <c r="I141" i="1"/>
  <c r="D143" i="1"/>
  <c r="E143" i="1"/>
  <c r="F143" i="1"/>
  <c r="G143" i="1"/>
  <c r="H143" i="1"/>
  <c r="I143" i="1"/>
  <c r="E151" i="1"/>
  <c r="F151" i="1"/>
  <c r="I151" i="1"/>
  <c r="E152" i="1"/>
  <c r="I152" i="1"/>
  <c r="E153" i="1"/>
  <c r="F153" i="1"/>
  <c r="I153" i="1"/>
  <c r="E154" i="1"/>
  <c r="F154" i="1"/>
  <c r="I154" i="1"/>
  <c r="E155" i="1"/>
  <c r="I155" i="1"/>
  <c r="E156" i="1"/>
  <c r="I156" i="1"/>
  <c r="E157" i="1"/>
  <c r="I157" i="1"/>
  <c r="E158" i="1"/>
  <c r="I158" i="1"/>
  <c r="E159" i="1"/>
  <c r="I159" i="1"/>
  <c r="E160" i="1"/>
  <c r="I160" i="1"/>
  <c r="E161" i="1"/>
  <c r="F161" i="1"/>
  <c r="I161" i="1"/>
  <c r="E162" i="1"/>
  <c r="I162" i="1"/>
  <c r="I163" i="1"/>
  <c r="E164" i="1"/>
  <c r="I164" i="1"/>
  <c r="E165" i="1"/>
  <c r="I165" i="1"/>
  <c r="E166" i="1"/>
  <c r="I166" i="1"/>
  <c r="I167" i="1"/>
  <c r="D168" i="1"/>
  <c r="E168" i="1"/>
  <c r="F168" i="1"/>
  <c r="I168" i="1"/>
  <c r="D169" i="1"/>
  <c r="E169" i="1"/>
  <c r="I169" i="1"/>
  <c r="D170" i="1"/>
  <c r="E170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D201" i="1"/>
  <c r="I201" i="1"/>
  <c r="I202" i="1"/>
  <c r="D203" i="1"/>
  <c r="I203" i="1"/>
  <c r="I204" i="1"/>
  <c r="D205" i="1"/>
  <c r="I205" i="1"/>
  <c r="D206" i="1"/>
  <c r="D208" i="1"/>
  <c r="I208" i="1"/>
  <c r="D209" i="1"/>
  <c r="E209" i="1"/>
  <c r="I209" i="1"/>
  <c r="I210" i="1"/>
  <c r="D211" i="1"/>
  <c r="I211" i="1"/>
  <c r="D212" i="1"/>
  <c r="E212" i="1"/>
  <c r="I212" i="1"/>
  <c r="D213" i="1"/>
  <c r="E213" i="1"/>
  <c r="F213" i="1"/>
  <c r="G213" i="1"/>
  <c r="H213" i="1"/>
  <c r="I213" i="1"/>
  <c r="E217" i="1"/>
  <c r="I217" i="1"/>
  <c r="E218" i="1"/>
  <c r="F218" i="1"/>
  <c r="I218" i="1"/>
  <c r="E219" i="1"/>
  <c r="F219" i="1"/>
  <c r="I219" i="1"/>
  <c r="E220" i="1"/>
  <c r="I220" i="1"/>
  <c r="E221" i="1"/>
  <c r="I221" i="1"/>
  <c r="E222" i="1"/>
  <c r="I222" i="1"/>
  <c r="E223" i="1"/>
  <c r="I223" i="1"/>
  <c r="E224" i="1"/>
  <c r="F224" i="1"/>
  <c r="I224" i="1"/>
  <c r="E225" i="1"/>
  <c r="F225" i="1"/>
  <c r="I225" i="1"/>
  <c r="E226" i="1"/>
  <c r="I226" i="1"/>
  <c r="E227" i="1"/>
  <c r="I227" i="1"/>
  <c r="E228" i="1"/>
  <c r="I228" i="1"/>
  <c r="E229" i="1"/>
  <c r="I229" i="1"/>
  <c r="E230" i="1"/>
  <c r="I230" i="1"/>
  <c r="E231" i="1"/>
  <c r="I231" i="1"/>
  <c r="E232" i="1"/>
  <c r="I232" i="1"/>
  <c r="E233" i="1"/>
  <c r="I233" i="1"/>
  <c r="E234" i="1"/>
  <c r="I234" i="1"/>
  <c r="D235" i="1"/>
  <c r="I235" i="1"/>
  <c r="I236" i="1"/>
  <c r="I237" i="1"/>
  <c r="I238" i="1"/>
  <c r="I239" i="1"/>
  <c r="I240" i="1"/>
  <c r="I241" i="1"/>
  <c r="D242" i="1"/>
  <c r="I242" i="1"/>
  <c r="I243" i="1"/>
  <c r="I244" i="1"/>
  <c r="D245" i="1"/>
  <c r="I245" i="1"/>
  <c r="D248" i="1"/>
  <c r="I248" i="1"/>
  <c r="D249" i="1"/>
  <c r="I249" i="1"/>
  <c r="D250" i="1"/>
  <c r="I250" i="1"/>
  <c r="D251" i="1"/>
  <c r="E251" i="1"/>
  <c r="F251" i="1"/>
  <c r="G251" i="1"/>
  <c r="H251" i="1"/>
  <c r="I251" i="1"/>
  <c r="D255" i="1"/>
  <c r="E255" i="1"/>
  <c r="F255" i="1"/>
  <c r="G255" i="1"/>
  <c r="H255" i="1"/>
  <c r="I255" i="1"/>
  <c r="I256" i="1"/>
  <c r="D257" i="1"/>
  <c r="I257" i="1"/>
  <c r="D258" i="1"/>
  <c r="I258" i="1"/>
  <c r="D259" i="1"/>
  <c r="I259" i="1"/>
  <c r="D260" i="1"/>
  <c r="I260" i="1"/>
  <c r="D261" i="1"/>
  <c r="I261" i="1"/>
  <c r="D262" i="1"/>
  <c r="I262" i="1"/>
  <c r="D263" i="1"/>
  <c r="I263" i="1"/>
  <c r="D264" i="1"/>
  <c r="I264" i="1"/>
  <c r="D265" i="1"/>
  <c r="I265" i="1"/>
  <c r="D266" i="1"/>
  <c r="I266" i="1"/>
  <c r="D267" i="1"/>
  <c r="I267" i="1"/>
  <c r="D268" i="1"/>
  <c r="I268" i="1"/>
  <c r="D269" i="1"/>
  <c r="I269" i="1"/>
  <c r="D270" i="1"/>
  <c r="I270" i="1"/>
  <c r="I272" i="1"/>
  <c r="I273" i="1"/>
  <c r="D274" i="1"/>
  <c r="I276" i="1"/>
  <c r="I277" i="1"/>
  <c r="I278" i="1"/>
  <c r="I279" i="1"/>
  <c r="D281" i="1"/>
  <c r="I281" i="1"/>
  <c r="D282" i="1"/>
  <c r="I282" i="1"/>
  <c r="D283" i="1"/>
  <c r="I283" i="1"/>
  <c r="D284" i="1"/>
  <c r="I284" i="1"/>
  <c r="D285" i="1"/>
  <c r="I285" i="1"/>
  <c r="D286" i="1"/>
  <c r="I286" i="1"/>
  <c r="D287" i="1"/>
  <c r="I287" i="1"/>
  <c r="D288" i="1"/>
  <c r="I288" i="1"/>
  <c r="D289" i="1"/>
  <c r="I289" i="1"/>
  <c r="D290" i="1"/>
  <c r="I290" i="1"/>
  <c r="D291" i="1"/>
  <c r="I291" i="1"/>
  <c r="D292" i="1"/>
  <c r="I292" i="1"/>
  <c r="D294" i="1"/>
  <c r="E294" i="1"/>
  <c r="F294" i="1"/>
  <c r="G294" i="1"/>
  <c r="H294" i="1"/>
  <c r="I294" i="1"/>
  <c r="D296" i="1"/>
  <c r="F296" i="1"/>
  <c r="I296" i="1"/>
  <c r="D297" i="1"/>
  <c r="F297" i="1"/>
  <c r="I297" i="1"/>
  <c r="D298" i="1"/>
  <c r="I298" i="1"/>
  <c r="D299" i="1"/>
  <c r="E299" i="1"/>
  <c r="I299" i="1"/>
  <c r="D300" i="1"/>
  <c r="E300" i="1"/>
  <c r="I300" i="1"/>
  <c r="D301" i="1"/>
  <c r="E301" i="1"/>
  <c r="I301" i="1"/>
  <c r="D302" i="1"/>
  <c r="E302" i="1"/>
  <c r="I302" i="1"/>
  <c r="D303" i="1"/>
  <c r="E303" i="1"/>
  <c r="I303" i="1"/>
  <c r="D304" i="1"/>
  <c r="E304" i="1"/>
  <c r="I304" i="1"/>
  <c r="D305" i="1"/>
  <c r="E305" i="1"/>
  <c r="I305" i="1"/>
  <c r="D306" i="1"/>
  <c r="E306" i="1"/>
  <c r="I306" i="1"/>
  <c r="D307" i="1"/>
  <c r="I307" i="1"/>
  <c r="D308" i="1"/>
  <c r="I308" i="1"/>
  <c r="D309" i="1"/>
  <c r="I309" i="1"/>
  <c r="D310" i="1"/>
  <c r="I310" i="1"/>
  <c r="D311" i="1"/>
  <c r="I311" i="1"/>
  <c r="D312" i="1"/>
  <c r="I312" i="1"/>
  <c r="D313" i="1"/>
  <c r="I313" i="1"/>
  <c r="D314" i="1"/>
  <c r="I314" i="1"/>
  <c r="D315" i="1"/>
  <c r="I315" i="1"/>
  <c r="D316" i="1"/>
  <c r="I316" i="1"/>
  <c r="D317" i="1"/>
  <c r="I317" i="1"/>
  <c r="D318" i="1"/>
  <c r="D319" i="1"/>
  <c r="D320" i="1"/>
  <c r="D321" i="1"/>
  <c r="D322" i="1"/>
  <c r="D323" i="1"/>
  <c r="D324" i="1"/>
  <c r="D325" i="1"/>
  <c r="D326" i="1"/>
  <c r="I326" i="1"/>
  <c r="D327" i="1"/>
  <c r="D328" i="1"/>
  <c r="D329" i="1"/>
  <c r="D330" i="1"/>
  <c r="I330" i="1"/>
  <c r="D331" i="1"/>
  <c r="I331" i="1"/>
  <c r="D332" i="1"/>
  <c r="I332" i="1"/>
  <c r="D333" i="1"/>
  <c r="I333" i="1"/>
  <c r="D334" i="1"/>
  <c r="I334" i="1"/>
  <c r="D335" i="1"/>
  <c r="I335" i="1"/>
  <c r="D336" i="1"/>
  <c r="I336" i="1"/>
  <c r="D337" i="1"/>
  <c r="I337" i="1"/>
  <c r="D338" i="1"/>
  <c r="I338" i="1"/>
  <c r="D339" i="1"/>
  <c r="I339" i="1"/>
  <c r="D340" i="1"/>
  <c r="I340" i="1"/>
  <c r="D341" i="1"/>
  <c r="I341" i="1"/>
  <c r="D342" i="1"/>
  <c r="I342" i="1"/>
  <c r="D343" i="1"/>
  <c r="I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I363" i="1"/>
  <c r="D364" i="1"/>
  <c r="I364" i="1"/>
  <c r="D365" i="1"/>
  <c r="I365" i="1"/>
  <c r="D366" i="1"/>
  <c r="I366" i="1"/>
  <c r="D367" i="1"/>
  <c r="I367" i="1"/>
  <c r="D368" i="1"/>
  <c r="I368" i="1"/>
  <c r="D369" i="1"/>
  <c r="I369" i="1"/>
  <c r="D370" i="1"/>
  <c r="I370" i="1"/>
  <c r="D371" i="1"/>
  <c r="I371" i="1"/>
  <c r="D372" i="1"/>
  <c r="I372" i="1"/>
  <c r="D373" i="1"/>
  <c r="I373" i="1"/>
  <c r="D374" i="1"/>
  <c r="I374" i="1"/>
  <c r="D375" i="1"/>
  <c r="I375" i="1"/>
  <c r="I376" i="1"/>
  <c r="D377" i="1"/>
  <c r="I377" i="1"/>
  <c r="D378" i="1"/>
  <c r="I378" i="1"/>
  <c r="D380" i="1"/>
  <c r="E380" i="1"/>
  <c r="F380" i="1"/>
  <c r="G380" i="1"/>
  <c r="H380" i="1"/>
  <c r="I380" i="1"/>
  <c r="D382" i="1"/>
  <c r="I382" i="1"/>
  <c r="D383" i="1"/>
  <c r="I383" i="1"/>
  <c r="D384" i="1"/>
  <c r="I384" i="1"/>
  <c r="D385" i="1"/>
  <c r="I385" i="1"/>
  <c r="D386" i="1"/>
  <c r="I386" i="1"/>
  <c r="D387" i="1"/>
  <c r="I387" i="1"/>
  <c r="D388" i="1"/>
  <c r="I388" i="1"/>
  <c r="D389" i="1"/>
  <c r="I389" i="1"/>
  <c r="D390" i="1"/>
  <c r="I390" i="1"/>
  <c r="D391" i="1"/>
  <c r="I391" i="1"/>
  <c r="D392" i="1"/>
  <c r="I392" i="1"/>
  <c r="D393" i="1"/>
  <c r="I393" i="1"/>
  <c r="D394" i="1"/>
  <c r="I394" i="1"/>
  <c r="D395" i="1"/>
  <c r="I395" i="1"/>
  <c r="D396" i="1"/>
  <c r="I396" i="1"/>
  <c r="D397" i="1"/>
  <c r="I397" i="1"/>
  <c r="D398" i="1"/>
  <c r="I398" i="1"/>
  <c r="D399" i="1"/>
  <c r="I399" i="1"/>
  <c r="D400" i="1"/>
  <c r="I400" i="1"/>
  <c r="D402" i="1"/>
  <c r="E402" i="1"/>
  <c r="F402" i="1"/>
  <c r="G402" i="1"/>
  <c r="H402" i="1"/>
  <c r="I402" i="1"/>
  <c r="G403" i="1"/>
  <c r="H403" i="1"/>
  <c r="I403" i="1"/>
  <c r="I404" i="1"/>
  <c r="D405" i="1"/>
  <c r="E405" i="1"/>
  <c r="F405" i="1"/>
  <c r="G405" i="1"/>
  <c r="H405" i="1"/>
  <c r="I405" i="1"/>
  <c r="I411" i="1"/>
  <c r="I412" i="1"/>
  <c r="D414" i="1"/>
  <c r="E414" i="1"/>
  <c r="F414" i="1"/>
  <c r="G414" i="1"/>
  <c r="H414" i="1"/>
  <c r="I414" i="1"/>
  <c r="D418" i="1"/>
  <c r="E418" i="1"/>
  <c r="F418" i="1"/>
  <c r="G418" i="1"/>
  <c r="H418" i="1"/>
  <c r="I418" i="1"/>
  <c r="I419" i="1"/>
  <c r="I420" i="1"/>
  <c r="E421" i="1"/>
  <c r="I421" i="1"/>
  <c r="D422" i="1"/>
  <c r="E422" i="1"/>
  <c r="F422" i="1"/>
  <c r="I422" i="1"/>
  <c r="D423" i="1"/>
  <c r="E423" i="1"/>
  <c r="F423" i="1"/>
  <c r="I423" i="1"/>
  <c r="D424" i="1"/>
  <c r="E424" i="1"/>
  <c r="F424" i="1"/>
  <c r="I424" i="1"/>
  <c r="D425" i="1"/>
  <c r="E425" i="1"/>
  <c r="F425" i="1"/>
  <c r="I425" i="1"/>
  <c r="D426" i="1"/>
  <c r="E426" i="1"/>
  <c r="F426" i="1"/>
  <c r="I426" i="1"/>
  <c r="D427" i="1"/>
  <c r="E427" i="1"/>
  <c r="F427" i="1"/>
  <c r="I427" i="1"/>
  <c r="D428" i="1"/>
  <c r="E428" i="1"/>
  <c r="F428" i="1"/>
  <c r="I428" i="1"/>
  <c r="D429" i="1"/>
  <c r="E429" i="1"/>
  <c r="F429" i="1"/>
  <c r="I429" i="1"/>
  <c r="D430" i="1"/>
  <c r="E430" i="1"/>
  <c r="I430" i="1"/>
  <c r="D431" i="1"/>
  <c r="E431" i="1"/>
  <c r="I431" i="1"/>
  <c r="D432" i="1"/>
  <c r="E432" i="1"/>
  <c r="I432" i="1"/>
  <c r="D433" i="1"/>
  <c r="E433" i="1"/>
  <c r="I433" i="1"/>
  <c r="D434" i="1"/>
  <c r="E434" i="1"/>
  <c r="I434" i="1"/>
  <c r="D435" i="1"/>
  <c r="E435" i="1"/>
  <c r="I435" i="1"/>
  <c r="D436" i="1"/>
  <c r="E436" i="1"/>
  <c r="F436" i="1"/>
  <c r="I436" i="1"/>
  <c r="D437" i="1"/>
  <c r="E437" i="1"/>
  <c r="F437" i="1"/>
  <c r="I437" i="1"/>
  <c r="D438" i="1"/>
  <c r="E438" i="1"/>
  <c r="F438" i="1"/>
  <c r="I438" i="1"/>
  <c r="D439" i="1"/>
  <c r="E439" i="1"/>
  <c r="F439" i="1"/>
  <c r="I439" i="1"/>
  <c r="D440" i="1"/>
  <c r="E440" i="1"/>
  <c r="F440" i="1"/>
  <c r="I440" i="1"/>
  <c r="D441" i="1"/>
  <c r="E441" i="1"/>
  <c r="F441" i="1"/>
  <c r="I441" i="1"/>
  <c r="D442" i="1"/>
  <c r="E442" i="1"/>
  <c r="F442" i="1"/>
  <c r="I442" i="1"/>
  <c r="D443" i="1"/>
  <c r="E443" i="1"/>
  <c r="F443" i="1"/>
  <c r="I443" i="1"/>
  <c r="D444" i="1"/>
  <c r="E444" i="1"/>
  <c r="F444" i="1"/>
  <c r="I444" i="1"/>
  <c r="D445" i="1"/>
  <c r="E445" i="1"/>
  <c r="I445" i="1"/>
  <c r="D446" i="1"/>
  <c r="E446" i="1"/>
  <c r="I446" i="1"/>
  <c r="D447" i="1"/>
  <c r="E447" i="1"/>
  <c r="F447" i="1"/>
  <c r="I447" i="1"/>
  <c r="D448" i="1"/>
  <c r="E448" i="1"/>
  <c r="I448" i="1"/>
  <c r="D449" i="1"/>
  <c r="E449" i="1"/>
  <c r="F449" i="1"/>
  <c r="I449" i="1"/>
  <c r="D450" i="1"/>
  <c r="E450" i="1"/>
  <c r="I450" i="1"/>
  <c r="D451" i="1"/>
  <c r="E451" i="1"/>
  <c r="I451" i="1"/>
  <c r="D452" i="1"/>
  <c r="I452" i="1"/>
  <c r="D453" i="1"/>
  <c r="I453" i="1"/>
  <c r="D454" i="1"/>
  <c r="I454" i="1"/>
  <c r="D455" i="1"/>
  <c r="I455" i="1"/>
  <c r="D456" i="1"/>
  <c r="I456" i="1"/>
  <c r="D457" i="1"/>
  <c r="I457" i="1"/>
  <c r="D460" i="1"/>
  <c r="E460" i="1"/>
  <c r="F460" i="1"/>
  <c r="G460" i="1"/>
  <c r="H460" i="1"/>
  <c r="I460" i="1"/>
  <c r="F462" i="1"/>
  <c r="I462" i="1"/>
  <c r="E463" i="1"/>
  <c r="F463" i="1"/>
  <c r="I463" i="1"/>
  <c r="D464" i="1"/>
  <c r="E464" i="1"/>
  <c r="I464" i="1"/>
  <c r="D465" i="1"/>
  <c r="E465" i="1"/>
  <c r="I465" i="1"/>
  <c r="D466" i="1"/>
  <c r="E466" i="1"/>
  <c r="I466" i="1"/>
  <c r="D467" i="1"/>
  <c r="E467" i="1"/>
  <c r="I467" i="1"/>
  <c r="D468" i="1"/>
  <c r="E468" i="1"/>
  <c r="I468" i="1"/>
  <c r="D469" i="1"/>
  <c r="E469" i="1"/>
  <c r="I469" i="1"/>
  <c r="D470" i="1"/>
  <c r="E470" i="1"/>
  <c r="I470" i="1"/>
  <c r="D471" i="1"/>
  <c r="E471" i="1"/>
  <c r="I471" i="1"/>
  <c r="D472" i="1"/>
  <c r="E472" i="1"/>
  <c r="I472" i="1"/>
  <c r="D473" i="1"/>
  <c r="E473" i="1"/>
  <c r="I473" i="1"/>
  <c r="D474" i="1"/>
  <c r="E474" i="1"/>
  <c r="I474" i="1"/>
  <c r="D475" i="1"/>
  <c r="E475" i="1"/>
  <c r="I475" i="1"/>
  <c r="D476" i="1"/>
  <c r="E476" i="1"/>
  <c r="I476" i="1"/>
  <c r="D477" i="1"/>
  <c r="E477" i="1"/>
  <c r="I477" i="1"/>
  <c r="D478" i="1"/>
  <c r="E478" i="1"/>
  <c r="I478" i="1"/>
  <c r="D479" i="1"/>
  <c r="E479" i="1"/>
  <c r="I479" i="1"/>
  <c r="D480" i="1"/>
  <c r="E480" i="1"/>
  <c r="I480" i="1"/>
  <c r="D481" i="1"/>
  <c r="E481" i="1"/>
  <c r="I481" i="1"/>
  <c r="D482" i="1"/>
  <c r="E482" i="1"/>
  <c r="F482" i="1"/>
  <c r="I482" i="1"/>
  <c r="D483" i="1"/>
  <c r="E483" i="1"/>
  <c r="I483" i="1"/>
  <c r="D484" i="1"/>
  <c r="E484" i="1"/>
  <c r="I484" i="1"/>
  <c r="D485" i="1"/>
  <c r="E485" i="1"/>
  <c r="I485" i="1"/>
  <c r="D486" i="1"/>
  <c r="E486" i="1"/>
  <c r="I486" i="1"/>
  <c r="D487" i="1"/>
  <c r="E487" i="1"/>
  <c r="F487" i="1"/>
  <c r="I487" i="1"/>
  <c r="D488" i="1"/>
  <c r="E488" i="1"/>
  <c r="I488" i="1"/>
  <c r="D489" i="1"/>
  <c r="E489" i="1"/>
  <c r="F489" i="1"/>
  <c r="I489" i="1"/>
  <c r="D490" i="1"/>
  <c r="E490" i="1"/>
  <c r="F490" i="1"/>
  <c r="I490" i="1"/>
  <c r="D491" i="1"/>
  <c r="E491" i="1"/>
  <c r="F491" i="1"/>
  <c r="I491" i="1"/>
  <c r="D492" i="1"/>
  <c r="E492" i="1"/>
  <c r="F492" i="1"/>
  <c r="I492" i="1"/>
  <c r="D493" i="1"/>
  <c r="E493" i="1"/>
  <c r="I493" i="1"/>
  <c r="D494" i="1"/>
  <c r="E494" i="1"/>
  <c r="F494" i="1"/>
  <c r="I494" i="1"/>
  <c r="D495" i="1"/>
  <c r="I495" i="1"/>
  <c r="D496" i="1"/>
  <c r="E496" i="1"/>
  <c r="F496" i="1"/>
  <c r="I496" i="1"/>
  <c r="D497" i="1"/>
  <c r="E497" i="1"/>
  <c r="F497" i="1"/>
  <c r="I497" i="1"/>
  <c r="D498" i="1"/>
  <c r="E498" i="1"/>
  <c r="F498" i="1"/>
  <c r="I498" i="1"/>
  <c r="D499" i="1"/>
  <c r="E499" i="1"/>
  <c r="F499" i="1"/>
  <c r="I499" i="1"/>
  <c r="D500" i="1"/>
  <c r="E500" i="1"/>
  <c r="F500" i="1"/>
  <c r="I500" i="1"/>
  <c r="D501" i="1"/>
  <c r="E501" i="1"/>
  <c r="F501" i="1"/>
  <c r="I501" i="1"/>
  <c r="D502" i="1"/>
  <c r="E502" i="1"/>
  <c r="F502" i="1"/>
  <c r="I502" i="1"/>
  <c r="D503" i="1"/>
  <c r="E503" i="1"/>
  <c r="F503" i="1"/>
  <c r="I503" i="1"/>
  <c r="D504" i="1"/>
  <c r="E504" i="1"/>
  <c r="F504" i="1"/>
  <c r="I504" i="1"/>
  <c r="D505" i="1"/>
  <c r="E505" i="1"/>
  <c r="F505" i="1"/>
  <c r="I505" i="1"/>
  <c r="D506" i="1"/>
  <c r="E506" i="1"/>
  <c r="F506" i="1"/>
  <c r="I506" i="1"/>
  <c r="D507" i="1"/>
  <c r="E507" i="1"/>
  <c r="I507" i="1"/>
  <c r="D508" i="1"/>
  <c r="E508" i="1"/>
  <c r="I508" i="1"/>
  <c r="D509" i="1"/>
  <c r="E509" i="1"/>
  <c r="I509" i="1"/>
  <c r="D510" i="1"/>
  <c r="E510" i="1"/>
  <c r="I510" i="1"/>
  <c r="D511" i="1"/>
  <c r="E511" i="1"/>
  <c r="I511" i="1"/>
  <c r="D512" i="1"/>
  <c r="E512" i="1"/>
  <c r="I512" i="1"/>
  <c r="D513" i="1"/>
  <c r="E513" i="1"/>
  <c r="I513" i="1"/>
  <c r="D514" i="1"/>
  <c r="F514" i="1"/>
  <c r="I514" i="1"/>
  <c r="D515" i="1"/>
  <c r="F515" i="1"/>
  <c r="I515" i="1"/>
  <c r="D516" i="1"/>
  <c r="E516" i="1"/>
  <c r="F516" i="1"/>
  <c r="I516" i="1"/>
  <c r="D517" i="1"/>
  <c r="E517" i="1"/>
  <c r="I517" i="1"/>
  <c r="D518" i="1"/>
  <c r="E518" i="1"/>
  <c r="I518" i="1"/>
  <c r="D519" i="1"/>
  <c r="E519" i="1"/>
  <c r="I519" i="1"/>
  <c r="D520" i="1"/>
  <c r="E520" i="1"/>
  <c r="F520" i="1"/>
  <c r="I520" i="1"/>
  <c r="D521" i="1"/>
  <c r="E521" i="1"/>
  <c r="I521" i="1"/>
  <c r="D522" i="1"/>
  <c r="E522" i="1"/>
  <c r="I522" i="1"/>
  <c r="D523" i="1"/>
  <c r="E523" i="1"/>
  <c r="I523" i="1"/>
  <c r="D524" i="1"/>
  <c r="E524" i="1"/>
  <c r="I524" i="1"/>
  <c r="D525" i="1"/>
  <c r="E525" i="1"/>
  <c r="I525" i="1"/>
  <c r="D526" i="1"/>
  <c r="E526" i="1"/>
  <c r="I526" i="1"/>
  <c r="D527" i="1"/>
  <c r="E527" i="1"/>
  <c r="I527" i="1"/>
  <c r="D528" i="1"/>
  <c r="E528" i="1"/>
  <c r="I528" i="1"/>
  <c r="D529" i="1"/>
  <c r="E529" i="1"/>
  <c r="I529" i="1"/>
  <c r="D530" i="1"/>
  <c r="E530" i="1"/>
  <c r="I530" i="1"/>
  <c r="D531" i="1"/>
  <c r="E531" i="1"/>
  <c r="I531" i="1"/>
  <c r="D532" i="1"/>
  <c r="E532" i="1"/>
  <c r="I532" i="1"/>
  <c r="D533" i="1"/>
  <c r="E533" i="1"/>
  <c r="I533" i="1"/>
  <c r="D534" i="1"/>
  <c r="E534" i="1"/>
  <c r="I534" i="1"/>
  <c r="D535" i="1"/>
  <c r="E535" i="1"/>
  <c r="I535" i="1"/>
  <c r="D536" i="1"/>
  <c r="E536" i="1"/>
  <c r="I536" i="1"/>
  <c r="D537" i="1"/>
  <c r="E537" i="1"/>
  <c r="I537" i="1"/>
  <c r="D538" i="1"/>
  <c r="I538" i="1"/>
  <c r="D539" i="1"/>
  <c r="I539" i="1"/>
  <c r="D540" i="1"/>
  <c r="I540" i="1"/>
  <c r="D541" i="1"/>
  <c r="I541" i="1"/>
  <c r="D542" i="1"/>
  <c r="I542" i="1"/>
  <c r="D543" i="1"/>
  <c r="I543" i="1"/>
  <c r="D544" i="1"/>
  <c r="I544" i="1"/>
  <c r="D545" i="1"/>
  <c r="I545" i="1"/>
  <c r="D546" i="1"/>
  <c r="I546" i="1"/>
  <c r="D547" i="1"/>
  <c r="I547" i="1"/>
  <c r="D548" i="1"/>
  <c r="I548" i="1"/>
  <c r="D549" i="1"/>
  <c r="I549" i="1"/>
  <c r="D550" i="1"/>
  <c r="I550" i="1"/>
  <c r="D551" i="1"/>
  <c r="I551" i="1"/>
  <c r="D552" i="1"/>
  <c r="I552" i="1"/>
  <c r="D553" i="1"/>
  <c r="I553" i="1"/>
  <c r="D554" i="1"/>
  <c r="I554" i="1"/>
  <c r="D555" i="1"/>
  <c r="I555" i="1"/>
  <c r="D556" i="1"/>
  <c r="I556" i="1"/>
  <c r="D557" i="1"/>
  <c r="I557" i="1"/>
  <c r="D558" i="1"/>
  <c r="I558" i="1"/>
  <c r="D559" i="1"/>
  <c r="I559" i="1"/>
  <c r="D560" i="1"/>
  <c r="I560" i="1"/>
  <c r="D561" i="1"/>
  <c r="I561" i="1"/>
  <c r="D562" i="1"/>
  <c r="I562" i="1"/>
  <c r="D563" i="1"/>
  <c r="I563" i="1"/>
  <c r="D564" i="1"/>
  <c r="I564" i="1"/>
  <c r="D565" i="1"/>
  <c r="I565" i="1"/>
  <c r="D566" i="1"/>
  <c r="I566" i="1"/>
  <c r="D567" i="1"/>
  <c r="I567" i="1"/>
  <c r="D568" i="1"/>
  <c r="I568" i="1"/>
  <c r="D569" i="1"/>
  <c r="I569" i="1"/>
  <c r="D570" i="1"/>
  <c r="I570" i="1"/>
  <c r="D571" i="1"/>
  <c r="I571" i="1"/>
  <c r="D572" i="1"/>
  <c r="I572" i="1"/>
  <c r="D573" i="1"/>
  <c r="I573" i="1"/>
  <c r="D574" i="1"/>
  <c r="I574" i="1"/>
  <c r="D575" i="1"/>
  <c r="I575" i="1"/>
  <c r="D576" i="1"/>
  <c r="I576" i="1"/>
  <c r="D577" i="1"/>
  <c r="I577" i="1"/>
  <c r="D578" i="1"/>
  <c r="I578" i="1"/>
  <c r="D579" i="1"/>
  <c r="I579" i="1"/>
  <c r="D580" i="1"/>
  <c r="I580" i="1"/>
  <c r="D581" i="1"/>
  <c r="I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I599" i="1"/>
  <c r="D600" i="1"/>
  <c r="I600" i="1"/>
  <c r="D601" i="1"/>
  <c r="I601" i="1"/>
  <c r="D602" i="1"/>
  <c r="I602" i="1"/>
  <c r="D603" i="1"/>
  <c r="I603" i="1"/>
  <c r="D604" i="1"/>
  <c r="I604" i="1"/>
  <c r="D605" i="1"/>
  <c r="I605" i="1"/>
  <c r="D606" i="1"/>
  <c r="I606" i="1"/>
  <c r="D607" i="1"/>
  <c r="I607" i="1"/>
  <c r="D608" i="1"/>
  <c r="I608" i="1"/>
  <c r="D609" i="1"/>
  <c r="I609" i="1"/>
  <c r="D610" i="1"/>
  <c r="I610" i="1"/>
  <c r="D611" i="1"/>
  <c r="I611" i="1"/>
  <c r="D612" i="1"/>
  <c r="I612" i="1"/>
  <c r="D613" i="1"/>
  <c r="I613" i="1"/>
  <c r="D614" i="1"/>
  <c r="I614" i="1"/>
  <c r="D615" i="1"/>
  <c r="I615" i="1"/>
  <c r="D616" i="1"/>
  <c r="I616" i="1"/>
  <c r="D617" i="1"/>
  <c r="I617" i="1"/>
  <c r="D618" i="1"/>
  <c r="I618" i="1"/>
  <c r="D619" i="1"/>
  <c r="I619" i="1"/>
  <c r="D620" i="1"/>
  <c r="I620" i="1"/>
  <c r="D621" i="1"/>
  <c r="I621" i="1"/>
  <c r="D622" i="1"/>
  <c r="I622" i="1"/>
  <c r="D623" i="1"/>
  <c r="I623" i="1"/>
  <c r="D624" i="1"/>
  <c r="I624" i="1"/>
  <c r="D625" i="1"/>
  <c r="I625" i="1"/>
  <c r="D626" i="1"/>
  <c r="I626" i="1"/>
  <c r="D627" i="1"/>
  <c r="I627" i="1"/>
  <c r="D628" i="1"/>
  <c r="I628" i="1"/>
  <c r="D629" i="1"/>
  <c r="I629" i="1"/>
  <c r="D630" i="1"/>
  <c r="I630" i="1"/>
  <c r="D631" i="1"/>
  <c r="I631" i="1"/>
  <c r="D632" i="1"/>
  <c r="I632" i="1"/>
  <c r="D633" i="1"/>
  <c r="I633" i="1"/>
  <c r="D634" i="1"/>
  <c r="I634" i="1"/>
  <c r="D635" i="1"/>
  <c r="I635" i="1"/>
  <c r="D636" i="1"/>
  <c r="I636" i="1"/>
  <c r="D637" i="1"/>
  <c r="I637" i="1"/>
  <c r="D638" i="1"/>
  <c r="I638" i="1"/>
  <c r="D639" i="1"/>
  <c r="I639" i="1"/>
  <c r="D640" i="1"/>
  <c r="I640" i="1"/>
  <c r="D641" i="1"/>
  <c r="I641" i="1"/>
  <c r="D642" i="1"/>
  <c r="I642" i="1"/>
  <c r="D643" i="1"/>
  <c r="I643" i="1"/>
  <c r="D644" i="1"/>
  <c r="I644" i="1"/>
  <c r="D645" i="1"/>
  <c r="I645" i="1"/>
  <c r="D646" i="1"/>
  <c r="I646" i="1"/>
  <c r="D647" i="1"/>
  <c r="I647" i="1"/>
  <c r="D648" i="1"/>
  <c r="I648" i="1"/>
  <c r="D649" i="1"/>
  <c r="I649" i="1"/>
  <c r="D650" i="1"/>
  <c r="I650" i="1"/>
  <c r="D651" i="1"/>
  <c r="I651" i="1"/>
  <c r="D652" i="1"/>
  <c r="I652" i="1"/>
  <c r="D653" i="1"/>
  <c r="I653" i="1"/>
  <c r="D654" i="1"/>
  <c r="I654" i="1"/>
  <c r="D655" i="1"/>
  <c r="I655" i="1"/>
  <c r="D656" i="1"/>
  <c r="I656" i="1"/>
  <c r="D657" i="1"/>
  <c r="I657" i="1"/>
  <c r="D658" i="1"/>
  <c r="I658" i="1"/>
  <c r="D659" i="1"/>
  <c r="I659" i="1"/>
  <c r="D660" i="1"/>
  <c r="I660" i="1"/>
  <c r="D661" i="1"/>
  <c r="I661" i="1"/>
  <c r="D662" i="1"/>
  <c r="I662" i="1"/>
  <c r="D663" i="1"/>
  <c r="I663" i="1"/>
  <c r="D664" i="1"/>
  <c r="I664" i="1"/>
  <c r="D665" i="1"/>
  <c r="I665" i="1"/>
  <c r="D666" i="1"/>
  <c r="I666" i="1"/>
  <c r="D667" i="1"/>
  <c r="I667" i="1"/>
  <c r="D668" i="1"/>
  <c r="I668" i="1"/>
  <c r="D669" i="1"/>
  <c r="D670" i="1"/>
  <c r="D671" i="1"/>
  <c r="D672" i="1"/>
  <c r="D673" i="1"/>
  <c r="D674" i="1"/>
  <c r="D675" i="1"/>
  <c r="I675" i="1"/>
  <c r="D677" i="1"/>
  <c r="E677" i="1"/>
  <c r="F677" i="1"/>
  <c r="G677" i="1"/>
  <c r="H677" i="1"/>
  <c r="I677" i="1"/>
  <c r="D681" i="1"/>
  <c r="E681" i="1"/>
  <c r="I681" i="1"/>
  <c r="D682" i="1"/>
  <c r="E682" i="1"/>
  <c r="I682" i="1"/>
  <c r="F683" i="1"/>
  <c r="I683" i="1"/>
  <c r="D684" i="1"/>
  <c r="I684" i="1"/>
  <c r="D685" i="1"/>
  <c r="E685" i="1"/>
  <c r="F685" i="1"/>
  <c r="G685" i="1"/>
  <c r="H685" i="1"/>
  <c r="I685" i="1"/>
  <c r="D687" i="1"/>
  <c r="I687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E702" i="1"/>
  <c r="I702" i="1"/>
  <c r="I703" i="1"/>
  <c r="D705" i="1"/>
  <c r="E705" i="1"/>
  <c r="F705" i="1"/>
  <c r="G705" i="1"/>
  <c r="H705" i="1"/>
  <c r="I705" i="1"/>
  <c r="D710" i="1"/>
  <c r="E710" i="1"/>
  <c r="F710" i="1"/>
  <c r="G710" i="1"/>
  <c r="H710" i="1"/>
  <c r="I710" i="1"/>
  <c r="D716" i="1"/>
  <c r="F716" i="1"/>
  <c r="G716" i="1"/>
  <c r="H716" i="1"/>
  <c r="D720" i="1"/>
  <c r="I720" i="1"/>
  <c r="D721" i="1"/>
  <c r="I721" i="1"/>
  <c r="D722" i="1"/>
  <c r="E722" i="1"/>
  <c r="F722" i="1"/>
  <c r="G722" i="1"/>
  <c r="H722" i="1"/>
  <c r="I722" i="1"/>
  <c r="D724" i="1"/>
  <c r="E724" i="1"/>
  <c r="F724" i="1"/>
  <c r="G724" i="1"/>
  <c r="H724" i="1"/>
  <c r="I724" i="1"/>
  <c r="I728" i="1"/>
  <c r="I729" i="1"/>
  <c r="E732" i="1"/>
  <c r="F732" i="1"/>
  <c r="G732" i="1"/>
  <c r="H732" i="1"/>
  <c r="I732" i="1"/>
  <c r="D734" i="1"/>
  <c r="E734" i="1"/>
  <c r="F734" i="1"/>
  <c r="G734" i="1"/>
  <c r="H734" i="1"/>
  <c r="I734" i="1"/>
  <c r="D738" i="1"/>
  <c r="E738" i="1"/>
  <c r="F738" i="1"/>
  <c r="G738" i="1"/>
  <c r="H738" i="1"/>
  <c r="I738" i="1"/>
  <c r="D740" i="1"/>
  <c r="E740" i="1"/>
  <c r="F740" i="1"/>
  <c r="G740" i="1"/>
  <c r="H740" i="1"/>
  <c r="I740" i="1"/>
  <c r="D749" i="1"/>
  <c r="D750" i="1"/>
  <c r="D751" i="1"/>
  <c r="D752" i="1"/>
  <c r="D753" i="1"/>
  <c r="I759" i="1"/>
  <c r="D761" i="1"/>
  <c r="E761" i="1"/>
  <c r="F761" i="1"/>
  <c r="G761" i="1"/>
  <c r="H761" i="1"/>
  <c r="I761" i="1"/>
  <c r="D782" i="1"/>
  <c r="D791" i="1"/>
  <c r="D793" i="1"/>
  <c r="D798" i="1"/>
  <c r="D803" i="1"/>
</calcChain>
</file>

<file path=xl/sharedStrings.xml><?xml version="1.0" encoding="utf-8"?>
<sst xmlns="http://schemas.openxmlformats.org/spreadsheetml/2006/main" count="1568" uniqueCount="845">
  <si>
    <t>EES - Risk Analysis</t>
  </si>
  <si>
    <t xml:space="preserve"> 3Q/2001 MTM Origination Summary</t>
  </si>
  <si>
    <t>Deals</t>
  </si>
  <si>
    <t>Origination</t>
  </si>
  <si>
    <t>Week Closed</t>
  </si>
  <si>
    <t>Channel</t>
  </si>
  <si>
    <t>TCV*</t>
  </si>
  <si>
    <t>Credit Reserve</t>
  </si>
  <si>
    <t>Implementation Premium</t>
  </si>
  <si>
    <t>Consumption Premium</t>
  </si>
  <si>
    <t>Product
Grouping</t>
  </si>
  <si>
    <t>Energy Services</t>
  </si>
  <si>
    <t>Industrial Energy Services</t>
  </si>
  <si>
    <t>Total Industrial Energy Services</t>
  </si>
  <si>
    <t>Manufacturing Energy Services</t>
  </si>
  <si>
    <t>Other</t>
  </si>
  <si>
    <t>Sonoco - Gas</t>
  </si>
  <si>
    <t>CES</t>
  </si>
  <si>
    <t>Gas</t>
  </si>
  <si>
    <t>Sysco</t>
  </si>
  <si>
    <t>MES</t>
  </si>
  <si>
    <t>CA</t>
  </si>
  <si>
    <t>Sysco Credit Adjustment</t>
  </si>
  <si>
    <t>Pepsi Bottling Group Credit Revision</t>
  </si>
  <si>
    <t>Pepsi Bottling Group Credit prior day adj.</t>
  </si>
  <si>
    <t>Pepsi Bottling Group</t>
  </si>
  <si>
    <t>Total Manufacturing Energy Services</t>
  </si>
  <si>
    <t>Industrial/Manaufacturing Portfolio Origination</t>
  </si>
  <si>
    <t>Port. Mgmt. - Springs Industries</t>
  </si>
  <si>
    <t>Port Mgmt - Rexam Beverage Can Co</t>
  </si>
  <si>
    <t xml:space="preserve">Port Mgmt - Quaker </t>
  </si>
  <si>
    <t>Port Mgmt - ECT</t>
  </si>
  <si>
    <t>Rexam East - unwind and rebook</t>
  </si>
  <si>
    <t>Reg Comm</t>
  </si>
  <si>
    <t>Port Mgmt - Owens Corning</t>
  </si>
  <si>
    <t>Partial Unwind Tyco East *</t>
  </si>
  <si>
    <t>Port. Mgmt - DESC</t>
  </si>
  <si>
    <t>impo</t>
  </si>
  <si>
    <t>Owens Corning Fiberglass - Gas</t>
  </si>
  <si>
    <t>IMPO</t>
  </si>
  <si>
    <t>Quebecor Printing USA Corp - Gas</t>
  </si>
  <si>
    <t>Springs Industries</t>
  </si>
  <si>
    <t>Tyco - Gas</t>
  </si>
  <si>
    <t>Total Industrial/Manufacturing Port. Origination</t>
  </si>
  <si>
    <t>Commercial Energy Services</t>
  </si>
  <si>
    <t>Hyatt Hotels - Gas</t>
  </si>
  <si>
    <t>Walmart_Maine 08-07</t>
  </si>
  <si>
    <t>Home Depot Additional Sites</t>
  </si>
  <si>
    <t>Equity Office Properties - California</t>
  </si>
  <si>
    <t>Equity Office Properties MA</t>
  </si>
  <si>
    <t>Speiker - California</t>
  </si>
  <si>
    <t>Simon JV III Remaining Sites - Unwind</t>
  </si>
  <si>
    <t>Simon JV III OA - Unwind</t>
  </si>
  <si>
    <t>American Express Credit Adjustment</t>
  </si>
  <si>
    <t>The Limited - CA Revision</t>
  </si>
  <si>
    <t>The Limited - CA</t>
  </si>
  <si>
    <t>Total Commercial Energy Services</t>
  </si>
  <si>
    <t>Commercial Portfolio Origination</t>
  </si>
  <si>
    <t>Total Commercial Portfolio Origination</t>
  </si>
  <si>
    <t>Regional Market Services</t>
  </si>
  <si>
    <t>Robert Wood Johnson (Additional Sites)</t>
  </si>
  <si>
    <t>NYPP</t>
  </si>
  <si>
    <t>CHE_Darby 073101*</t>
  </si>
  <si>
    <t>ED- East NE</t>
  </si>
  <si>
    <t>Verizon</t>
  </si>
  <si>
    <t>RMS-NE/ILL</t>
  </si>
  <si>
    <t>MG Industries</t>
  </si>
  <si>
    <t>City of Chicago</t>
  </si>
  <si>
    <t>IL</t>
  </si>
  <si>
    <t>Texas</t>
  </si>
  <si>
    <t>Lowes Home Centers 071201</t>
  </si>
  <si>
    <t>RMS-TX</t>
  </si>
  <si>
    <t>TX</t>
  </si>
  <si>
    <t>Total Texas</t>
  </si>
  <si>
    <t>California</t>
  </si>
  <si>
    <t>American Stores (Albertson's)</t>
  </si>
  <si>
    <t>RMS-Cali</t>
  </si>
  <si>
    <t>Unisil and Tri Valley unwind</t>
  </si>
  <si>
    <t>Golden Bear</t>
  </si>
  <si>
    <t>Unwind American Stores (Albertson's)**</t>
  </si>
  <si>
    <t>Total California</t>
  </si>
  <si>
    <t>Total Regional Market Services</t>
  </si>
  <si>
    <t>Total Energy Services</t>
  </si>
  <si>
    <t>Enron Direct USA</t>
  </si>
  <si>
    <t>Direct Sales:</t>
  </si>
  <si>
    <t>West:</t>
  </si>
  <si>
    <t>KeheFoods_083001</t>
  </si>
  <si>
    <t>TX MidMkt_B&amp;G_082401</t>
  </si>
  <si>
    <t>TX MidMkt_Espinosa Pizza 082401</t>
  </si>
  <si>
    <t>TX MidMkt_Fields_082401</t>
  </si>
  <si>
    <t>TX MidMkt_Hospitality_082401</t>
  </si>
  <si>
    <t>TX MidMkt_KRTS 082401</t>
  </si>
  <si>
    <t>TX MidMkt_Leiserve_082701</t>
  </si>
  <si>
    <t>TX MidMkt_Mallen_082401</t>
  </si>
  <si>
    <t>TX MidMkt_RGV_082401</t>
  </si>
  <si>
    <t>TX MidMkt_AmericasPizzaCompany 082401</t>
  </si>
  <si>
    <t>TX MidMkt_AmericasPizzaPartners 082401</t>
  </si>
  <si>
    <t>TX MidMkt_Austaco 083001</t>
  </si>
  <si>
    <t>TX MidMkt_DaisyFoods_082401</t>
  </si>
  <si>
    <t>TX MidMkt_Home&amp;Hearth 083101</t>
  </si>
  <si>
    <t>TX MidMkt_KormexFoods 082401</t>
  </si>
  <si>
    <t>TX MidMkt_Noel Furniture_Late82801</t>
  </si>
  <si>
    <t>TX MidMkt_ProgressivePizzaPartners 082401</t>
  </si>
  <si>
    <t>TX MidMkt_RestaurantSystems 082401</t>
  </si>
  <si>
    <t>TX MidMkt_SouthernMultifoods 082801</t>
  </si>
  <si>
    <t>TX MidMkt_TenKil 082401</t>
  </si>
  <si>
    <t>TX MidMkt_Timberland_082901 (Timber Blind)</t>
  </si>
  <si>
    <t>Texas MidMkt_Oak Condiminiums 082101</t>
  </si>
  <si>
    <t>Gulf Pacific (Amendment)</t>
  </si>
  <si>
    <t>JohnSoules 081501 (Additional Sites)</t>
  </si>
  <si>
    <t>TX Mid Market - U.S. Contractors</t>
  </si>
  <si>
    <t>TX Mid Market - GreenAcres 081301</t>
  </si>
  <si>
    <t>Texas Mid Mkt Oak Street Apartments 080901</t>
  </si>
  <si>
    <t>Texas Mid Mkt 11211South Post Oak 080801</t>
  </si>
  <si>
    <t>Texas Mid Mkt _6922 South Loop East Apartments</t>
  </si>
  <si>
    <t>Gulf Pacific</t>
  </si>
  <si>
    <t>ED - West CA</t>
  </si>
  <si>
    <t>Universal Form Clamp</t>
  </si>
  <si>
    <t>ED - West IL</t>
  </si>
  <si>
    <t>Campbell Motel Prop</t>
  </si>
  <si>
    <t>ED - West TX</t>
  </si>
  <si>
    <t>Tricon TX</t>
  </si>
  <si>
    <t>Tricon CA</t>
  </si>
  <si>
    <t>Hyatt Regency (Houston)</t>
  </si>
  <si>
    <t>Hyatt Airport</t>
  </si>
  <si>
    <t>Numerical Precision</t>
  </si>
  <si>
    <t>Prestonwood Baptist Church (TXU)</t>
  </si>
  <si>
    <t>Studewood Management (Reliant)</t>
  </si>
  <si>
    <t>Unwind Studewood Management</t>
  </si>
  <si>
    <t>Lenore Properties Inc. (Reliant)</t>
  </si>
  <si>
    <t>OSI Group/Nation Pizza - IL</t>
  </si>
  <si>
    <t>St. James Council Credit Revision</t>
  </si>
  <si>
    <t>Partial Unwind Lenore Properties</t>
  </si>
  <si>
    <t>Belfort Villa Apartments L.P. (Reliant)</t>
  </si>
  <si>
    <t>Komet of America</t>
  </si>
  <si>
    <t>Five Star Laundry</t>
  </si>
  <si>
    <t>California Gas Deals (See Unwind Detail)***</t>
  </si>
  <si>
    <t>Mid-Market Gas - Illinios</t>
  </si>
  <si>
    <t>Mid-Market Gas - California</t>
  </si>
  <si>
    <t>East:</t>
  </si>
  <si>
    <t>BridgewaterIceArena 082201</t>
  </si>
  <si>
    <t>NEPOOL</t>
  </si>
  <si>
    <t>ClearviewNursingHome</t>
  </si>
  <si>
    <t>Engelside 083101</t>
  </si>
  <si>
    <t>Hebrew Hospital 082901</t>
  </si>
  <si>
    <t>SilverBarn</t>
  </si>
  <si>
    <t>Howland Hook</t>
  </si>
  <si>
    <t>Bob Evans Farms - Gas</t>
  </si>
  <si>
    <t>ED - East MA</t>
  </si>
  <si>
    <t>Hyatt Residence Center</t>
  </si>
  <si>
    <t>NEPOOL (MA)</t>
  </si>
  <si>
    <t>Boston Properties 2</t>
  </si>
  <si>
    <t>ED- East MA</t>
  </si>
  <si>
    <t>Town of Sturbridge</t>
  </si>
  <si>
    <t>Classic Residence by Hyatt 072301</t>
  </si>
  <si>
    <t>Mid-Market Gas - Mid-Atlantic</t>
  </si>
  <si>
    <t>Mid-Market Gas - Northeast</t>
  </si>
  <si>
    <t>NY_FIA_Bivco 082901</t>
  </si>
  <si>
    <t xml:space="preserve">MECC 12 Month - B &amp; E (LaValley, Hardwood, Pratt &amp; Whitney) </t>
  </si>
  <si>
    <t>MECC_R&amp;V Industries 072701</t>
  </si>
  <si>
    <t>3rd Party</t>
  </si>
  <si>
    <t>Rich Tool &amp; Dye</t>
  </si>
  <si>
    <t>FIA - Fast Break Food Stores Unwind</t>
  </si>
  <si>
    <t>Aggregation</t>
  </si>
  <si>
    <t>FIA - 9530 Food Corp Unwind</t>
  </si>
  <si>
    <t>Haverhill Site Unwind (Daniel Chansky)</t>
  </si>
  <si>
    <t>Unwind NSA - Teofilo de Jesus</t>
  </si>
  <si>
    <t>Unwind NSA - Edwin Sanchez</t>
  </si>
  <si>
    <t>Unwind NSA - Fernando Diaz</t>
  </si>
  <si>
    <t>Unwind NSA - Hector Bueno</t>
  </si>
  <si>
    <t>Unwind NSA - Juan Bautista</t>
  </si>
  <si>
    <t>Unwind NSA - Juan Y. Diaz</t>
  </si>
  <si>
    <t>Unwind NSA - Nelson Diaz - 1</t>
  </si>
  <si>
    <t>Unwind NSA - Nicolas Lopez</t>
  </si>
  <si>
    <t>Unwind NSA - Paul Fernandez</t>
  </si>
  <si>
    <t>Unwind NSA - Rafael Roca</t>
  </si>
  <si>
    <t>Unwind NSA - Shana Benoit</t>
  </si>
  <si>
    <t>Unwind NSA - Danilo Espinal</t>
  </si>
  <si>
    <t>Total NSA 7/19/01</t>
  </si>
  <si>
    <t>Unwind FIA - Empire Supermarket</t>
  </si>
  <si>
    <t>Unwind FIA - Jason Ferreira</t>
  </si>
  <si>
    <t>Unwind FIA - Blue Giant Food Corp</t>
  </si>
  <si>
    <t>Unwind FIA - 8772 Meat Corp</t>
  </si>
  <si>
    <t>Unwind FIA - Zakat Food Corp</t>
  </si>
  <si>
    <t>Unwind FIA - 597 Food Corp</t>
  </si>
  <si>
    <t>Unwind FIA - Baychester Supermarket</t>
  </si>
  <si>
    <t>Unwind FIA - C Town 108-30 Meat Corp</t>
  </si>
  <si>
    <t xml:space="preserve">Unwind FIA - C Town </t>
  </si>
  <si>
    <t xml:space="preserve">Unwind FIA - JD 145 Meat Corp/Fine Fare </t>
  </si>
  <si>
    <t>Unwind FIA - JD Washington Food Corp</t>
  </si>
  <si>
    <t>Unwind FIA - Lucky Spot Food Corp</t>
  </si>
  <si>
    <t>Unwind FIA - P J Meat &amp; Produce</t>
  </si>
  <si>
    <t>Unwind FIA - Reisi Food Market, Inc.</t>
  </si>
  <si>
    <t>Unwind FIA -S&amp;S Food LLC</t>
  </si>
  <si>
    <t>Unwind FIA - Sea Gate Food</t>
  </si>
  <si>
    <t>Unwind FIA - Shapla of Ridgewood</t>
  </si>
  <si>
    <t>Unwind FIA - T&amp;C Food Corp</t>
  </si>
  <si>
    <t>Unwind FIA - 56X Grocery Inc.</t>
  </si>
  <si>
    <t>Total FIA 7/19/01</t>
  </si>
  <si>
    <t>Interpolymer Corporation 082401</t>
  </si>
  <si>
    <t>Pola_082001</t>
  </si>
  <si>
    <t>Lantor MA 082701</t>
  </si>
  <si>
    <t>Axcel Photonics_072701</t>
  </si>
  <si>
    <t>Agent</t>
  </si>
  <si>
    <t>Total CES</t>
  </si>
  <si>
    <t>CES46_Falcon Rule_080101</t>
  </si>
  <si>
    <t>CES_54_Maine State Retirement Systems_CMP 082401</t>
  </si>
  <si>
    <t>CES54_RHFosterEnergy_BHE 082401</t>
  </si>
  <si>
    <t>CES54_RHFosterEnergy_CMP 082401</t>
  </si>
  <si>
    <t>CES55_ChancellorGardens 082801</t>
  </si>
  <si>
    <t>CES56_MorrisYachts_BHE 082901</t>
  </si>
  <si>
    <t>CES57_DaigleOil_BHE 083001</t>
  </si>
  <si>
    <t>CES57_REHemondFarm_CMP_083001</t>
  </si>
  <si>
    <t>CES58_BJWinner_BHE 083101</t>
  </si>
  <si>
    <t>CES58_SureWinner_CMP 083101</t>
  </si>
  <si>
    <t>Unwind CES46 Extra Term</t>
  </si>
  <si>
    <t>Unwind CES49 Kinsley Bond Extra Term</t>
  </si>
  <si>
    <t>CES49_Kingsley Pond_CMP</t>
  </si>
  <si>
    <t>CES49_Kingsley Pond_BHE_September 03 Addition</t>
  </si>
  <si>
    <t>CES51_Walls Electric_BHE</t>
  </si>
  <si>
    <t>CES51_BarharborQualityInn_BHE 082001</t>
  </si>
  <si>
    <t>CES52_BarberFoods 081501</t>
  </si>
  <si>
    <t>CES53_GrowTechInc(DivisionofRynel,Inc) 082201</t>
  </si>
  <si>
    <t>CES46_MaineMidMkt_September01</t>
  </si>
  <si>
    <t>CES53_Zbrothers Inc 082201</t>
  </si>
  <si>
    <t>CES48_Custom Banner and Graphics</t>
  </si>
  <si>
    <t>CES49_KinsleyPond_BHE 081501</t>
  </si>
  <si>
    <t>CES49_KinsleyPond_CMP 081501</t>
  </si>
  <si>
    <t>CES_50_James Newspaper 081701</t>
  </si>
  <si>
    <t>CES46_Hotel Equities Days Inn 080101</t>
  </si>
  <si>
    <t>CES46_Howell's Travel Shop 080101</t>
  </si>
  <si>
    <t>CES46_Lodging Comfort Inn 080101</t>
  </si>
  <si>
    <t>CES46_Lodging Inequities Econo Lodge 080101</t>
  </si>
  <si>
    <t>CES46_Megquire Hill Farm 080101</t>
  </si>
  <si>
    <t>CES46_Saco (Scarborough) Sport and Fitness 080101</t>
  </si>
  <si>
    <t>CES46_Saco Sport and Fitness 080101</t>
  </si>
  <si>
    <t>CES46_Sam's Italian Foods 080101</t>
  </si>
  <si>
    <t>CES46_Dunlop Corporation 080101</t>
  </si>
  <si>
    <t>CES47_York Harbor Inn 080601</t>
  </si>
  <si>
    <t>CES 38 - Transparent Audio Inc.</t>
  </si>
  <si>
    <t>CES 38 - Lafayette Waterville</t>
  </si>
  <si>
    <t>CES 38 - Clean Harbors Environment</t>
  </si>
  <si>
    <t>Unwind CES38 - Clean Harbor Environment</t>
  </si>
  <si>
    <t>Unwind CES38 - Blue Star Grille</t>
  </si>
  <si>
    <t>Unwind CES41 - High Partners</t>
  </si>
  <si>
    <t>CES 42 - Maine Recycling Corp 072401</t>
  </si>
  <si>
    <t>CES 42 - Oriental Jade Restaurant 072401</t>
  </si>
  <si>
    <t>CES 42 - WLBZ 072401</t>
  </si>
  <si>
    <t>CES 42 - Anchoragelnn 072401</t>
  </si>
  <si>
    <t>CES 42 - Inn at Long Sands</t>
  </si>
  <si>
    <t>CES42_Gagne Precast Concrete Products_072401</t>
  </si>
  <si>
    <t>CES42_Best Western Manor_072401</t>
  </si>
  <si>
    <t>CES44_BernsteinShurSawyer and Nelson_072601</t>
  </si>
  <si>
    <t>CES44_Returnable Services_072601</t>
  </si>
  <si>
    <t>CES43 - Colette Donut Shoppe</t>
  </si>
  <si>
    <t>CES43 - Acadia Insurance Company</t>
  </si>
  <si>
    <t>CES45-St. Andre Health Care Facility</t>
  </si>
  <si>
    <t>CES45-Auburn Manufacturing</t>
  </si>
  <si>
    <t>CES45-GreenMill Corp.</t>
  </si>
  <si>
    <t>CES45-Port Harbor Marine Inc</t>
  </si>
  <si>
    <t>CES45-Pat's Pizza of Auburn</t>
  </si>
  <si>
    <t>CES 38 - Set Blue Star Grille</t>
  </si>
  <si>
    <t>Unwind CES21 - Pat's Pizza of Scarborough</t>
  </si>
  <si>
    <t>CES_Greene IGA</t>
  </si>
  <si>
    <t>CES_Sabago</t>
  </si>
  <si>
    <t>CES_Bessey Motor Sales</t>
  </si>
  <si>
    <t>CES_Northgate</t>
  </si>
  <si>
    <t>CES_Clean Harbors Environment Rebook</t>
  </si>
  <si>
    <t>CES_Lafayette Waterville Rebook</t>
  </si>
  <si>
    <t>CES_Transparent Audio Rebook</t>
  </si>
  <si>
    <t>CES 40th Set - High Chevrolet Pontiac</t>
  </si>
  <si>
    <t>CES 40th Set - High Chevrolet Buick</t>
  </si>
  <si>
    <t>Unwind CES38 - Lafayette Waterville, Inc.</t>
  </si>
  <si>
    <t>Unwind CES38 - Transparent Audio, Inc.</t>
  </si>
  <si>
    <t>CES_Greene IGA Reversal</t>
  </si>
  <si>
    <t>CES_Greene IGA Revision</t>
  </si>
  <si>
    <t>Unwind CES - Clean Harbor Environment</t>
  </si>
  <si>
    <t>Mass Market</t>
  </si>
  <si>
    <t>MA MassMkt_BECO_Late 82301</t>
  </si>
  <si>
    <t>MA_MassMkt_BECO 080801</t>
  </si>
  <si>
    <t>MA_MassMkt_BECO 082001_data from bill</t>
  </si>
  <si>
    <t>MA_MassMkt_BECO 082901</t>
  </si>
  <si>
    <t>MA_MassMkt_BECO 083001</t>
  </si>
  <si>
    <t>MA_MassMkt_BECO 083101</t>
  </si>
  <si>
    <t>MA_MassMkt_BECO 81301_EDI</t>
  </si>
  <si>
    <t>MA_MassMkt_BECO 82401</t>
  </si>
  <si>
    <t>MA_MassMKt_BECO 82701</t>
  </si>
  <si>
    <t>MA_MassMkt_BECO_080901.edi</t>
  </si>
  <si>
    <t>MA_MassMkt_BECO_DATA from Bill_081601</t>
  </si>
  <si>
    <t>MA_MassMkt_BECO_Late 081701_EDI</t>
  </si>
  <si>
    <t>MA_MassMkt_BECO_Late_081401_EDI</t>
  </si>
  <si>
    <t>MA_MassMkt_BECO_Late82801</t>
  </si>
  <si>
    <t>MA_MassMKt_Late 081501_EDI</t>
  </si>
  <si>
    <t>MA_MassMkt_MECO 082401</t>
  </si>
  <si>
    <t>MA_MassMkt_MECO 082701</t>
  </si>
  <si>
    <t>MA_MassMkt_MECO 082801</t>
  </si>
  <si>
    <t>MA_MassMkt_MECO 082901</t>
  </si>
  <si>
    <t>MA_MassMkt_MECO 083001</t>
  </si>
  <si>
    <t>MA_MassMkt_MECO 083101</t>
  </si>
  <si>
    <t>MA_MassMkt_MECO_082301</t>
  </si>
  <si>
    <t>NY_MassMkt 082101</t>
  </si>
  <si>
    <t>NY_MassMkt 082301</t>
  </si>
  <si>
    <t>NY_MassMkt 082801</t>
  </si>
  <si>
    <t>NY_MassMkt 082901</t>
  </si>
  <si>
    <t>NY_MassMkt 083001</t>
  </si>
  <si>
    <t>NY_MassMkt 82201</t>
  </si>
  <si>
    <t>NY_MassMkt_082401</t>
  </si>
  <si>
    <t>NY_MassMkt_82701</t>
  </si>
  <si>
    <t>NY_MassMkt_Additional 082901</t>
  </si>
  <si>
    <t>TX_MassMkt 083001</t>
  </si>
  <si>
    <t>TX_MassMkt 083101</t>
  </si>
  <si>
    <t>MA_MassMkt_Meco 081401</t>
  </si>
  <si>
    <t>MA_Mass Mkt_MECO_082001</t>
  </si>
  <si>
    <t>MA_Mass Mkt_BECO 081701_ Late 81001</t>
  </si>
  <si>
    <t xml:space="preserve">MA_MassMkt_MECO 082201 </t>
  </si>
  <si>
    <t>MA_MassMkt_MECO 082201Late</t>
  </si>
  <si>
    <t>MA_MassMkt_BECO 081501</t>
  </si>
  <si>
    <t>MA_MassMkt_MECO_082101</t>
  </si>
  <si>
    <t>MA_MassMkt_BECO 082201</t>
  </si>
  <si>
    <t>MA_MassMkt_BECO_Late 081401</t>
  </si>
  <si>
    <t>MA_MassMkt_BECO 081701</t>
  </si>
  <si>
    <t>NY_MassMkt 081501</t>
  </si>
  <si>
    <t>MA_MassMkt 081701</t>
  </si>
  <si>
    <t>NY_MassMkt 081601</t>
  </si>
  <si>
    <t>NY_MassMkt 082001</t>
  </si>
  <si>
    <t>NY_MassMkt 081701</t>
  </si>
  <si>
    <t>MA_MassMkt_Meco 081601</t>
  </si>
  <si>
    <t>MA_MassMkt_Meco 081501</t>
  </si>
  <si>
    <t>MassMkt 073101</t>
  </si>
  <si>
    <t>mass</t>
  </si>
  <si>
    <t>NY_MassMkt 081401</t>
  </si>
  <si>
    <t>NY_MassMkt 081301</t>
  </si>
  <si>
    <t>NY_MassMkt 081001</t>
  </si>
  <si>
    <t>NY_MassMkt 080901</t>
  </si>
  <si>
    <t>MassMkt_NY 080801</t>
  </si>
  <si>
    <t>MassMkt_NY 080701</t>
  </si>
  <si>
    <t>MassMkt 080701 - Meriam Sales dba Shore Acres Dry Cleaners Unwind</t>
  </si>
  <si>
    <t>MA_MassMkt_Meco 081301</t>
  </si>
  <si>
    <t>MA_MassMkt_Meco 080901</t>
  </si>
  <si>
    <t>MA_MassMkt_Beco 080901</t>
  </si>
  <si>
    <t>MA_MassMkt Meco_Late080201</t>
  </si>
  <si>
    <t>MA_MassMkt 081301</t>
  </si>
  <si>
    <t>MA_MassMkt 081001</t>
  </si>
  <si>
    <t>MA_MassMkt 080801</t>
  </si>
  <si>
    <t>MA Mass Mkt 073101_1859 House Restaurant</t>
  </si>
  <si>
    <t>MassMkt 073001</t>
  </si>
  <si>
    <t>MA_MassMkt 073101</t>
  </si>
  <si>
    <t>MassMkt 070901Credit adjustment</t>
  </si>
  <si>
    <t>MassMkt 071001Credit adjustment</t>
  </si>
  <si>
    <t>MassMkt 071101Credit adjustment</t>
  </si>
  <si>
    <t>MassMkt 071201Credit adjustment</t>
  </si>
  <si>
    <t>Unwind Capricorn Pizza MassMkt 070901</t>
  </si>
  <si>
    <t>Unwind Roland Super Food MassMkt 071601</t>
  </si>
  <si>
    <t>MassMkt 080201</t>
  </si>
  <si>
    <t>MassMkt 080301</t>
  </si>
  <si>
    <t>NY_MassMkt 080601</t>
  </si>
  <si>
    <t>MA_MassMkt 080101</t>
  </si>
  <si>
    <t>MA_MassMkt 080301</t>
  </si>
  <si>
    <t>MA_MassMkt 080601</t>
  </si>
  <si>
    <t>MA_MassMky 080701</t>
  </si>
  <si>
    <t>Mass Market - Chae Chong Hue unwind</t>
  </si>
  <si>
    <t>Mass Market - TJ Brothers Corp Unwind</t>
  </si>
  <si>
    <t>Mass Market - City Line Fruit Store Unwind</t>
  </si>
  <si>
    <t>Mass Market - Son Happy Farm Unwind</t>
  </si>
  <si>
    <t>Mass Market - YH Vegetable Store Unwind</t>
  </si>
  <si>
    <t>Mass Market - Yonkers African Mkt Unwind</t>
  </si>
  <si>
    <t>Mass Market - Gem Star Furniture Unwind</t>
  </si>
  <si>
    <t>Mass Market - Empire Bedding Unwind</t>
  </si>
  <si>
    <t>Mass Market - Jim Stationary Unwind</t>
  </si>
  <si>
    <t>Mass Market - Nan Young Cho Unwind</t>
  </si>
  <si>
    <t>Mass Market - Catherine Thaila Hair Spa Unwind</t>
  </si>
  <si>
    <t>Mass Market - Kellys Pub Unwind</t>
  </si>
  <si>
    <t>Mass Market - JG Deli &amp; Food Corp Unwind</t>
  </si>
  <si>
    <t>Mass Market - Getty Square Hero Unwind</t>
  </si>
  <si>
    <t>Mass Market - New Main Discount Unwind</t>
  </si>
  <si>
    <t>Mass Market - K Bolan, D Dixon Unwind</t>
  </si>
  <si>
    <t>Mass Mkt 7/2</t>
  </si>
  <si>
    <t>Mass Mkt 7/3</t>
  </si>
  <si>
    <t>Mass Mkt 7/5</t>
  </si>
  <si>
    <t>Mass Market 07/09/01</t>
  </si>
  <si>
    <t>Mass Market 07/10/01</t>
  </si>
  <si>
    <t>Mass Market 07/11/01</t>
  </si>
  <si>
    <t>MassMkt 07_12_01</t>
  </si>
  <si>
    <t>MassMkt 07_13_01</t>
  </si>
  <si>
    <t>MassMkt 07_16_01</t>
  </si>
  <si>
    <t>Unwind MassMkt - Café El Dorado</t>
  </si>
  <si>
    <t>Unwind MassMkt - Deli &amp; Grocery</t>
  </si>
  <si>
    <t>Unwind MassMkt - 1545 Pizza Corporation</t>
  </si>
  <si>
    <t>Unwind MassMkt - Patricia Pizza &amp; Pasta II</t>
  </si>
  <si>
    <t>Unwind MassMkt - Café Guatemala_044</t>
  </si>
  <si>
    <t>Unwind MassMkt - Café Guatemala_065</t>
  </si>
  <si>
    <t>Unwind MassMkt - Sany's Varieties Store</t>
  </si>
  <si>
    <t>Unwind MassMkt - Main St. Supermarket Corp.</t>
  </si>
  <si>
    <t>Unwind MassMkt - 99 Cents Value Inc.</t>
  </si>
  <si>
    <t>MassMkt07_19_01</t>
  </si>
  <si>
    <t>Unwind MassMkt - Richmond County Donut Inc.</t>
  </si>
  <si>
    <t>Unwind MassMkt - Williams Bridge Discount</t>
  </si>
  <si>
    <t>Mass Mkt 07_17_01</t>
  </si>
  <si>
    <t>Mass Mkt 07_23_01</t>
  </si>
  <si>
    <t>Mass Mkt 7/20/01</t>
  </si>
  <si>
    <t>MassMkt 07_24_01</t>
  </si>
  <si>
    <t>Mass Mkt 07_25_01</t>
  </si>
  <si>
    <t>MassMkt_072601</t>
  </si>
  <si>
    <t>MassMkt_072701</t>
  </si>
  <si>
    <t>Mass Mkt 07_18_01</t>
  </si>
  <si>
    <t>CAD Sales:</t>
  </si>
  <si>
    <t>CAD - Gas Deals</t>
  </si>
  <si>
    <t>CAD</t>
  </si>
  <si>
    <t xml:space="preserve">   Total CAD Sales</t>
  </si>
  <si>
    <t>Clinton Gas Sales:</t>
  </si>
  <si>
    <t>Gas - Other</t>
  </si>
  <si>
    <t>Bico Dayton, Inc. (Orig =Major Accts, Weidinger)</t>
  </si>
  <si>
    <t>DESC-NETC Great Lakes (Orig=Major Accts, Weinreich)</t>
  </si>
  <si>
    <t>Total Enron Direct USA</t>
  </si>
  <si>
    <t xml:space="preserve">   Total Margin Adjustments:</t>
  </si>
  <si>
    <t>Other Businesses</t>
  </si>
  <si>
    <t>Golden Bear:</t>
  </si>
  <si>
    <t>Total Golden Bear</t>
  </si>
  <si>
    <t>Utility Representation Services:</t>
  </si>
  <si>
    <t>ANC-Phoenix</t>
  </si>
  <si>
    <t xml:space="preserve">Portfolio </t>
  </si>
  <si>
    <t>Tyco-Commerce TX</t>
  </si>
  <si>
    <t>Total Utility Representation Services</t>
  </si>
  <si>
    <t>Total Other Businesses</t>
  </si>
  <si>
    <t>Other Items Affecting TCV or MTM</t>
  </si>
  <si>
    <t>Total 3Q 2001</t>
  </si>
  <si>
    <t>1Q 2001</t>
  </si>
  <si>
    <t>2Q 2001</t>
  </si>
  <si>
    <t>3Q 2001</t>
  </si>
  <si>
    <t>4Q 2001</t>
  </si>
  <si>
    <t>YTD 2001</t>
  </si>
  <si>
    <t>Europe TCV</t>
  </si>
  <si>
    <t>Current Week Newly Booked Deals</t>
  </si>
  <si>
    <t>* Variance from underwriting value to booking value under review.</t>
  </si>
  <si>
    <t>TCV Reconciliation</t>
  </si>
  <si>
    <t>Domestic TCV - Booked</t>
  </si>
  <si>
    <t>European TCV - Booked</t>
  </si>
  <si>
    <t>Canadian TCV - Booked</t>
  </si>
  <si>
    <t>Domestic TCV - Unbooked</t>
  </si>
  <si>
    <t>TOTAL Q3 TCV</t>
  </si>
  <si>
    <t>New Closed Deals not on DPR**</t>
  </si>
  <si>
    <t>Total New Deals:</t>
  </si>
  <si>
    <t xml:space="preserve">**Deal Economics are estimated </t>
  </si>
  <si>
    <t>**** Will be offset by corresponding accrual revesral</t>
  </si>
  <si>
    <t>Deal Unwind Detail***</t>
  </si>
  <si>
    <t>Unwinds Booked Q3</t>
  </si>
  <si>
    <t xml:space="preserve">Ablestik  </t>
  </si>
  <si>
    <t>Buddy Bar Casting</t>
  </si>
  <si>
    <t>Castaic Clay</t>
  </si>
  <si>
    <t>Delimex</t>
  </si>
  <si>
    <t>Expo Dyeing &amp; Finishing</t>
  </si>
  <si>
    <t>Huron Ginning</t>
  </si>
  <si>
    <t>Radiant</t>
  </si>
  <si>
    <t>Temperform USA</t>
  </si>
  <si>
    <t>Treasure Chest (Vertis, Inc.)</t>
  </si>
  <si>
    <t>Legally Pursuing **</t>
  </si>
  <si>
    <t>Brown Pacific**</t>
  </si>
  <si>
    <t>Crown City Plating Co., Inc.**</t>
  </si>
  <si>
    <t>Koos Manufacturing**</t>
  </si>
  <si>
    <t>KUA Textile Inc.**</t>
  </si>
  <si>
    <t>Matchmaster Dyeing &amp; Finishing, Inc**</t>
  </si>
  <si>
    <t>Paradise Textile**</t>
  </si>
  <si>
    <t>Total Unwinds Booked as of 8/29/01</t>
  </si>
  <si>
    <t>Unwinds Not Booked</t>
  </si>
  <si>
    <t>Pacific Tube</t>
  </si>
  <si>
    <t>Regent Beverly Wilshire**  Legally Pursuing</t>
  </si>
  <si>
    <t>Total Unwinds Not Booked as of 8/29/01</t>
  </si>
  <si>
    <t>Unwinds Booked Q2</t>
  </si>
  <si>
    <t>Holiday Rock Co.</t>
  </si>
  <si>
    <t>Grand Total</t>
  </si>
  <si>
    <t>**Receivables Acct. established to offset total unwind exposure.</t>
  </si>
  <si>
    <t>(Appears on Forecast Report)</t>
  </si>
  <si>
    <t>EES Canada - Risk Analysis</t>
  </si>
  <si>
    <t>Risk Management</t>
  </si>
  <si>
    <t>Silo</t>
  </si>
  <si>
    <t>State</t>
  </si>
  <si>
    <t>Region</t>
  </si>
  <si>
    <t>Type</t>
  </si>
  <si>
    <t>TCV</t>
  </si>
  <si>
    <t>Sales Orig. O-K</t>
  </si>
  <si>
    <t>Implementation Premium / Misc.</t>
  </si>
  <si>
    <t>Hedge Mngmt</t>
  </si>
  <si>
    <t>Valuation Prudencies</t>
  </si>
  <si>
    <t>NET RM</t>
  </si>
  <si>
    <t>Total Value</t>
  </si>
  <si>
    <t>Thousands of US Dollars (FX Rate 1.54)</t>
  </si>
  <si>
    <t>M-O</t>
  </si>
  <si>
    <t>RM</t>
  </si>
  <si>
    <t>(MTM)</t>
  </si>
  <si>
    <t>ENRON DIRECT CANADA</t>
  </si>
  <si>
    <t>DIRECT SALES:</t>
  </si>
  <si>
    <t xml:space="preserve"> ALBERTA GAS DEALS</t>
  </si>
  <si>
    <t>Boardwalk Equities Inc. - 2.5%</t>
  </si>
  <si>
    <t>Soundsaround Inc.</t>
  </si>
  <si>
    <t>903734 Alberta Ltd.</t>
  </si>
  <si>
    <t xml:space="preserve">Boardwalk 2.5% Hedge </t>
  </si>
  <si>
    <t>Calgary Winter Club</t>
  </si>
  <si>
    <t>Point on the Bow Condo</t>
  </si>
  <si>
    <t>Telus Convention Center</t>
  </si>
  <si>
    <t>Lindsay Park</t>
  </si>
  <si>
    <t>C.E.P Automotive Ltd.</t>
  </si>
  <si>
    <t>Calgary Olympic Development Association</t>
  </si>
  <si>
    <t>Frank Sissons Casino</t>
  </si>
  <si>
    <t>The Owners Condo Plan #971-2250</t>
  </si>
  <si>
    <t>Condominimum Plan 9310722</t>
  </si>
  <si>
    <t>Haul-All Equipment</t>
  </si>
  <si>
    <t>Total Alberta Gas Deals</t>
  </si>
  <si>
    <t xml:space="preserve"> ONTARIO GAS DEALS</t>
  </si>
  <si>
    <t>Canadian Polystyrene Recycling Association</t>
  </si>
  <si>
    <t>Total Ontario Gas Deals</t>
  </si>
  <si>
    <t>TOTAL GAS DEALS</t>
  </si>
  <si>
    <t>POWER DEALS</t>
  </si>
  <si>
    <t>232098 Alberta Ltd.</t>
  </si>
  <si>
    <t>894245 Alberta Inc.</t>
  </si>
  <si>
    <t>Kawneer Company Canada</t>
  </si>
  <si>
    <t>Capri Centre</t>
  </si>
  <si>
    <t>Frank Sissions Casino</t>
  </si>
  <si>
    <t>St. Mary River Irrigation</t>
  </si>
  <si>
    <t>TOTAL POWER DEALS</t>
  </si>
  <si>
    <t>TOTAL ENRON DIRECT CANADA:</t>
  </si>
  <si>
    <t>TOTAL ENRON DIRECT CANADA Q3:</t>
  </si>
  <si>
    <t>EES Europe</t>
  </si>
  <si>
    <t>3Q/2001 MTM Origination Summary</t>
  </si>
  <si>
    <t>Neta / Renewables Provision</t>
  </si>
  <si>
    <t>($000's US$)</t>
  </si>
  <si>
    <t>Middle Market (Crossley Cooke)</t>
  </si>
  <si>
    <t>Enron Directo</t>
  </si>
  <si>
    <t>Enron Direct, Netherlands</t>
  </si>
  <si>
    <t xml:space="preserve"> </t>
  </si>
  <si>
    <t>Energy Portfolio Mgmt (Rexrode)</t>
  </si>
  <si>
    <t>Taylor Woodrow Property Management Ltd</t>
  </si>
  <si>
    <t>Taylor Woodrow Construction Ltd</t>
  </si>
  <si>
    <t>Guiness</t>
  </si>
  <si>
    <t>TOTAL Europe Q3:</t>
  </si>
  <si>
    <r>
      <t xml:space="preserve">Sales Orig. O-K </t>
    </r>
    <r>
      <rPr>
        <sz val="8"/>
        <rFont val="Arial"/>
        <family val="2"/>
      </rPr>
      <t>(Net of Consumption Premium)</t>
    </r>
  </si>
  <si>
    <r>
      <t xml:space="preserve">Net Orig. Value O-K </t>
    </r>
    <r>
      <rPr>
        <b/>
        <sz val="8"/>
        <rFont val="Arial"/>
        <family val="2"/>
      </rPr>
      <t>(MTM @ offer)</t>
    </r>
  </si>
  <si>
    <r>
      <t xml:space="preserve">Net Orig. Value O-K               </t>
    </r>
    <r>
      <rPr>
        <b/>
        <sz val="8"/>
        <rFont val="Arial"/>
        <family val="2"/>
      </rPr>
      <t>(MTM @ Offer)</t>
    </r>
  </si>
  <si>
    <t>MA_MassMkt_090701 (MECO)</t>
  </si>
  <si>
    <t>NY_MassMkt_090701</t>
  </si>
  <si>
    <t>NY_MassMkt_090601</t>
  </si>
  <si>
    <t>TX_MassMkt_090601</t>
  </si>
  <si>
    <t>MA_MassMkt_BECO_09061</t>
  </si>
  <si>
    <t>AM_Properties_083101</t>
  </si>
  <si>
    <t>TX_MassMkt_090701</t>
  </si>
  <si>
    <t>TX_MidMkt_BallIndustries_090701</t>
  </si>
  <si>
    <t>IL_MidMkt_AdvancedArenas_090701</t>
  </si>
  <si>
    <t>TX_MassMkt_090501</t>
  </si>
  <si>
    <t>TX_MidMkt_Chucks_090601</t>
  </si>
  <si>
    <t>NY_MassMkt_090401</t>
  </si>
  <si>
    <t>NY_MassMkt_AdditionalSites_090401</t>
  </si>
  <si>
    <t>NY_MassMkt_CAD_090401</t>
  </si>
  <si>
    <t>MA_MassMkt_MECO_090401</t>
  </si>
  <si>
    <t>MA_MassMkt_BECO_090401</t>
  </si>
  <si>
    <t>MA_MassMkt_MECO_090601</t>
  </si>
  <si>
    <t>TX_MidMkt_Breadwinners_090701</t>
  </si>
  <si>
    <t>TX_MidMkt_RansomManagement_090701</t>
  </si>
  <si>
    <t>NY_MassMkt__090501</t>
  </si>
  <si>
    <t>MA_MassMkt_MECO_090501</t>
  </si>
  <si>
    <t>MA_MassMkt_BECO_090501</t>
  </si>
  <si>
    <t>TX_MassMkt_090401</t>
  </si>
  <si>
    <t>Total Mass Market East</t>
  </si>
  <si>
    <t>Total Mass Market West</t>
  </si>
  <si>
    <t>Large Commodity Gas - West</t>
  </si>
  <si>
    <t>Large Commodity Gas - East</t>
  </si>
  <si>
    <t>Tyco - Gas 9/5/01</t>
  </si>
  <si>
    <t>Sodexo Mariott Management Services</t>
  </si>
  <si>
    <t>Tricon TXU</t>
  </si>
  <si>
    <t>Maine</t>
  </si>
  <si>
    <t>Mass</t>
  </si>
  <si>
    <t>Ca</t>
  </si>
  <si>
    <t>Total Northeast</t>
  </si>
  <si>
    <t>Northeast</t>
  </si>
  <si>
    <t>Illinois</t>
  </si>
  <si>
    <t>Total Illinois</t>
  </si>
  <si>
    <t>Third Party Sales (Bertasi):</t>
  </si>
  <si>
    <t>Other Transactions:</t>
  </si>
  <si>
    <t>Universal Dyeing and Printing</t>
  </si>
  <si>
    <t>San Antonio Hospital</t>
  </si>
  <si>
    <t>Stylex (Morris Industries)**  Legally Pursuing</t>
  </si>
  <si>
    <t>SMED International Inc.</t>
  </si>
  <si>
    <t>Calgary Managers Rinks</t>
  </si>
  <si>
    <t>The Calgary Science Centre Society</t>
  </si>
  <si>
    <t>East Calgary Twin Arena Society</t>
  </si>
  <si>
    <t>Crowfoot Minor Hockey</t>
  </si>
  <si>
    <t>London-Norbridge</t>
  </si>
  <si>
    <t>Kawartha Hospital Linens</t>
  </si>
  <si>
    <t>Rosenthal Bros.</t>
  </si>
  <si>
    <t xml:space="preserve"> ALBERTA POWER DEALS</t>
  </si>
  <si>
    <t>Total Alberta Power Deals</t>
  </si>
  <si>
    <t xml:space="preserve"> ONTARIO POWER DEALS</t>
  </si>
  <si>
    <t>Alfield Industries Ltd.</t>
  </si>
  <si>
    <t>Hanson Pipe &amp; Products Canada Inc.</t>
  </si>
  <si>
    <t>Berzel Enterprises Ltd.</t>
  </si>
  <si>
    <t>Total Ontario Power Deals</t>
  </si>
  <si>
    <t>PGL</t>
  </si>
  <si>
    <t>Marley</t>
  </si>
  <si>
    <t>Sibelco</t>
  </si>
  <si>
    <t>Diageo</t>
  </si>
  <si>
    <t>JLL</t>
  </si>
  <si>
    <t>Kraft</t>
  </si>
  <si>
    <t>Quaker Oats Adj - Gas ****</t>
  </si>
  <si>
    <t>ICAP recalculation grant from EWS</t>
  </si>
  <si>
    <t>MA_MassMkt_MECO_091401</t>
  </si>
  <si>
    <t>MA_MassMkt_BECO_091401</t>
  </si>
  <si>
    <t>TX_MassMkt_091001</t>
  </si>
  <si>
    <t>MA_MassMkt_BECO_091001</t>
  </si>
  <si>
    <t>MA_MassMkt_MECO_091001</t>
  </si>
  <si>
    <t>NY_MassMkt_091401</t>
  </si>
  <si>
    <t>CES59_LisbonRestaurants_BHE_091201</t>
  </si>
  <si>
    <t>CES59_Romeos_CMP_091201</t>
  </si>
  <si>
    <t>RomaFoods_091301</t>
  </si>
  <si>
    <t>TX_MidMkt_Auchan_091701</t>
  </si>
  <si>
    <t>PrestonwoodBaptistChurch_Additional_091301</t>
  </si>
  <si>
    <t>TX_MassMkt_091201</t>
  </si>
  <si>
    <t>Ny_massMkt_091201</t>
  </si>
  <si>
    <t>Unwind MA_MassMkt_Term Adj</t>
  </si>
  <si>
    <t>MA_Mass Mkt_Beco_082901_October</t>
  </si>
  <si>
    <t>MA_Mass Mkt_Meco_082901_October</t>
  </si>
  <si>
    <t>MA_Mass Mkt_Beco_083001_October</t>
  </si>
  <si>
    <t>MA_Mass Mkt_Meco_083101_October</t>
  </si>
  <si>
    <t>MA_Mass Mkt_Beco_083101_October</t>
  </si>
  <si>
    <t>MA_Mass Mkt_Meco_084101_October</t>
  </si>
  <si>
    <t>MA_Mass Mkt_Beco_090401_October</t>
  </si>
  <si>
    <t>MA_Mass Mkt_Meco_090401_October</t>
  </si>
  <si>
    <t>MA_Mass Mkt_Beco_090501_October</t>
  </si>
  <si>
    <t>MA_Mass Mkt_Meco_090501_October</t>
  </si>
  <si>
    <t>MA_Mass Mkt_Beco_090601_October</t>
  </si>
  <si>
    <t>MA_Mass Mkt_Meco_090601_October</t>
  </si>
  <si>
    <t>Partial Unwind MA_MassMkt_MECO_081501</t>
  </si>
  <si>
    <t>MA_MassMkt_MECO_082301 - Dynawave Incop. Adj.</t>
  </si>
  <si>
    <t>TX_MassMkt_Txu_091401</t>
  </si>
  <si>
    <t>Tx_MassMkt_Txu_091301</t>
  </si>
  <si>
    <t>Ny_MassMkt_091001</t>
  </si>
  <si>
    <t>Eagle Electronics</t>
  </si>
  <si>
    <t>TX_MidMkt_DePelchin_091701</t>
  </si>
  <si>
    <t>NY_MassMkt_OldDeals_091701</t>
  </si>
  <si>
    <t>TX_MassMkt_091301</t>
  </si>
  <si>
    <t>NY_MassMkt_091301</t>
  </si>
  <si>
    <t>TX_MassMkt_HLP_091701</t>
  </si>
  <si>
    <t>TX_MidMkt_Goldberg Towers_091101</t>
  </si>
  <si>
    <t>PJM</t>
  </si>
  <si>
    <t>Beech Hills (MidMkt) 07/27/01</t>
  </si>
  <si>
    <t xml:space="preserve">Total for Other Items </t>
  </si>
  <si>
    <t xml:space="preserve">Total East </t>
  </si>
  <si>
    <t xml:space="preserve">Total West </t>
  </si>
  <si>
    <t>Aggregation Gas</t>
  </si>
  <si>
    <t xml:space="preserve">   Total Third Party Sales</t>
  </si>
  <si>
    <t>Beverly Motel / 674211 Albert Ltd.</t>
  </si>
  <si>
    <t>The Forzani Group Ltd - 3 year deal</t>
  </si>
  <si>
    <t>The Forzani Group Ltd - 2 year deal</t>
  </si>
  <si>
    <t>Zavisha Sawmills Ltd.</t>
  </si>
  <si>
    <t>Swan Aeromotive Ltd.</t>
  </si>
  <si>
    <t>Road King</t>
  </si>
  <si>
    <t>Techno Strip Ltd.</t>
  </si>
  <si>
    <t>Road King Travel</t>
  </si>
  <si>
    <t>Spoolon Manufacturing Limited</t>
  </si>
  <si>
    <t>E-Channel (Lowney):</t>
  </si>
  <si>
    <t>Quaker Oats Adj - Power****</t>
  </si>
  <si>
    <t>Gas Mid Mkt</t>
  </si>
  <si>
    <t>Mass Market 07/06/01</t>
  </si>
  <si>
    <t>Enron Direct Power</t>
  </si>
  <si>
    <t>Enron Direct Gas</t>
  </si>
  <si>
    <t>Calgary Public Library</t>
  </si>
  <si>
    <t>Inventronics</t>
  </si>
  <si>
    <t>Koch Engineering Company Ltd.</t>
  </si>
  <si>
    <t>Tarrant Enterprises Ltd - July 02</t>
  </si>
  <si>
    <t>Tarrant Enterprises Ltd - Sept 02</t>
  </si>
  <si>
    <t>Tarrant Enterprises Ltd - Nov 02</t>
  </si>
  <si>
    <t>Tarrant Enterprises Ltd - Dec o5</t>
  </si>
  <si>
    <t>Beverly Motel/674211 Albert Ltd.</t>
  </si>
  <si>
    <t>Mar-Quinn Industries</t>
  </si>
  <si>
    <t>Wolf Steel</t>
  </si>
  <si>
    <t>CLO Glass Limited</t>
  </si>
  <si>
    <t>Stack Teck Systems Canada Inc.</t>
  </si>
  <si>
    <t>Second Quarter Prudency Adjustment</t>
  </si>
  <si>
    <t>As of 09/28/01</t>
  </si>
  <si>
    <t>Agent Network Channel</t>
  </si>
  <si>
    <t>Total Agent Network Channel</t>
  </si>
  <si>
    <t>E-Channel Gas</t>
  </si>
  <si>
    <r>
      <t xml:space="preserve">Agent Gas </t>
    </r>
    <r>
      <rPr>
        <sz val="10"/>
        <color indexed="8"/>
        <rFont val="Arial"/>
        <family val="2"/>
      </rPr>
      <t>(combined with E-Channel Gas)</t>
    </r>
  </si>
  <si>
    <t>Quaker Oats Co. - Gas</t>
  </si>
  <si>
    <t xml:space="preserve">Harrah's - Gas </t>
  </si>
  <si>
    <t>Darden Restaurants, Inc.</t>
  </si>
  <si>
    <t>Credit Write Off (Aerocraft)</t>
  </si>
  <si>
    <t>Credit Write Off (Komag)</t>
  </si>
  <si>
    <t>Credit Mid Mkt Orig (Aerocraft)</t>
  </si>
  <si>
    <t>Deal Mgmt  Mid Mkt Orig (Komag)</t>
  </si>
  <si>
    <t>Deal Mgmt  Mid Mkt Orig (Roma Foods)</t>
  </si>
  <si>
    <t>Deal Mgmt  Mid Mkt Orig (Stonehurst)</t>
  </si>
  <si>
    <t>Deal Mgmt  Mid Mkt Orig (Milso)</t>
  </si>
  <si>
    <t>Deal Mgmt  Mid Mkt Orig (WHB Corp/Millenium Bilmore Hotel)</t>
  </si>
  <si>
    <t>Deal Mgmt  Mid Mkt Orig (South Valley Gins Inc.)</t>
  </si>
  <si>
    <t>Deal Mgmt  Mid Mkt Orig (Victoria Nurseries)</t>
  </si>
  <si>
    <t>Deal Mgmt  Mid Mkt Orig (Ponds Pembroke LP/Brookdale Holdings)</t>
  </si>
  <si>
    <t>July+Aug Agency Fees</t>
  </si>
  <si>
    <t>Sept Agency Fees</t>
  </si>
  <si>
    <t xml:space="preserve">   Total E-Channel</t>
  </si>
  <si>
    <t>Credit Reserve Adjustment</t>
  </si>
  <si>
    <t>Origination Release Nooter Fabricators - Gas</t>
  </si>
  <si>
    <t>NY_MassMkt_091201(from 091101)</t>
  </si>
  <si>
    <t>CES60_Lo&amp;To_BHE_091801</t>
  </si>
  <si>
    <t>Tx_MassMkt_HLP_091401</t>
  </si>
  <si>
    <t>Tx_MassMkt_TXU_091801</t>
  </si>
  <si>
    <t>Ny_MassMkt_Talent Tree_091801</t>
  </si>
  <si>
    <t>Ny_MassMkt_091701_b2nd</t>
  </si>
  <si>
    <t>Tx_MassMkt_TXU_091701</t>
  </si>
  <si>
    <t>MA_MassMkt_BECO_091801_1</t>
  </si>
  <si>
    <t>MA_MassMkt_BECO_091801_2</t>
  </si>
  <si>
    <t>MA_MassMkt_BECO_091801_3</t>
  </si>
  <si>
    <t>MA_MassMkt_BECO_091801_4</t>
  </si>
  <si>
    <t>MA_MassMkt_BECO_091801_5</t>
  </si>
  <si>
    <t>Tx_MassMkt_TXU_091901</t>
  </si>
  <si>
    <t>NY_MassMkt_09_19_01</t>
  </si>
  <si>
    <t>NY_MassMkt_Salience_091801</t>
  </si>
  <si>
    <t>Tricon_MissingSites_092101</t>
  </si>
  <si>
    <t>NY_MidMkt_Leiserv_092001</t>
  </si>
  <si>
    <t>NY_MassMkt_092001</t>
  </si>
  <si>
    <t>MassMkt_MECO_091801</t>
  </si>
  <si>
    <t>Ny_MidMkt_GSCorp_091901</t>
  </si>
  <si>
    <t>MassMkt_MECO_091901</t>
  </si>
  <si>
    <t>MA_MassMkt_BECO_091901</t>
  </si>
  <si>
    <t>MA_MassMkt_BECO_091801</t>
  </si>
  <si>
    <t>MA_MassMkt_MECO_091801-1</t>
  </si>
  <si>
    <t>MA_MassMkt_MECO_091801-3</t>
  </si>
  <si>
    <t>MA_MassMkt_MECO_091801-4</t>
  </si>
  <si>
    <t>MA_MassMkt_MECO_091801-5</t>
  </si>
  <si>
    <t>MA_MassMkt_MECO_092001</t>
  </si>
  <si>
    <t>MA_MassMkt_BECO_092001</t>
  </si>
  <si>
    <t>NY_MassMkt_092101</t>
  </si>
  <si>
    <t>MA_MassMkt_MECO_1_092001</t>
  </si>
  <si>
    <t>TX_MassMkt_TNP_092001</t>
  </si>
  <si>
    <t>TX_MassMkt_TNP_092101</t>
  </si>
  <si>
    <t>TX_MassMkt_HLP_092101</t>
  </si>
  <si>
    <t>TX_MassMkt_HLP_091901</t>
  </si>
  <si>
    <t>TX_MassMkt_HLP_091801</t>
  </si>
  <si>
    <t>MA_MassMkt_MECO_091801-2</t>
  </si>
  <si>
    <t>MA_MassMkt_BECO_092101</t>
  </si>
  <si>
    <t>MA_MassMkt_MECO_092101</t>
  </si>
  <si>
    <t>Jerome Industries</t>
  </si>
  <si>
    <t>CHE_Darby 073101 adj-opt premium</t>
  </si>
  <si>
    <t>Ny_MassMkt_092401</t>
  </si>
  <si>
    <t>MA_MassMkt_BECO_092501</t>
  </si>
  <si>
    <t>TX_MassMkt_TXU_092401</t>
  </si>
  <si>
    <t>TX_MassMkt_CAD_092401</t>
  </si>
  <si>
    <t>TX_MassMkt_HLP_092501</t>
  </si>
  <si>
    <t>Unwind CES58_BJ's Market</t>
  </si>
  <si>
    <t>Unwind CES55_Chancellor Garden of Cape Elizabeth</t>
  </si>
  <si>
    <t>NY_MassMkt_092401</t>
  </si>
  <si>
    <t>NY_MassMkt_092501_b</t>
  </si>
  <si>
    <t>TX_MassMkt_HLP_092401</t>
  </si>
  <si>
    <t>TX_MassMkt_TXU_092001</t>
  </si>
  <si>
    <t>TX_MassMkt_TXU_092101</t>
  </si>
  <si>
    <t>MA_MassMkt_MECO_092401</t>
  </si>
  <si>
    <t>MA_MassMkt_MECO_092501</t>
  </si>
  <si>
    <t>MA_MassMkt_BECO_092601</t>
  </si>
  <si>
    <t>RamAssociates_092401</t>
  </si>
  <si>
    <t>Wendys_TX_Corp_092601</t>
  </si>
  <si>
    <t>NY_MassMkt_092601</t>
  </si>
  <si>
    <t>MA_MassMkt_MECO_092601</t>
  </si>
  <si>
    <t>Tx_MassMlt_TNPSouth_092601</t>
  </si>
  <si>
    <t>TX_MassMkt_HLP_092601</t>
  </si>
  <si>
    <t>A&amp;A_092601</t>
  </si>
  <si>
    <t>CES64_YorkCommunityActionGroup_CMP_092701</t>
  </si>
  <si>
    <t>Northrop</t>
  </si>
  <si>
    <t>BallCorp</t>
  </si>
  <si>
    <t>BK Fountain Valley Resturant</t>
  </si>
  <si>
    <t>Unwind Wendy's Partial</t>
  </si>
  <si>
    <t>Partial Unwind Tyco West</t>
  </si>
  <si>
    <t>Limited</t>
  </si>
  <si>
    <t>TABC</t>
  </si>
  <si>
    <t>Raytheon</t>
  </si>
  <si>
    <t>Metaldyne</t>
  </si>
  <si>
    <t>Balta Food Group</t>
  </si>
  <si>
    <t>Balta Resturant</t>
  </si>
  <si>
    <t>BD BioSciences - PGE Secondary</t>
  </si>
  <si>
    <t>Walmart</t>
  </si>
  <si>
    <t>Wendy's</t>
  </si>
  <si>
    <t>Starwood</t>
  </si>
  <si>
    <t>Intuit</t>
  </si>
  <si>
    <t>Tricon</t>
  </si>
  <si>
    <t>Jack in the Box 082901</t>
  </si>
  <si>
    <t>Wendy's_TX_Franchise_Additional_092601</t>
  </si>
  <si>
    <t>TX_MassMkt_HLP_092701</t>
  </si>
  <si>
    <t>TX_MassMkt_TXU_092701</t>
  </si>
  <si>
    <t>TX_MassMkt_TNPNorth_092701</t>
  </si>
  <si>
    <t>TX_MassMkt_TNPSouth_092701</t>
  </si>
  <si>
    <t>RiverTerminal_092801</t>
  </si>
  <si>
    <t>Leiserve_092101</t>
  </si>
  <si>
    <t>Cersosimo Lumber</t>
  </si>
  <si>
    <t>Wendys_TX_Franchise_092601</t>
  </si>
  <si>
    <t>MA_MassMkt_BECO_092701</t>
  </si>
  <si>
    <t>MA_MassMkt_MECO_092701</t>
  </si>
  <si>
    <t>MA_MassMkt_BECO_092401_Agg</t>
  </si>
  <si>
    <t>TX_MassMkt_TXU_092601</t>
  </si>
  <si>
    <t>TX_MassMkt_TXU_092501</t>
  </si>
  <si>
    <t>NY_MassMkt_092801</t>
  </si>
  <si>
    <t>Tx_MassMkt_TNPNorth_092601</t>
  </si>
  <si>
    <t>MA_MassMkt_MECO_092401_1</t>
  </si>
  <si>
    <t>CES64_Super8_NEPOOL_092601</t>
  </si>
  <si>
    <t>NY_MidMkt_Sage4</t>
  </si>
  <si>
    <t>NY_MidMkt_Sage3</t>
  </si>
  <si>
    <t>NY_MidMkt_Sage1</t>
  </si>
  <si>
    <t>NY_MidMkt_Sage2</t>
  </si>
  <si>
    <t>CES65_Sowbrookcondo_NEPOOL_092601</t>
  </si>
  <si>
    <t>CES65_NortheastWoodTurning_CMP_092801</t>
  </si>
  <si>
    <t>CES65_bangorTruck&amp;Trailer_CMP_092801</t>
  </si>
  <si>
    <t>CES65_HighChevroletBuick_CMP_092801</t>
  </si>
  <si>
    <t>TX_MidMkt_092801</t>
  </si>
  <si>
    <t>HSBC Financial Swap</t>
  </si>
  <si>
    <t>Lowes_092801</t>
  </si>
  <si>
    <t>MA_MassMkt_MECO_092801</t>
  </si>
  <si>
    <t>MA_MassMkt_BECO_092801</t>
  </si>
  <si>
    <t>TX_MassMkt_TNPNorth_092801</t>
  </si>
  <si>
    <t>NY_MassMkt_b</t>
  </si>
  <si>
    <t>NY_MidMkt_Sage5</t>
  </si>
  <si>
    <t>Toys R us</t>
  </si>
  <si>
    <t>Origination adjustment on recision rights</t>
  </si>
  <si>
    <t>Starwood Option unwind</t>
  </si>
  <si>
    <t>Brunswick</t>
  </si>
  <si>
    <t>Childrens Medical</t>
  </si>
  <si>
    <t>Morris</t>
  </si>
  <si>
    <t>Peerless_092001</t>
  </si>
  <si>
    <t>RodneyHunt_Batch02</t>
  </si>
  <si>
    <t>John Lane</t>
  </si>
  <si>
    <t>Beninson_091301</t>
  </si>
  <si>
    <t>NHE</t>
  </si>
  <si>
    <t>Leiserv_092101</t>
  </si>
  <si>
    <t>OakwoodLanes_092601</t>
  </si>
  <si>
    <t>Speedwash_091801</t>
  </si>
  <si>
    <t>Cypriania_092101</t>
  </si>
  <si>
    <t>HelfmanFord_Batch02</t>
  </si>
  <si>
    <t>HomeWoodSuites_092801</t>
  </si>
  <si>
    <t>LeadershipFord_091901</t>
  </si>
  <si>
    <t>MarsMusic_092401</t>
  </si>
  <si>
    <t>RiverOaks_Batch02</t>
  </si>
  <si>
    <t>SecondBaptistChurch_092401</t>
  </si>
  <si>
    <t>SouthernMultifoods_Additional_092001</t>
  </si>
  <si>
    <t>TravisAveBaptistChurch_091801</t>
  </si>
  <si>
    <t>GoodeCompany_092001</t>
  </si>
  <si>
    <t>Sourcing</t>
  </si>
  <si>
    <t>Owens Corning Power EAM (9/01)</t>
  </si>
  <si>
    <t>Owens Corning Gas EAM (9/01)</t>
  </si>
  <si>
    <t>Quebecor Power EAM (9/01)</t>
  </si>
  <si>
    <t>Quebecor Gas EAM (9/01)</t>
  </si>
  <si>
    <t>Harrah's Power 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</si>
</sst>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68" formatCode="_(* #,##0.000_);_(* \(#,##0.000\);_(* &quot;-&quot;??_);_(@_)"/>
  </numFmts>
  <fonts count="36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22"/>
      <name val="Arial"/>
      <family val="2"/>
    </font>
    <font>
      <b/>
      <i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sz val="12"/>
      <color indexed="8"/>
      <name val="Arial"/>
      <family val="2"/>
    </font>
    <font>
      <u/>
      <sz val="12"/>
      <name val="Arial"/>
      <family val="2"/>
    </font>
    <font>
      <i/>
      <sz val="12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i/>
      <u/>
      <sz val="12"/>
      <name val="Arial"/>
      <family val="2"/>
    </font>
    <font>
      <i/>
      <sz val="12"/>
      <color indexed="8"/>
      <name val="Arial"/>
      <family val="2"/>
    </font>
    <font>
      <i/>
      <u/>
      <sz val="12"/>
      <color indexed="8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i/>
      <sz val="12"/>
      <color indexed="8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22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</cellStyleXfs>
  <cellXfs count="549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Fill="1" applyBorder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2" borderId="0" xfId="0" applyFill="1" applyAlignment="1"/>
    <xf numFmtId="0" fontId="0" fillId="2" borderId="0" xfId="0" applyFill="1" applyBorder="1" applyAlignment="1"/>
    <xf numFmtId="165" fontId="0" fillId="0" borderId="0" xfId="0" applyNumberFormat="1" applyAlignment="1"/>
    <xf numFmtId="0" fontId="0" fillId="0" borderId="0" xfId="0" applyFill="1" applyBorder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6" fillId="3" borderId="3" xfId="0" applyFont="1" applyFill="1" applyBorder="1" applyAlignment="1">
      <alignment horizontal="center" vertical="center" wrapText="1"/>
    </xf>
    <xf numFmtId="0" fontId="8" fillId="3" borderId="4" xfId="4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166" fontId="6" fillId="0" borderId="5" xfId="1" applyNumberFormat="1" applyFont="1" applyFill="1" applyBorder="1" applyAlignment="1">
      <alignment horizontal="center" wrapText="1"/>
    </xf>
    <xf numFmtId="166" fontId="7" fillId="0" borderId="2" xfId="1" applyNumberFormat="1" applyFont="1" applyFill="1" applyBorder="1" applyAlignment="1">
      <alignment horizontal="center" wrapText="1"/>
    </xf>
    <xf numFmtId="166" fontId="6" fillId="0" borderId="2" xfId="1" applyNumberFormat="1" applyFont="1" applyFill="1" applyBorder="1" applyAlignment="1">
      <alignment horizontal="center" wrapText="1"/>
    </xf>
    <xf numFmtId="166" fontId="6" fillId="0" borderId="9" xfId="1" applyNumberFormat="1" applyFont="1" applyFill="1" applyBorder="1" applyAlignment="1">
      <alignment horizontal="center" wrapText="1"/>
    </xf>
    <xf numFmtId="0" fontId="11" fillId="0" borderId="3" xfId="0" applyFont="1" applyFill="1" applyBorder="1" applyAlignment="1">
      <alignment horizontal="left" wrapText="1"/>
    </xf>
    <xf numFmtId="0" fontId="11" fillId="0" borderId="10" xfId="0" applyFont="1" applyFill="1" applyBorder="1" applyAlignment="1">
      <alignment horizontal="left" wrapText="1"/>
    </xf>
    <xf numFmtId="166" fontId="6" fillId="0" borderId="10" xfId="1" applyNumberFormat="1" applyFont="1" applyFill="1" applyBorder="1" applyAlignment="1">
      <alignment horizontal="center" wrapText="1"/>
    </xf>
    <xf numFmtId="166" fontId="7" fillId="0" borderId="0" xfId="1" applyNumberFormat="1" applyFont="1" applyFill="1" applyBorder="1" applyAlignment="1">
      <alignment horizontal="center" wrapText="1"/>
    </xf>
    <xf numFmtId="166" fontId="6" fillId="0" borderId="0" xfId="1" applyNumberFormat="1" applyFont="1" applyFill="1" applyBorder="1" applyAlignment="1">
      <alignment horizontal="center" wrapText="1"/>
    </xf>
    <xf numFmtId="166" fontId="6" fillId="0" borderId="4" xfId="1" applyNumberFormat="1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left" wrapText="1"/>
    </xf>
    <xf numFmtId="0" fontId="7" fillId="0" borderId="10" xfId="0" applyFont="1" applyFill="1" applyBorder="1" applyAlignment="1">
      <alignment horizontal="left" wrapText="1"/>
    </xf>
    <xf numFmtId="166" fontId="7" fillId="0" borderId="10" xfId="1" applyNumberFormat="1" applyFont="1" applyFill="1" applyBorder="1" applyAlignment="1">
      <alignment horizontal="center" wrapText="1"/>
    </xf>
    <xf numFmtId="166" fontId="7" fillId="0" borderId="4" xfId="1" applyNumberFormat="1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left" wrapText="1" indent="1"/>
    </xf>
    <xf numFmtId="0" fontId="7" fillId="0" borderId="3" xfId="0" applyFont="1" applyFill="1" applyBorder="1" applyAlignment="1">
      <alignment horizontal="left" wrapText="1" indent="1"/>
    </xf>
    <xf numFmtId="166" fontId="7" fillId="0" borderId="11" xfId="1" applyNumberFormat="1" applyFont="1" applyFill="1" applyBorder="1" applyAlignment="1">
      <alignment horizontal="center" wrapText="1"/>
    </xf>
    <xf numFmtId="166" fontId="7" fillId="0" borderId="12" xfId="1" applyNumberFormat="1" applyFont="1" applyFill="1" applyBorder="1" applyAlignment="1">
      <alignment horizontal="center" wrapText="1"/>
    </xf>
    <xf numFmtId="166" fontId="7" fillId="0" borderId="13" xfId="1" applyNumberFormat="1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left" wrapText="1" indent="3"/>
    </xf>
    <xf numFmtId="166" fontId="7" fillId="0" borderId="0" xfId="1" applyNumberFormat="1" applyFont="1" applyFill="1" applyBorder="1" applyAlignment="1"/>
    <xf numFmtId="0" fontId="7" fillId="0" borderId="10" xfId="0" applyFont="1" applyFill="1" applyBorder="1" applyAlignment="1">
      <alignment wrapText="1"/>
    </xf>
    <xf numFmtId="0" fontId="13" fillId="0" borderId="10" xfId="5" applyFont="1" applyFill="1" applyBorder="1" applyAlignment="1">
      <alignment horizontal="left"/>
    </xf>
    <xf numFmtId="0" fontId="8" fillId="0" borderId="3" xfId="5" applyFont="1" applyFill="1" applyBorder="1" applyAlignment="1">
      <alignment horizontal="left"/>
    </xf>
    <xf numFmtId="166" fontId="13" fillId="0" borderId="10" xfId="1" applyNumberFormat="1" applyFont="1" applyFill="1" applyBorder="1" applyAlignment="1">
      <alignment horizontal="left"/>
    </xf>
    <xf numFmtId="0" fontId="6" fillId="0" borderId="0" xfId="0" applyFont="1" applyFill="1" applyBorder="1"/>
    <xf numFmtId="0" fontId="13" fillId="0" borderId="3" xfId="5" applyFont="1" applyFill="1" applyBorder="1" applyAlignment="1">
      <alignment horizontal="left" indent="2"/>
    </xf>
    <xf numFmtId="16" fontId="13" fillId="0" borderId="10" xfId="5" applyNumberFormat="1" applyFont="1" applyFill="1" applyBorder="1" applyAlignment="1">
      <alignment horizontal="left"/>
    </xf>
    <xf numFmtId="0" fontId="13" fillId="0" borderId="3" xfId="5" applyFont="1" applyFill="1" applyBorder="1" applyAlignment="1">
      <alignment horizontal="left"/>
    </xf>
    <xf numFmtId="166" fontId="7" fillId="0" borderId="10" xfId="1" applyNumberFormat="1" applyFont="1" applyFill="1" applyBorder="1" applyAlignment="1"/>
    <xf numFmtId="166" fontId="7" fillId="0" borderId="4" xfId="1" applyNumberFormat="1" applyFont="1" applyFill="1" applyBorder="1" applyAlignment="1"/>
    <xf numFmtId="0" fontId="7" fillId="0" borderId="0" xfId="0" applyFont="1" applyFill="1" applyBorder="1"/>
    <xf numFmtId="0" fontId="7" fillId="0" borderId="3" xfId="0" applyFont="1" applyFill="1" applyBorder="1" applyAlignment="1"/>
    <xf numFmtId="16" fontId="13" fillId="4" borderId="10" xfId="5" applyNumberFormat="1" applyFont="1" applyFill="1" applyBorder="1" applyAlignment="1">
      <alignment horizontal="left"/>
    </xf>
    <xf numFmtId="0" fontId="7" fillId="0" borderId="3" xfId="5" applyFont="1" applyFill="1" applyBorder="1" applyAlignment="1">
      <alignment horizontal="left" indent="2"/>
    </xf>
    <xf numFmtId="0" fontId="11" fillId="0" borderId="3" xfId="5" applyFont="1" applyFill="1" applyBorder="1" applyAlignment="1">
      <alignment horizontal="left" indent="3"/>
    </xf>
    <xf numFmtId="0" fontId="7" fillId="0" borderId="0" xfId="5" applyFont="1" applyFill="1" applyBorder="1" applyAlignment="1">
      <alignment horizontal="left"/>
    </xf>
    <xf numFmtId="0" fontId="6" fillId="5" borderId="0" xfId="0" applyFont="1" applyFill="1" applyBorder="1"/>
    <xf numFmtId="0" fontId="7" fillId="0" borderId="3" xfId="0" applyFont="1" applyFill="1" applyBorder="1" applyAlignment="1">
      <alignment horizontal="left" wrapText="1" indent="3"/>
    </xf>
    <xf numFmtId="0" fontId="12" fillId="0" borderId="3" xfId="0" applyFont="1" applyFill="1" applyBorder="1" applyAlignment="1">
      <alignment horizontal="left" wrapText="1" indent="4"/>
    </xf>
    <xf numFmtId="0" fontId="12" fillId="0" borderId="3" xfId="0" applyFont="1" applyFill="1" applyBorder="1" applyAlignment="1">
      <alignment horizontal="left" wrapText="1" indent="2"/>
    </xf>
    <xf numFmtId="0" fontId="14" fillId="0" borderId="10" xfId="0" applyFont="1" applyFill="1" applyBorder="1" applyAlignment="1">
      <alignment horizontal="left" wrapText="1" indent="2"/>
    </xf>
    <xf numFmtId="0" fontId="14" fillId="0" borderId="10" xfId="0" applyFont="1" applyFill="1" applyBorder="1" applyAlignment="1">
      <alignment horizontal="left" wrapText="1" indent="1"/>
    </xf>
    <xf numFmtId="0" fontId="13" fillId="0" borderId="3" xfId="5" applyFont="1" applyFill="1" applyBorder="1" applyAlignment="1">
      <alignment horizontal="left" indent="3"/>
    </xf>
    <xf numFmtId="0" fontId="13" fillId="0" borderId="10" xfId="5" applyFont="1" applyFill="1" applyBorder="1" applyAlignment="1">
      <alignment horizontal="left" indent="3"/>
    </xf>
    <xf numFmtId="0" fontId="8" fillId="0" borderId="3" xfId="5" applyFont="1" applyFill="1" applyBorder="1" applyAlignment="1">
      <alignment horizontal="left" indent="3"/>
    </xf>
    <xf numFmtId="166" fontId="7" fillId="0" borderId="10" xfId="1" applyNumberFormat="1" applyFont="1" applyFill="1" applyBorder="1" applyAlignment="1">
      <alignment horizontal="left" indent="3"/>
    </xf>
    <xf numFmtId="166" fontId="7" fillId="0" borderId="0" xfId="1" applyNumberFormat="1" applyFont="1" applyFill="1" applyBorder="1" applyAlignment="1">
      <alignment horizontal="left" indent="3"/>
    </xf>
    <xf numFmtId="166" fontId="7" fillId="0" borderId="4" xfId="1" applyNumberFormat="1" applyFont="1" applyFill="1" applyBorder="1" applyAlignment="1">
      <alignment horizontal="left" indent="3"/>
    </xf>
    <xf numFmtId="0" fontId="6" fillId="0" borderId="0" xfId="0" applyFont="1" applyFill="1" applyBorder="1" applyAlignment="1">
      <alignment horizontal="left" indent="3"/>
    </xf>
    <xf numFmtId="0" fontId="13" fillId="0" borderId="0" xfId="5" applyFont="1" applyFill="1" applyBorder="1" applyAlignment="1">
      <alignment horizontal="left"/>
    </xf>
    <xf numFmtId="166" fontId="7" fillId="0" borderId="11" xfId="1" applyNumberFormat="1" applyFont="1" applyFill="1" applyBorder="1" applyAlignment="1"/>
    <xf numFmtId="166" fontId="7" fillId="0" borderId="12" xfId="1" applyNumberFormat="1" applyFont="1" applyFill="1" applyBorder="1" applyAlignment="1"/>
    <xf numFmtId="166" fontId="7" fillId="0" borderId="13" xfId="1" applyNumberFormat="1" applyFont="1" applyFill="1" applyBorder="1" applyAlignment="1"/>
    <xf numFmtId="0" fontId="15" fillId="0" borderId="10" xfId="0" applyFont="1" applyFill="1" applyBorder="1" applyAlignment="1">
      <alignment horizontal="left" wrapText="1" indent="4"/>
    </xf>
    <xf numFmtId="166" fontId="7" fillId="0" borderId="8" xfId="1" applyNumberFormat="1" applyFont="1" applyFill="1" applyBorder="1" applyAlignment="1">
      <alignment horizontal="center" wrapText="1"/>
    </xf>
    <xf numFmtId="166" fontId="7" fillId="0" borderId="7" xfId="1" applyNumberFormat="1" applyFont="1" applyFill="1" applyBorder="1" applyAlignment="1">
      <alignment horizontal="center" wrapText="1"/>
    </xf>
    <xf numFmtId="166" fontId="7" fillId="0" borderId="14" xfId="1" applyNumberFormat="1" applyFont="1" applyFill="1" applyBorder="1" applyAlignment="1">
      <alignment horizontal="center" wrapText="1"/>
    </xf>
    <xf numFmtId="0" fontId="11" fillId="0" borderId="3" xfId="0" applyFont="1" applyFill="1" applyBorder="1" applyAlignment="1">
      <alignment horizontal="left" indent="3"/>
    </xf>
    <xf numFmtId="0" fontId="11" fillId="0" borderId="10" xfId="0" applyFont="1" applyFill="1" applyBorder="1" applyAlignment="1">
      <alignment horizontal="left" indent="3"/>
    </xf>
    <xf numFmtId="0" fontId="11" fillId="0" borderId="3" xfId="0" applyFont="1" applyFill="1" applyBorder="1" applyAlignment="1"/>
    <xf numFmtId="166" fontId="16" fillId="0" borderId="10" xfId="1" applyNumberFormat="1" applyFont="1" applyFill="1" applyBorder="1" applyAlignment="1">
      <alignment horizontal="left"/>
    </xf>
    <xf numFmtId="166" fontId="16" fillId="0" borderId="0" xfId="1" applyNumberFormat="1" applyFont="1" applyFill="1" applyBorder="1" applyAlignment="1">
      <alignment horizontal="left"/>
    </xf>
    <xf numFmtId="166" fontId="16" fillId="0" borderId="4" xfId="1" applyNumberFormat="1" applyFont="1" applyFill="1" applyBorder="1" applyAlignment="1">
      <alignment horizontal="left"/>
    </xf>
    <xf numFmtId="0" fontId="11" fillId="0" borderId="0" xfId="0" applyFont="1" applyFill="1" applyBorder="1"/>
    <xf numFmtId="0" fontId="11" fillId="0" borderId="0" xfId="0" applyFont="1" applyFill="1"/>
    <xf numFmtId="0" fontId="11" fillId="0" borderId="10" xfId="0" applyFont="1" applyFill="1" applyBorder="1" applyAlignment="1"/>
    <xf numFmtId="0" fontId="18" fillId="0" borderId="3" xfId="0" applyFont="1" applyFill="1" applyBorder="1"/>
    <xf numFmtId="0" fontId="19" fillId="0" borderId="3" xfId="0" applyFont="1" applyFill="1" applyBorder="1" applyAlignment="1"/>
    <xf numFmtId="0" fontId="19" fillId="0" borderId="10" xfId="0" applyFont="1" applyFill="1" applyBorder="1" applyAlignment="1"/>
    <xf numFmtId="0" fontId="19" fillId="0" borderId="3" xfId="0" applyFont="1" applyFill="1" applyBorder="1" applyAlignment="1">
      <alignment horizontal="left" indent="1"/>
    </xf>
    <xf numFmtId="0" fontId="14" fillId="0" borderId="3" xfId="0" applyFont="1" applyFill="1" applyBorder="1" applyAlignment="1"/>
    <xf numFmtId="0" fontId="14" fillId="0" borderId="10" xfId="0" applyFont="1" applyFill="1" applyBorder="1" applyAlignment="1"/>
    <xf numFmtId="0" fontId="20" fillId="0" borderId="3" xfId="0" applyFont="1" applyFill="1" applyBorder="1" applyAlignment="1">
      <alignment horizontal="left" indent="2"/>
    </xf>
    <xf numFmtId="0" fontId="20" fillId="0" borderId="10" xfId="0" applyFont="1" applyFill="1" applyBorder="1" applyAlignment="1"/>
    <xf numFmtId="0" fontId="0" fillId="0" borderId="10" xfId="0" applyFill="1" applyBorder="1" applyAlignment="1"/>
    <xf numFmtId="0" fontId="0" fillId="0" borderId="3" xfId="0" applyFill="1" applyBorder="1" applyAlignment="1"/>
    <xf numFmtId="166" fontId="1" fillId="0" borderId="10" xfId="1" applyNumberFormat="1" applyFill="1" applyBorder="1" applyAlignment="1"/>
    <xf numFmtId="166" fontId="1" fillId="0" borderId="0" xfId="1" applyNumberFormat="1" applyFill="1" applyBorder="1" applyAlignment="1"/>
    <xf numFmtId="166" fontId="1" fillId="0" borderId="4" xfId="1" applyNumberFormat="1" applyFill="1" applyBorder="1" applyAlignment="1"/>
    <xf numFmtId="0" fontId="7" fillId="0" borderId="0" xfId="0" applyFont="1" applyFill="1" applyBorder="1" applyAlignment="1"/>
    <xf numFmtId="0" fontId="7" fillId="0" borderId="3" xfId="0" applyFont="1" applyBorder="1"/>
    <xf numFmtId="0" fontId="21" fillId="0" borderId="3" xfId="5" applyFont="1" applyFill="1" applyBorder="1" applyAlignment="1">
      <alignment horizontal="left" indent="1"/>
    </xf>
    <xf numFmtId="0" fontId="21" fillId="0" borderId="10" xfId="5" applyFont="1" applyFill="1" applyBorder="1" applyAlignment="1">
      <alignment horizontal="left" indent="1"/>
    </xf>
    <xf numFmtId="0" fontId="22" fillId="0" borderId="3" xfId="5" applyFont="1" applyFill="1" applyBorder="1" applyAlignment="1">
      <alignment horizontal="left" indent="2"/>
    </xf>
    <xf numFmtId="0" fontId="22" fillId="0" borderId="10" xfId="5" applyFont="1" applyFill="1" applyBorder="1" applyAlignment="1">
      <alignment horizontal="left"/>
    </xf>
    <xf numFmtId="0" fontId="7" fillId="0" borderId="0" xfId="0" applyFont="1" applyFill="1"/>
    <xf numFmtId="0" fontId="22" fillId="0" borderId="3" xfId="5" applyFont="1" applyFill="1" applyBorder="1" applyAlignment="1">
      <alignment horizontal="left"/>
    </xf>
    <xf numFmtId="0" fontId="8" fillId="0" borderId="10" xfId="5" applyFont="1" applyFill="1" applyBorder="1" applyAlignment="1">
      <alignment horizontal="left" indent="3"/>
    </xf>
    <xf numFmtId="0" fontId="21" fillId="0" borderId="3" xfId="5" applyFont="1" applyFill="1" applyBorder="1" applyAlignment="1">
      <alignment horizontal="left" indent="2"/>
    </xf>
    <xf numFmtId="166" fontId="13" fillId="0" borderId="15" xfId="1" applyNumberFormat="1" applyFont="1" applyFill="1" applyBorder="1" applyAlignment="1">
      <alignment horizontal="left"/>
    </xf>
    <xf numFmtId="166" fontId="13" fillId="0" borderId="16" xfId="1" applyNumberFormat="1" applyFont="1" applyFill="1" applyBorder="1" applyAlignment="1">
      <alignment horizontal="left"/>
    </xf>
    <xf numFmtId="166" fontId="7" fillId="0" borderId="17" xfId="1" applyNumberFormat="1" applyFont="1" applyFill="1" applyBorder="1" applyAlignment="1"/>
    <xf numFmtId="0" fontId="13" fillId="0" borderId="3" xfId="5" applyFont="1" applyFill="1" applyBorder="1" applyAlignment="1">
      <alignment horizontal="left" indent="1"/>
    </xf>
    <xf numFmtId="0" fontId="13" fillId="0" borderId="10" xfId="5" applyFont="1" applyFill="1" applyBorder="1" applyAlignment="1">
      <alignment horizontal="left" indent="1"/>
    </xf>
    <xf numFmtId="0" fontId="23" fillId="0" borderId="10" xfId="5" applyFont="1" applyFill="1" applyBorder="1" applyAlignment="1">
      <alignment horizontal="left"/>
    </xf>
    <xf numFmtId="0" fontId="23" fillId="0" borderId="3" xfId="5" applyFont="1" applyFill="1" applyBorder="1" applyAlignment="1">
      <alignment horizontal="left"/>
    </xf>
    <xf numFmtId="0" fontId="13" fillId="6" borderId="3" xfId="5" applyFont="1" applyFill="1" applyBorder="1" applyAlignment="1">
      <alignment horizontal="left" indent="3"/>
    </xf>
    <xf numFmtId="0" fontId="13" fillId="6" borderId="10" xfId="5" applyFont="1" applyFill="1" applyBorder="1" applyAlignment="1">
      <alignment horizontal="left"/>
    </xf>
    <xf numFmtId="0" fontId="13" fillId="6" borderId="3" xfId="5" applyFont="1" applyFill="1" applyBorder="1" applyAlignment="1">
      <alignment horizontal="left"/>
    </xf>
    <xf numFmtId="166" fontId="7" fillId="6" borderId="10" xfId="1" applyNumberFormat="1" applyFont="1" applyFill="1" applyBorder="1" applyAlignment="1"/>
    <xf numFmtId="166" fontId="7" fillId="6" borderId="0" xfId="1" applyNumberFormat="1" applyFont="1" applyFill="1" applyBorder="1" applyAlignment="1"/>
    <xf numFmtId="166" fontId="7" fillId="6" borderId="4" xfId="1" applyNumberFormat="1" applyFont="1" applyFill="1" applyBorder="1" applyAlignment="1"/>
    <xf numFmtId="16" fontId="13" fillId="6" borderId="10" xfId="5" applyNumberFormat="1" applyFont="1" applyFill="1" applyBorder="1" applyAlignment="1">
      <alignment horizontal="left"/>
    </xf>
    <xf numFmtId="0" fontId="23" fillId="0" borderId="3" xfId="5" applyFont="1" applyFill="1" applyBorder="1" applyAlignment="1">
      <alignment horizontal="left" indent="1"/>
    </xf>
    <xf numFmtId="0" fontId="7" fillId="0" borderId="10" xfId="0" applyFont="1" applyFill="1" applyBorder="1" applyAlignment="1">
      <alignment horizontal="left" indent="1"/>
    </xf>
    <xf numFmtId="0" fontId="13" fillId="6" borderId="3" xfId="5" applyFont="1" applyFill="1" applyBorder="1" applyAlignment="1">
      <alignment horizontal="left" indent="6"/>
    </xf>
    <xf numFmtId="0" fontId="13" fillId="6" borderId="0" xfId="5" applyFont="1" applyFill="1" applyBorder="1" applyAlignment="1">
      <alignment horizontal="left"/>
    </xf>
    <xf numFmtId="0" fontId="13" fillId="0" borderId="3" xfId="5" applyFont="1" applyFill="1" applyBorder="1" applyAlignment="1">
      <alignment horizontal="left" indent="6"/>
    </xf>
    <xf numFmtId="0" fontId="16" fillId="0" borderId="3" xfId="5" applyFont="1" applyFill="1" applyBorder="1" applyAlignment="1">
      <alignment horizontal="left" indent="3"/>
    </xf>
    <xf numFmtId="166" fontId="13" fillId="0" borderId="1" xfId="1" applyNumberFormat="1" applyFont="1" applyFill="1" applyBorder="1" applyAlignment="1">
      <alignment horizontal="left"/>
    </xf>
    <xf numFmtId="166" fontId="7" fillId="0" borderId="15" xfId="1" applyNumberFormat="1" applyFont="1" applyFill="1" applyBorder="1" applyAlignment="1"/>
    <xf numFmtId="166" fontId="7" fillId="0" borderId="16" xfId="1" applyNumberFormat="1" applyFont="1" applyFill="1" applyBorder="1" applyAlignment="1"/>
    <xf numFmtId="166" fontId="13" fillId="0" borderId="3" xfId="1" applyNumberFormat="1" applyFont="1" applyFill="1" applyBorder="1" applyAlignment="1">
      <alignment horizontal="left"/>
    </xf>
    <xf numFmtId="166" fontId="13" fillId="0" borderId="18" xfId="1" applyNumberFormat="1" applyFont="1" applyFill="1" applyBorder="1" applyAlignment="1">
      <alignment horizontal="left"/>
    </xf>
    <xf numFmtId="0" fontId="23" fillId="0" borderId="3" xfId="5" applyFont="1" applyFill="1" applyBorder="1" applyAlignment="1">
      <alignment horizontal="left" indent="2"/>
    </xf>
    <xf numFmtId="0" fontId="13" fillId="0" borderId="10" xfId="5" applyFont="1" applyFill="1" applyBorder="1" applyAlignment="1"/>
    <xf numFmtId="166" fontId="7" fillId="0" borderId="6" xfId="1" applyNumberFormat="1" applyFont="1" applyFill="1" applyBorder="1" applyAlignment="1"/>
    <xf numFmtId="0" fontId="8" fillId="0" borderId="10" xfId="5" applyFont="1" applyFill="1" applyBorder="1" applyAlignment="1">
      <alignment horizontal="left" indent="2"/>
    </xf>
    <xf numFmtId="166" fontId="6" fillId="0" borderId="7" xfId="1" applyNumberFormat="1" applyFont="1" applyFill="1" applyBorder="1" applyAlignment="1"/>
    <xf numFmtId="166" fontId="6" fillId="0" borderId="14" xfId="1" applyNumberFormat="1" applyFont="1" applyFill="1" applyBorder="1" applyAlignment="1"/>
    <xf numFmtId="0" fontId="16" fillId="0" borderId="10" xfId="5" applyFont="1" applyFill="1" applyBorder="1" applyAlignment="1">
      <alignment horizontal="left" indent="3"/>
    </xf>
    <xf numFmtId="0" fontId="16" fillId="0" borderId="3" xfId="5" applyFont="1" applyFill="1" applyBorder="1" applyAlignment="1">
      <alignment horizontal="left"/>
    </xf>
    <xf numFmtId="166" fontId="16" fillId="0" borderId="1" xfId="1" applyNumberFormat="1" applyFont="1" applyFill="1" applyBorder="1" applyAlignment="1">
      <alignment horizontal="left"/>
    </xf>
    <xf numFmtId="166" fontId="16" fillId="0" borderId="3" xfId="1" applyNumberFormat="1" applyFont="1" applyFill="1" applyBorder="1" applyAlignment="1">
      <alignment horizontal="left"/>
    </xf>
    <xf numFmtId="0" fontId="13" fillId="0" borderId="3" xfId="5" applyFont="1" applyFill="1" applyBorder="1" applyAlignment="1"/>
    <xf numFmtId="166" fontId="13" fillId="0" borderId="0" xfId="1" applyNumberFormat="1" applyFont="1" applyFill="1" applyBorder="1" applyAlignment="1">
      <alignment horizontal="left"/>
    </xf>
    <xf numFmtId="166" fontId="13" fillId="0" borderId="4" xfId="1" applyNumberFormat="1" applyFont="1" applyFill="1" applyBorder="1" applyAlignment="1">
      <alignment horizontal="left"/>
    </xf>
    <xf numFmtId="0" fontId="17" fillId="0" borderId="0" xfId="0" applyFont="1" applyFill="1" applyBorder="1"/>
    <xf numFmtId="0" fontId="16" fillId="0" borderId="10" xfId="5" applyFont="1" applyFill="1" applyBorder="1" applyAlignment="1">
      <alignment horizontal="left"/>
    </xf>
    <xf numFmtId="0" fontId="24" fillId="0" borderId="19" xfId="4" applyFont="1" applyFill="1" applyBorder="1" applyAlignment="1">
      <alignment horizontal="left" wrapText="1"/>
    </xf>
    <xf numFmtId="166" fontId="7" fillId="0" borderId="3" xfId="1" applyNumberFormat="1" applyFont="1" applyFill="1" applyBorder="1" applyAlignment="1"/>
    <xf numFmtId="166" fontId="13" fillId="0" borderId="20" xfId="1" applyNumberFormat="1" applyFont="1" applyFill="1" applyBorder="1" applyAlignment="1">
      <alignment horizontal="left"/>
    </xf>
    <xf numFmtId="166" fontId="7" fillId="0" borderId="8" xfId="1" applyNumberFormat="1" applyFont="1" applyFill="1" applyBorder="1" applyAlignment="1"/>
    <xf numFmtId="166" fontId="7" fillId="0" borderId="7" xfId="1" applyNumberFormat="1" applyFont="1" applyFill="1" applyBorder="1" applyAlignment="1"/>
    <xf numFmtId="166" fontId="7" fillId="0" borderId="14" xfId="1" applyNumberFormat="1" applyFont="1" applyFill="1" applyBorder="1" applyAlignment="1"/>
    <xf numFmtId="166" fontId="11" fillId="0" borderId="10" xfId="1" applyNumberFormat="1" applyFont="1" applyFill="1" applyBorder="1" applyAlignment="1"/>
    <xf numFmtId="166" fontId="11" fillId="0" borderId="0" xfId="1" applyNumberFormat="1" applyFont="1" applyFill="1" applyBorder="1" applyAlignment="1"/>
    <xf numFmtId="166" fontId="11" fillId="0" borderId="4" xfId="1" applyNumberFormat="1" applyFont="1" applyFill="1" applyBorder="1" applyAlignment="1"/>
    <xf numFmtId="0" fontId="13" fillId="0" borderId="6" xfId="5" applyFont="1" applyFill="1" applyBorder="1" applyAlignment="1">
      <alignment horizontal="left" indent="1"/>
    </xf>
    <xf numFmtId="0" fontId="13" fillId="0" borderId="8" xfId="5" applyFont="1" applyFill="1" applyBorder="1" applyAlignment="1">
      <alignment horizontal="left" indent="1"/>
    </xf>
    <xf numFmtId="0" fontId="7" fillId="0" borderId="6" xfId="0" applyFont="1" applyBorder="1" applyAlignment="1"/>
    <xf numFmtId="166" fontId="7" fillId="0" borderId="7" xfId="1" applyNumberFormat="1" applyFont="1" applyBorder="1" applyAlignment="1"/>
    <xf numFmtId="166" fontId="7" fillId="0" borderId="14" xfId="1" applyNumberFormat="1" applyFont="1" applyBorder="1" applyAlignment="1"/>
    <xf numFmtId="0" fontId="18" fillId="0" borderId="0" xfId="0" applyFont="1" applyFill="1" applyBorder="1"/>
    <xf numFmtId="0" fontId="11" fillId="3" borderId="21" xfId="0" applyFont="1" applyFill="1" applyBorder="1" applyAlignment="1"/>
    <xf numFmtId="0" fontId="11" fillId="3" borderId="22" xfId="0" applyFont="1" applyFill="1" applyBorder="1" applyAlignment="1"/>
    <xf numFmtId="165" fontId="11" fillId="3" borderId="22" xfId="3" applyNumberFormat="1" applyFont="1" applyFill="1" applyBorder="1" applyAlignment="1"/>
    <xf numFmtId="165" fontId="11" fillId="3" borderId="23" xfId="3" applyNumberFormat="1" applyFont="1" applyFill="1" applyBorder="1" applyAlignment="1"/>
    <xf numFmtId="165" fontId="11" fillId="3" borderId="24" xfId="3" applyNumberFormat="1" applyFont="1" applyFill="1" applyBorder="1" applyAlignment="1"/>
    <xf numFmtId="0" fontId="11" fillId="0" borderId="23" xfId="0" applyFont="1" applyFill="1" applyBorder="1" applyAlignment="1"/>
    <xf numFmtId="165" fontId="11" fillId="0" borderId="23" xfId="3" applyNumberFormat="1" applyFont="1" applyFill="1" applyBorder="1" applyAlignment="1"/>
    <xf numFmtId="0" fontId="11" fillId="3" borderId="23" xfId="0" applyFont="1" applyFill="1" applyBorder="1" applyAlignment="1"/>
    <xf numFmtId="165" fontId="11" fillId="3" borderId="21" xfId="3" applyNumberFormat="1" applyFont="1" applyFill="1" applyBorder="1" applyAlignment="1"/>
    <xf numFmtId="0" fontId="16" fillId="3" borderId="21" xfId="5" applyFont="1" applyFill="1" applyBorder="1" applyAlignment="1">
      <alignment horizontal="left" indent="3"/>
    </xf>
    <xf numFmtId="0" fontId="16" fillId="3" borderId="23" xfId="5" applyFont="1" applyFill="1" applyBorder="1" applyAlignment="1">
      <alignment horizontal="left" indent="3"/>
    </xf>
    <xf numFmtId="0" fontId="0" fillId="3" borderId="23" xfId="0" applyFill="1" applyBorder="1" applyAlignment="1"/>
    <xf numFmtId="166" fontId="1" fillId="0" borderId="0" xfId="1" applyNumberFormat="1" applyFill="1" applyAlignment="1"/>
    <xf numFmtId="0" fontId="18" fillId="7" borderId="0" xfId="0" applyFont="1" applyFill="1" applyAlignment="1"/>
    <xf numFmtId="0" fontId="25" fillId="4" borderId="0" xfId="0" applyFont="1" applyFill="1" applyAlignment="1"/>
    <xf numFmtId="0" fontId="18" fillId="7" borderId="0" xfId="0" applyFont="1" applyFill="1" applyBorder="1" applyAlignment="1"/>
    <xf numFmtId="0" fontId="0" fillId="8" borderId="0" xfId="0" applyFill="1" applyBorder="1" applyAlignment="1"/>
    <xf numFmtId="0" fontId="26" fillId="0" borderId="0" xfId="0" applyFont="1" applyFill="1"/>
    <xf numFmtId="0" fontId="16" fillId="0" borderId="0" xfId="5" applyFont="1" applyFill="1" applyBorder="1" applyAlignment="1">
      <alignment horizontal="left" indent="3"/>
    </xf>
    <xf numFmtId="165" fontId="11" fillId="0" borderId="3" xfId="3" applyNumberFormat="1" applyFont="1" applyFill="1" applyBorder="1"/>
    <xf numFmtId="0" fontId="0" fillId="3" borderId="23" xfId="0" applyFill="1" applyBorder="1"/>
    <xf numFmtId="165" fontId="11" fillId="3" borderId="21" xfId="3" applyNumberFormat="1" applyFont="1" applyFill="1" applyBorder="1"/>
    <xf numFmtId="165" fontId="11" fillId="0" borderId="0" xfId="3" applyNumberFormat="1" applyFont="1" applyFill="1" applyBorder="1"/>
    <xf numFmtId="0" fontId="0" fillId="0" borderId="0" xfId="0" applyFill="1" applyAlignment="1"/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13" fillId="0" borderId="1" xfId="5" applyFont="1" applyFill="1" applyBorder="1" applyAlignment="1">
      <alignment horizontal="left"/>
    </xf>
    <xf numFmtId="0" fontId="6" fillId="0" borderId="0" xfId="0" applyFont="1" applyFill="1" applyBorder="1" applyAlignment="1"/>
    <xf numFmtId="166" fontId="13" fillId="0" borderId="3" xfId="1" applyNumberFormat="1" applyFont="1" applyFill="1" applyBorder="1" applyAlignment="1">
      <alignment horizontal="right"/>
    </xf>
    <xf numFmtId="166" fontId="7" fillId="0" borderId="1" xfId="1" applyNumberFormat="1" applyFont="1" applyFill="1" applyBorder="1" applyAlignment="1"/>
    <xf numFmtId="0" fontId="27" fillId="0" borderId="5" xfId="5" applyFont="1" applyFill="1" applyBorder="1" applyAlignment="1">
      <alignment horizontal="left"/>
    </xf>
    <xf numFmtId="0" fontId="6" fillId="0" borderId="2" xfId="0" applyFont="1" applyFill="1" applyBorder="1" applyAlignment="1"/>
    <xf numFmtId="166" fontId="13" fillId="0" borderId="1" xfId="1" applyNumberFormat="1" applyFont="1" applyFill="1" applyBorder="1" applyAlignment="1">
      <alignment horizontal="right"/>
    </xf>
    <xf numFmtId="166" fontId="7" fillId="0" borderId="2" xfId="1" applyNumberFormat="1" applyFont="1" applyFill="1" applyBorder="1" applyAlignment="1"/>
    <xf numFmtId="166" fontId="13" fillId="0" borderId="20" xfId="1" applyNumberFormat="1" applyFont="1" applyFill="1" applyBorder="1" applyAlignment="1">
      <alignment horizontal="right"/>
    </xf>
    <xf numFmtId="0" fontId="0" fillId="0" borderId="8" xfId="0" applyBorder="1" applyAlignment="1"/>
    <xf numFmtId="0" fontId="0" fillId="0" borderId="6" xfId="0" applyBorder="1" applyAlignment="1"/>
    <xf numFmtId="0" fontId="0" fillId="0" borderId="14" xfId="0" applyBorder="1" applyAlignment="1"/>
    <xf numFmtId="166" fontId="7" fillId="0" borderId="6" xfId="1" applyNumberFormat="1" applyFont="1" applyFill="1" applyBorder="1" applyAlignment="1">
      <alignment horizontal="right"/>
    </xf>
    <xf numFmtId="0" fontId="7" fillId="0" borderId="0" xfId="0" applyFont="1" applyBorder="1" applyAlignment="1"/>
    <xf numFmtId="0" fontId="21" fillId="3" borderId="6" xfId="5" applyFont="1" applyFill="1" applyBorder="1" applyAlignment="1">
      <alignment horizontal="left" indent="1"/>
    </xf>
    <xf numFmtId="0" fontId="21" fillId="3" borderId="7" xfId="5" applyFont="1" applyFill="1" applyBorder="1" applyAlignment="1">
      <alignment horizontal="left" indent="1"/>
    </xf>
    <xf numFmtId="0" fontId="0" fillId="3" borderId="7" xfId="0" applyFill="1" applyBorder="1" applyAlignment="1"/>
    <xf numFmtId="166" fontId="7" fillId="3" borderId="21" xfId="1" applyNumberFormat="1" applyFont="1" applyFill="1" applyBorder="1" applyAlignment="1"/>
    <xf numFmtId="0" fontId="21" fillId="0" borderId="0" xfId="5" applyFont="1" applyFill="1" applyBorder="1" applyAlignment="1">
      <alignment horizontal="left"/>
    </xf>
    <xf numFmtId="166" fontId="7" fillId="0" borderId="0" xfId="1" applyNumberFormat="1" applyFont="1" applyFill="1" applyBorder="1" applyAlignment="1">
      <alignment horizontal="center"/>
    </xf>
    <xf numFmtId="0" fontId="12" fillId="0" borderId="10" xfId="5" applyFont="1" applyFill="1" applyBorder="1" applyAlignment="1">
      <alignment horizontal="left" wrapText="1"/>
    </xf>
    <xf numFmtId="0" fontId="12" fillId="0" borderId="0" xfId="5" applyFont="1" applyFill="1" applyBorder="1" applyAlignment="1">
      <alignment horizontal="center" wrapText="1"/>
    </xf>
    <xf numFmtId="0" fontId="12" fillId="0" borderId="4" xfId="5" applyFont="1" applyFill="1" applyBorder="1" applyAlignment="1">
      <alignment horizontal="center" wrapText="1"/>
    </xf>
    <xf numFmtId="0" fontId="28" fillId="0" borderId="10" xfId="5" applyFont="1" applyFill="1" applyBorder="1" applyAlignment="1">
      <alignment horizontal="left" wrapText="1" indent="2"/>
    </xf>
    <xf numFmtId="166" fontId="0" fillId="0" borderId="4" xfId="0" applyNumberFormat="1" applyFill="1" applyBorder="1" applyAlignment="1"/>
    <xf numFmtId="166" fontId="0" fillId="0" borderId="4" xfId="0" applyNumberFormat="1" applyBorder="1" applyAlignment="1"/>
    <xf numFmtId="166" fontId="28" fillId="0" borderId="4" xfId="1" applyNumberFormat="1" applyFont="1" applyFill="1" applyBorder="1" applyAlignment="1">
      <alignment horizontal="left" wrapText="1"/>
    </xf>
    <xf numFmtId="0" fontId="0" fillId="9" borderId="0" xfId="0" applyFill="1" applyBorder="1" applyAlignment="1"/>
    <xf numFmtId="166" fontId="0" fillId="0" borderId="13" xfId="0" applyNumberFormat="1" applyFill="1" applyBorder="1" applyAlignment="1"/>
    <xf numFmtId="0" fontId="28" fillId="0" borderId="10" xfId="5" applyFont="1" applyFill="1" applyBorder="1" applyAlignment="1">
      <alignment horizontal="left" wrapText="1" indent="1"/>
    </xf>
    <xf numFmtId="0" fontId="29" fillId="0" borderId="10" xfId="5" applyFont="1" applyFill="1" applyBorder="1" applyAlignment="1">
      <alignment horizontal="left" wrapText="1" indent="1"/>
    </xf>
    <xf numFmtId="166" fontId="0" fillId="0" borderId="13" xfId="0" applyNumberFormat="1" applyBorder="1" applyAlignment="1"/>
    <xf numFmtId="0" fontId="29" fillId="0" borderId="10" xfId="5" applyFont="1" applyFill="1" applyBorder="1" applyAlignment="1">
      <alignment horizontal="left" wrapText="1" indent="2"/>
    </xf>
    <xf numFmtId="166" fontId="5" fillId="0" borderId="4" xfId="0" applyNumberFormat="1" applyFont="1" applyBorder="1" applyAlignment="1"/>
    <xf numFmtId="0" fontId="28" fillId="0" borderId="10" xfId="5" applyFont="1" applyFill="1" applyBorder="1" applyAlignment="1">
      <alignment horizontal="left" wrapText="1" indent="3"/>
    </xf>
    <xf numFmtId="0" fontId="28" fillId="0" borderId="10" xfId="5" applyFont="1" applyFill="1" applyBorder="1" applyAlignment="1">
      <alignment horizontal="left" wrapText="1" indent="4"/>
    </xf>
    <xf numFmtId="166" fontId="5" fillId="0" borderId="25" xfId="0" applyNumberFormat="1" applyFont="1" applyBorder="1" applyAlignment="1"/>
    <xf numFmtId="0" fontId="29" fillId="0" borderId="10" xfId="5" applyFont="1" applyFill="1" applyBorder="1" applyAlignment="1">
      <alignment horizontal="left" wrapText="1" indent="4"/>
    </xf>
    <xf numFmtId="0" fontId="29" fillId="0" borderId="10" xfId="5" applyFont="1" applyFill="1" applyBorder="1" applyAlignment="1"/>
    <xf numFmtId="0" fontId="30" fillId="0" borderId="8" xfId="5" applyFont="1" applyFill="1" applyBorder="1" applyAlignment="1"/>
    <xf numFmtId="0" fontId="0" fillId="0" borderId="7" xfId="0" applyBorder="1" applyAlignment="1"/>
    <xf numFmtId="166" fontId="5" fillId="0" borderId="14" xfId="0" applyNumberFormat="1" applyFont="1" applyBorder="1" applyAlignment="1"/>
    <xf numFmtId="0" fontId="18" fillId="0" borderId="0" xfId="0" applyFont="1" applyAlignment="1"/>
    <xf numFmtId="0" fontId="5" fillId="0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6" fillId="3" borderId="1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31" fillId="0" borderId="0" xfId="0" applyFont="1" applyAlignment="1"/>
    <xf numFmtId="0" fontId="31" fillId="0" borderId="3" xfId="0" applyFont="1" applyFill="1" applyBorder="1"/>
    <xf numFmtId="0" fontId="32" fillId="3" borderId="21" xfId="0" applyFont="1" applyFill="1" applyBorder="1" applyAlignment="1">
      <alignment horizontal="center" wrapText="1"/>
    </xf>
    <xf numFmtId="0" fontId="31" fillId="0" borderId="0" xfId="0" applyFont="1" applyFill="1" applyAlignment="1">
      <alignment wrapText="1"/>
    </xf>
    <xf numFmtId="0" fontId="8" fillId="3" borderId="3" xfId="4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1" fillId="0" borderId="3" xfId="0" applyFont="1" applyFill="1" applyBorder="1" applyAlignment="1">
      <alignment wrapText="1"/>
    </xf>
    <xf numFmtId="0" fontId="32" fillId="3" borderId="1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32" fillId="0" borderId="3" xfId="0" applyFont="1" applyFill="1" applyBorder="1" applyAlignment="1">
      <alignment horizontal="center" wrapText="1"/>
    </xf>
    <xf numFmtId="0" fontId="32" fillId="3" borderId="6" xfId="0" applyFont="1" applyFill="1" applyBorder="1" applyAlignment="1">
      <alignment horizontal="center" wrapText="1"/>
    </xf>
    <xf numFmtId="0" fontId="31" fillId="3" borderId="6" xfId="0" applyFont="1" applyFill="1" applyBorder="1" applyAlignment="1">
      <alignment wrapText="1"/>
    </xf>
    <xf numFmtId="0" fontId="10" fillId="3" borderId="6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0" xfId="0" applyBorder="1"/>
    <xf numFmtId="0" fontId="32" fillId="0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32" fillId="0" borderId="9" xfId="0" applyFont="1" applyFill="1" applyBorder="1" applyAlignment="1">
      <alignment horizontal="center" wrapText="1"/>
    </xf>
    <xf numFmtId="0" fontId="0" fillId="0" borderId="3" xfId="0" applyBorder="1"/>
    <xf numFmtId="0" fontId="19" fillId="0" borderId="3" xfId="0" applyFont="1" applyBorder="1"/>
    <xf numFmtId="0" fontId="7" fillId="0" borderId="0" xfId="0" applyFont="1" applyBorder="1"/>
    <xf numFmtId="0" fontId="6" fillId="0" borderId="3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7" fillId="0" borderId="0" xfId="0" applyFont="1"/>
    <xf numFmtId="0" fontId="6" fillId="0" borderId="4" xfId="0" applyFont="1" applyFill="1" applyBorder="1" applyAlignment="1">
      <alignment horizontal="center" wrapText="1"/>
    </xf>
    <xf numFmtId="0" fontId="33" fillId="0" borderId="3" xfId="0" applyFont="1" applyBorder="1"/>
    <xf numFmtId="0" fontId="32" fillId="0" borderId="4" xfId="0" applyFont="1" applyFill="1" applyBorder="1" applyAlignment="1">
      <alignment horizontal="center" wrapText="1"/>
    </xf>
    <xf numFmtId="166" fontId="31" fillId="0" borderId="3" xfId="0" applyNumberFormat="1" applyFont="1" applyFill="1" applyBorder="1" applyAlignment="1">
      <alignment horizontal="center" vertical="center" wrapText="1"/>
    </xf>
    <xf numFmtId="166" fontId="0" fillId="0" borderId="0" xfId="0" applyNumberFormat="1" applyBorder="1"/>
    <xf numFmtId="166" fontId="0" fillId="0" borderId="4" xfId="0" applyNumberFormat="1" applyBorder="1"/>
    <xf numFmtId="0" fontId="34" fillId="0" borderId="10" xfId="0" applyFont="1" applyBorder="1"/>
    <xf numFmtId="166" fontId="1" fillId="0" borderId="0" xfId="1" applyNumberFormat="1" applyBorder="1" applyAlignment="1">
      <alignment horizontal="right"/>
    </xf>
    <xf numFmtId="0" fontId="0" fillId="0" borderId="10" xfId="0" applyBorder="1"/>
    <xf numFmtId="166" fontId="31" fillId="0" borderId="0" xfId="1" applyNumberFormat="1" applyFont="1" applyFill="1" applyBorder="1"/>
    <xf numFmtId="166" fontId="31" fillId="0" borderId="0" xfId="1" applyNumberFormat="1" applyFont="1" applyFill="1" applyBorder="1" applyAlignment="1">
      <alignment horizontal="right"/>
    </xf>
    <xf numFmtId="166" fontId="31" fillId="0" borderId="4" xfId="1" applyNumberFormat="1" applyFont="1" applyFill="1" applyBorder="1"/>
    <xf numFmtId="43" fontId="32" fillId="0" borderId="3" xfId="0" applyNumberFormat="1" applyFont="1" applyFill="1" applyBorder="1" applyAlignment="1">
      <alignment horizontal="center" vertical="center" wrapText="1"/>
    </xf>
    <xf numFmtId="43" fontId="31" fillId="0" borderId="0" xfId="1" applyNumberFormat="1" applyFont="1" applyFill="1" applyBorder="1"/>
    <xf numFmtId="43" fontId="31" fillId="0" borderId="3" xfId="1" applyNumberFormat="1" applyFont="1" applyFill="1" applyBorder="1"/>
    <xf numFmtId="167" fontId="31" fillId="0" borderId="0" xfId="1" applyNumberFormat="1" applyFont="1" applyFill="1" applyBorder="1"/>
    <xf numFmtId="167" fontId="31" fillId="0" borderId="0" xfId="1" applyNumberFormat="1" applyFont="1" applyFill="1" applyBorder="1" applyAlignment="1">
      <alignment horizontal="right"/>
    </xf>
    <xf numFmtId="167" fontId="31" fillId="0" borderId="4" xfId="1" applyNumberFormat="1" applyFont="1" applyFill="1" applyBorder="1"/>
    <xf numFmtId="166" fontId="32" fillId="0" borderId="3" xfId="1" applyNumberFormat="1" applyFont="1" applyFill="1" applyBorder="1" applyAlignment="1">
      <alignment horizontal="center" vertical="center" wrapText="1"/>
    </xf>
    <xf numFmtId="166" fontId="31" fillId="0" borderId="3" xfId="1" applyNumberFormat="1" applyFont="1" applyFill="1" applyBorder="1"/>
    <xf numFmtId="0" fontId="0" fillId="0" borderId="10" xfId="0" applyFill="1" applyBorder="1"/>
    <xf numFmtId="0" fontId="0" fillId="0" borderId="5" xfId="0" applyBorder="1"/>
    <xf numFmtId="0" fontId="0" fillId="0" borderId="2" xfId="0" applyBorder="1"/>
    <xf numFmtId="166" fontId="31" fillId="0" borderId="1" xfId="1" applyNumberFormat="1" applyFont="1" applyFill="1" applyBorder="1" applyAlignment="1">
      <alignment horizontal="center" vertical="center" wrapText="1"/>
    </xf>
    <xf numFmtId="166" fontId="31" fillId="0" borderId="2" xfId="1" applyNumberFormat="1" applyFont="1" applyFill="1" applyBorder="1"/>
    <xf numFmtId="166" fontId="31" fillId="0" borderId="9" xfId="1" applyNumberFormat="1" applyFont="1" applyFill="1" applyBorder="1"/>
    <xf numFmtId="166" fontId="31" fillId="0" borderId="3" xfId="1" applyNumberFormat="1" applyFont="1" applyFill="1" applyBorder="1" applyAlignment="1">
      <alignment horizontal="center" vertical="center" wrapText="1"/>
    </xf>
    <xf numFmtId="0" fontId="0" fillId="0" borderId="7" xfId="0" applyBorder="1"/>
    <xf numFmtId="166" fontId="31" fillId="0" borderId="6" xfId="0" applyNumberFormat="1" applyFont="1" applyFill="1" applyBorder="1" applyAlignment="1">
      <alignment horizontal="center" vertical="center" wrapText="1"/>
    </xf>
    <xf numFmtId="166" fontId="31" fillId="0" borderId="7" xfId="1" applyNumberFormat="1" applyFont="1" applyFill="1" applyBorder="1"/>
    <xf numFmtId="166" fontId="31" fillId="0" borderId="7" xfId="1" applyNumberFormat="1" applyFont="1" applyFill="1" applyBorder="1" applyAlignment="1">
      <alignment horizontal="right"/>
    </xf>
    <xf numFmtId="166" fontId="31" fillId="0" borderId="14" xfId="1" applyNumberFormat="1" applyFont="1" applyFill="1" applyBorder="1"/>
    <xf numFmtId="0" fontId="5" fillId="0" borderId="1" xfId="0" applyFont="1" applyFill="1" applyBorder="1"/>
    <xf numFmtId="166" fontId="31" fillId="0" borderId="5" xfId="1" applyNumberFormat="1" applyFont="1" applyFill="1" applyBorder="1"/>
    <xf numFmtId="166" fontId="31" fillId="0" borderId="2" xfId="1" applyNumberFormat="1" applyFont="1" applyFill="1" applyBorder="1" applyAlignment="1">
      <alignment horizontal="right"/>
    </xf>
    <xf numFmtId="166" fontId="32" fillId="0" borderId="4" xfId="1" applyNumberFormat="1" applyFont="1" applyFill="1" applyBorder="1" applyAlignment="1">
      <alignment horizontal="center" vertical="center" wrapText="1"/>
    </xf>
    <xf numFmtId="0" fontId="26" fillId="0" borderId="3" xfId="0" applyFont="1" applyFill="1" applyBorder="1"/>
    <xf numFmtId="166" fontId="32" fillId="0" borderId="10" xfId="1" applyNumberFormat="1" applyFont="1" applyFill="1" applyBorder="1"/>
    <xf numFmtId="166" fontId="32" fillId="0" borderId="0" xfId="1" applyNumberFormat="1" applyFont="1" applyFill="1" applyBorder="1"/>
    <xf numFmtId="166" fontId="32" fillId="0" borderId="0" xfId="1" applyNumberFormat="1" applyFont="1" applyFill="1" applyBorder="1" applyAlignment="1">
      <alignment horizontal="right"/>
    </xf>
    <xf numFmtId="166" fontId="32" fillId="0" borderId="4" xfId="1" applyNumberFormat="1" applyFont="1" applyFill="1" applyBorder="1"/>
    <xf numFmtId="166" fontId="1" fillId="0" borderId="3" xfId="1" applyNumberFormat="1" applyBorder="1"/>
    <xf numFmtId="166" fontId="32" fillId="0" borderId="3" xfId="1" applyNumberFormat="1" applyFont="1" applyFill="1" applyBorder="1"/>
    <xf numFmtId="0" fontId="35" fillId="3" borderId="3" xfId="0" applyFont="1" applyFill="1" applyBorder="1"/>
    <xf numFmtId="0" fontId="0" fillId="3" borderId="0" xfId="0" applyFill="1" applyBorder="1"/>
    <xf numFmtId="166" fontId="32" fillId="3" borderId="3" xfId="1" applyNumberFormat="1" applyFont="1" applyFill="1" applyBorder="1" applyAlignment="1">
      <alignment horizontal="center" vertical="center" wrapText="1"/>
    </xf>
    <xf numFmtId="166" fontId="32" fillId="3" borderId="10" xfId="1" applyNumberFormat="1" applyFont="1" applyFill="1" applyBorder="1"/>
    <xf numFmtId="166" fontId="32" fillId="3" borderId="0" xfId="1" applyNumberFormat="1" applyFont="1" applyFill="1" applyBorder="1"/>
    <xf numFmtId="166" fontId="32" fillId="3" borderId="0" xfId="1" applyNumberFormat="1" applyFont="1" applyFill="1" applyBorder="1" applyAlignment="1">
      <alignment horizontal="right"/>
    </xf>
    <xf numFmtId="166" fontId="32" fillId="3" borderId="4" xfId="1" applyNumberFormat="1" applyFont="1" applyFill="1" applyBorder="1"/>
    <xf numFmtId="0" fontId="34" fillId="0" borderId="3" xfId="0" applyFont="1" applyFill="1" applyBorder="1"/>
    <xf numFmtId="166" fontId="31" fillId="0" borderId="10" xfId="1" applyNumberFormat="1" applyFont="1" applyFill="1" applyBorder="1"/>
    <xf numFmtId="166" fontId="1" fillId="0" borderId="0" xfId="1" applyNumberFormat="1"/>
    <xf numFmtId="166" fontId="32" fillId="0" borderId="4" xfId="1" applyNumberFormat="1" applyFont="1" applyFill="1" applyBorder="1" applyAlignment="1">
      <alignment horizontal="center" wrapText="1"/>
    </xf>
    <xf numFmtId="0" fontId="0" fillId="4" borderId="0" xfId="0" applyFill="1" applyBorder="1"/>
    <xf numFmtId="166" fontId="31" fillId="0" borderId="6" xfId="1" applyNumberFormat="1" applyFont="1" applyFill="1" applyBorder="1" applyAlignment="1">
      <alignment horizontal="center" vertical="center" wrapText="1"/>
    </xf>
    <xf numFmtId="166" fontId="31" fillId="0" borderId="8" xfId="1" applyNumberFormat="1" applyFont="1" applyFill="1" applyBorder="1"/>
    <xf numFmtId="0" fontId="5" fillId="0" borderId="3" xfId="0" applyFont="1" applyBorder="1"/>
    <xf numFmtId="0" fontId="0" fillId="0" borderId="6" xfId="0" applyBorder="1"/>
    <xf numFmtId="0" fontId="11" fillId="3" borderId="22" xfId="0" applyFont="1" applyFill="1" applyBorder="1"/>
    <xf numFmtId="0" fontId="17" fillId="3" borderId="23" xfId="0" applyFont="1" applyFill="1" applyBorder="1"/>
    <xf numFmtId="166" fontId="11" fillId="3" borderId="21" xfId="1" applyNumberFormat="1" applyFont="1" applyFill="1" applyBorder="1" applyAlignment="1">
      <alignment horizontal="center" vertical="center" wrapText="1"/>
    </xf>
    <xf numFmtId="166" fontId="11" fillId="3" borderId="23" xfId="1" applyNumberFormat="1" applyFont="1" applyFill="1" applyBorder="1" applyAlignment="1">
      <alignment horizontal="center" vertical="center" wrapText="1"/>
    </xf>
    <xf numFmtId="166" fontId="11" fillId="3" borderId="23" xfId="1" applyNumberFormat="1" applyFont="1" applyFill="1" applyBorder="1" applyAlignment="1">
      <alignment horizontal="right" vertical="center" wrapText="1"/>
    </xf>
    <xf numFmtId="166" fontId="11" fillId="3" borderId="24" xfId="1" applyNumberFormat="1" applyFont="1" applyFill="1" applyBorder="1" applyAlignment="1">
      <alignment horizontal="center" vertical="center" wrapText="1"/>
    </xf>
    <xf numFmtId="165" fontId="11" fillId="0" borderId="3" xfId="1" applyNumberFormat="1" applyFont="1" applyFill="1" applyBorder="1" applyAlignment="1">
      <alignment horizontal="center" vertical="center" wrapText="1"/>
    </xf>
    <xf numFmtId="165" fontId="11" fillId="3" borderId="23" xfId="1" applyNumberFormat="1" applyFont="1" applyFill="1" applyBorder="1"/>
    <xf numFmtId="165" fontId="11" fillId="3" borderId="24" xfId="1" applyNumberFormat="1" applyFont="1" applyFill="1" applyBorder="1" applyAlignment="1">
      <alignment horizontal="center" wrapText="1"/>
    </xf>
    <xf numFmtId="165" fontId="11" fillId="0" borderId="10" xfId="1" applyNumberFormat="1" applyFont="1" applyFill="1" applyBorder="1"/>
    <xf numFmtId="165" fontId="11" fillId="3" borderId="21" xfId="3" applyNumberFormat="1" applyFont="1" applyFill="1" applyBorder="1" applyAlignment="1">
      <alignment horizontal="center" vertical="center" wrapText="1"/>
    </xf>
    <xf numFmtId="0" fontId="11" fillId="0" borderId="23" xfId="0" applyFont="1" applyFill="1" applyBorder="1"/>
    <xf numFmtId="0" fontId="17" fillId="0" borderId="23" xfId="0" applyFont="1" applyFill="1" applyBorder="1"/>
    <xf numFmtId="166" fontId="11" fillId="0" borderId="23" xfId="1" applyNumberFormat="1" applyFont="1" applyFill="1" applyBorder="1" applyAlignment="1">
      <alignment horizontal="center" vertical="center" wrapText="1"/>
    </xf>
    <xf numFmtId="166" fontId="11" fillId="0" borderId="23" xfId="1" applyNumberFormat="1" applyFont="1" applyFill="1" applyBorder="1" applyAlignment="1">
      <alignment horizontal="right" vertical="center" wrapText="1"/>
    </xf>
    <xf numFmtId="165" fontId="11" fillId="0" borderId="0" xfId="1" applyNumberFormat="1" applyFont="1" applyFill="1" applyBorder="1" applyAlignment="1">
      <alignment horizontal="center" vertical="center" wrapText="1"/>
    </xf>
    <xf numFmtId="165" fontId="11" fillId="0" borderId="23" xfId="1" applyNumberFormat="1" applyFont="1" applyFill="1" applyBorder="1"/>
    <xf numFmtId="165" fontId="11" fillId="0" borderId="23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/>
    <xf numFmtId="165" fontId="11" fillId="0" borderId="23" xfId="3" applyNumberFormat="1" applyFont="1" applyFill="1" applyBorder="1" applyAlignment="1">
      <alignment horizontal="center" vertical="center" wrapText="1"/>
    </xf>
    <xf numFmtId="166" fontId="11" fillId="3" borderId="21" xfId="1" applyNumberFormat="1" applyFont="1" applyFill="1" applyBorder="1" applyAlignment="1"/>
    <xf numFmtId="166" fontId="11" fillId="3" borderId="23" xfId="1" applyNumberFormat="1" applyFont="1" applyFill="1" applyBorder="1" applyAlignment="1"/>
    <xf numFmtId="166" fontId="11" fillId="3" borderId="23" xfId="1" applyNumberFormat="1" applyFont="1" applyFill="1" applyBorder="1" applyAlignment="1">
      <alignment horizontal="right"/>
    </xf>
    <xf numFmtId="166" fontId="11" fillId="3" borderId="24" xfId="1" applyNumberFormat="1" applyFont="1" applyFill="1" applyBorder="1" applyAlignment="1"/>
    <xf numFmtId="0" fontId="31" fillId="0" borderId="0" xfId="0" applyFont="1" applyBorder="1" applyAlignment="1"/>
    <xf numFmtId="0" fontId="31" fillId="0" borderId="0" xfId="0" applyFont="1" applyFill="1" applyBorder="1"/>
    <xf numFmtId="0" fontId="31" fillId="0" borderId="0" xfId="0" applyFont="1" applyBorder="1" applyAlignment="1">
      <alignment horizontal="center" vertical="center" wrapText="1"/>
    </xf>
    <xf numFmtId="0" fontId="32" fillId="3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wrapText="1"/>
    </xf>
    <xf numFmtId="0" fontId="32" fillId="3" borderId="3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 wrapText="1"/>
    </xf>
    <xf numFmtId="0" fontId="32" fillId="3" borderId="0" xfId="0" applyFont="1" applyFill="1" applyBorder="1" applyAlignment="1">
      <alignment horizontal="center" wrapText="1"/>
    </xf>
    <xf numFmtId="0" fontId="31" fillId="3" borderId="0" xfId="0" applyFont="1" applyFill="1" applyBorder="1" applyAlignment="1">
      <alignment wrapText="1"/>
    </xf>
    <xf numFmtId="0" fontId="10" fillId="3" borderId="3" xfId="0" applyFont="1" applyFill="1" applyBorder="1" applyAlignment="1">
      <alignment horizontal="center" vertical="top" wrapText="1"/>
    </xf>
    <xf numFmtId="166" fontId="1" fillId="0" borderId="0" xfId="1" applyNumberFormat="1" applyBorder="1"/>
    <xf numFmtId="166" fontId="1" fillId="0" borderId="4" xfId="1" applyNumberFormat="1" applyBorder="1"/>
    <xf numFmtId="0" fontId="32" fillId="0" borderId="0" xfId="0" applyFont="1" applyFill="1" applyBorder="1" applyAlignment="1">
      <alignment horizontal="center" vertical="center" wrapText="1"/>
    </xf>
    <xf numFmtId="0" fontId="19" fillId="0" borderId="10" xfId="0" applyFont="1" applyBorder="1"/>
    <xf numFmtId="166" fontId="6" fillId="0" borderId="3" xfId="1" applyNumberFormat="1" applyFont="1" applyFill="1" applyBorder="1" applyAlignment="1">
      <alignment horizontal="center" vertical="center" wrapText="1"/>
    </xf>
    <xf numFmtId="166" fontId="7" fillId="0" borderId="0" xfId="1" applyNumberFormat="1" applyFont="1" applyBorder="1"/>
    <xf numFmtId="166" fontId="7" fillId="0" borderId="4" xfId="1" applyNumberFormat="1" applyFont="1" applyBorder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167" fontId="6" fillId="0" borderId="0" xfId="2" applyNumberFormat="1" applyFont="1" applyFill="1" applyBorder="1" applyAlignment="1">
      <alignment horizontal="center" vertical="center" wrapText="1"/>
    </xf>
    <xf numFmtId="0" fontId="7" fillId="0" borderId="10" xfId="0" applyFont="1" applyBorder="1"/>
    <xf numFmtId="166" fontId="7" fillId="0" borderId="3" xfId="1" applyNumberFormat="1" applyFont="1" applyFill="1" applyBorder="1" applyAlignment="1">
      <alignment vertical="center" wrapText="1"/>
    </xf>
    <xf numFmtId="166" fontId="7" fillId="0" borderId="0" xfId="2" applyNumberFormat="1" applyFont="1" applyFill="1" applyBorder="1"/>
    <xf numFmtId="166" fontId="6" fillId="0" borderId="0" xfId="2" applyNumberFormat="1" applyFont="1" applyFill="1" applyBorder="1" applyAlignment="1">
      <alignment horizontal="center" vertical="center" wrapText="1"/>
    </xf>
    <xf numFmtId="166" fontId="7" fillId="0" borderId="3" xfId="2" applyNumberFormat="1" applyFont="1" applyFill="1" applyBorder="1"/>
    <xf numFmtId="0" fontId="7" fillId="0" borderId="7" xfId="0" applyFont="1" applyBorder="1"/>
    <xf numFmtId="166" fontId="7" fillId="0" borderId="20" xfId="1" applyNumberFormat="1" applyFont="1" applyFill="1" applyBorder="1" applyAlignment="1">
      <alignment vertical="center" wrapText="1"/>
    </xf>
    <xf numFmtId="0" fontId="15" fillId="0" borderId="10" xfId="0" applyFont="1" applyFill="1" applyBorder="1"/>
    <xf numFmtId="166" fontId="7" fillId="0" borderId="0" xfId="1" applyNumberFormat="1" applyFont="1" applyFill="1" applyBorder="1" applyAlignment="1">
      <alignment vertical="center" wrapText="1"/>
    </xf>
    <xf numFmtId="166" fontId="7" fillId="0" borderId="4" xfId="1" applyNumberFormat="1" applyFont="1" applyFill="1" applyBorder="1" applyAlignment="1">
      <alignment vertical="center" wrapText="1"/>
    </xf>
    <xf numFmtId="167" fontId="7" fillId="0" borderId="0" xfId="2" applyNumberFormat="1" applyFont="1" applyFill="1" applyBorder="1" applyAlignment="1">
      <alignment horizontal="center" vertical="center" wrapText="1"/>
    </xf>
    <xf numFmtId="166" fontId="7" fillId="0" borderId="0" xfId="2" applyNumberFormat="1" applyFont="1" applyBorder="1"/>
    <xf numFmtId="166" fontId="6" fillId="0" borderId="3" xfId="1" applyNumberFormat="1" applyFont="1" applyFill="1" applyBorder="1" applyAlignment="1">
      <alignment vertical="center" wrapText="1"/>
    </xf>
    <xf numFmtId="166" fontId="7" fillId="0" borderId="0" xfId="1" applyNumberFormat="1" applyFont="1" applyBorder="1" applyAlignment="1"/>
    <xf numFmtId="166" fontId="7" fillId="0" borderId="4" xfId="1" applyNumberFormat="1" applyFont="1" applyBorder="1" applyAlignment="1"/>
    <xf numFmtId="166" fontId="6" fillId="0" borderId="0" xfId="2" applyNumberFormat="1" applyFont="1" applyFill="1" applyBorder="1" applyAlignment="1">
      <alignment horizontal="center" wrapText="1"/>
    </xf>
    <xf numFmtId="166" fontId="7" fillId="0" borderId="3" xfId="2" applyNumberFormat="1" applyFont="1" applyBorder="1"/>
    <xf numFmtId="167" fontId="32" fillId="0" borderId="0" xfId="2" applyNumberFormat="1" applyFont="1" applyFill="1" applyBorder="1" applyAlignment="1">
      <alignment horizontal="center" vertical="center" wrapText="1"/>
    </xf>
    <xf numFmtId="166" fontId="1" fillId="0" borderId="0" xfId="2" applyNumberFormat="1" applyBorder="1"/>
    <xf numFmtId="166" fontId="32" fillId="0" borderId="0" xfId="2" applyNumberFormat="1" applyFont="1" applyFill="1" applyBorder="1" applyAlignment="1">
      <alignment horizontal="center" wrapText="1"/>
    </xf>
    <xf numFmtId="166" fontId="1" fillId="0" borderId="3" xfId="2" applyNumberFormat="1" applyBorder="1"/>
    <xf numFmtId="42" fontId="11" fillId="3" borderId="21" xfId="1" applyNumberFormat="1" applyFont="1" applyFill="1" applyBorder="1" applyAlignment="1">
      <alignment horizontal="center" vertical="center" wrapText="1"/>
    </xf>
    <xf numFmtId="42" fontId="11" fillId="3" borderId="23" xfId="1" applyNumberFormat="1" applyFont="1" applyFill="1" applyBorder="1" applyAlignment="1">
      <alignment horizontal="center" vertical="center" wrapText="1"/>
    </xf>
    <xf numFmtId="42" fontId="11" fillId="3" borderId="24" xfId="1" applyNumberFormat="1" applyFont="1" applyFill="1" applyBorder="1" applyAlignment="1">
      <alignment horizontal="center" vertical="center" wrapText="1"/>
    </xf>
    <xf numFmtId="42" fontId="11" fillId="0" borderId="23" xfId="1" applyNumberFormat="1" applyFont="1" applyFill="1" applyBorder="1" applyAlignment="1">
      <alignment horizontal="center" vertical="center" wrapText="1"/>
    </xf>
    <xf numFmtId="42" fontId="11" fillId="3" borderId="21" xfId="1" applyNumberFormat="1" applyFont="1" applyFill="1" applyBorder="1" applyAlignment="1"/>
    <xf numFmtId="42" fontId="11" fillId="3" borderId="23" xfId="1" applyNumberFormat="1" applyFont="1" applyFill="1" applyBorder="1" applyAlignment="1"/>
    <xf numFmtId="42" fontId="11" fillId="3" borderId="24" xfId="1" applyNumberFormat="1" applyFont="1" applyFill="1" applyBorder="1" applyAlignment="1"/>
    <xf numFmtId="166" fontId="7" fillId="0" borderId="9" xfId="1" applyNumberFormat="1" applyFont="1" applyFill="1" applyBorder="1" applyAlignment="1"/>
    <xf numFmtId="0" fontId="8" fillId="6" borderId="3" xfId="5" applyFont="1" applyFill="1" applyBorder="1" applyAlignment="1">
      <alignment horizontal="left"/>
    </xf>
    <xf numFmtId="166" fontId="6" fillId="0" borderId="6" xfId="1" applyNumberFormat="1" applyFont="1" applyFill="1" applyBorder="1" applyAlignment="1"/>
    <xf numFmtId="168" fontId="31" fillId="0" borderId="10" xfId="1" applyNumberFormat="1" applyFont="1" applyFill="1" applyBorder="1"/>
    <xf numFmtId="168" fontId="31" fillId="0" borderId="0" xfId="1" applyNumberFormat="1" applyFont="1" applyFill="1" applyBorder="1"/>
    <xf numFmtId="0" fontId="34" fillId="0" borderId="0" xfId="0" applyFont="1"/>
    <xf numFmtId="0" fontId="5" fillId="0" borderId="2" xfId="0" applyFont="1" applyFill="1" applyBorder="1"/>
    <xf numFmtId="0" fontId="6" fillId="3" borderId="14" xfId="0" applyFont="1" applyFill="1" applyBorder="1" applyAlignment="1">
      <alignment horizontal="center" vertical="center" wrapText="1"/>
    </xf>
    <xf numFmtId="166" fontId="6" fillId="0" borderId="0" xfId="0" applyNumberFormat="1" applyFont="1" applyFill="1" applyBorder="1"/>
    <xf numFmtId="0" fontId="7" fillId="0" borderId="3" xfId="5" applyFont="1" applyFill="1" applyBorder="1" applyAlignment="1">
      <alignment horizontal="left" indent="1"/>
    </xf>
    <xf numFmtId="0" fontId="6" fillId="3" borderId="9" xfId="0" applyFont="1" applyFill="1" applyBorder="1" applyAlignment="1">
      <alignment horizontal="center" vertical="center" wrapText="1"/>
    </xf>
    <xf numFmtId="166" fontId="6" fillId="0" borderId="1" xfId="1" applyNumberFormat="1" applyFont="1" applyFill="1" applyBorder="1" applyAlignment="1">
      <alignment horizontal="center" wrapText="1"/>
    </xf>
    <xf numFmtId="166" fontId="6" fillId="0" borderId="3" xfId="1" applyNumberFormat="1" applyFont="1" applyFill="1" applyBorder="1" applyAlignment="1">
      <alignment horizontal="center" wrapText="1"/>
    </xf>
    <xf numFmtId="166" fontId="7" fillId="0" borderId="3" xfId="1" applyNumberFormat="1" applyFont="1" applyFill="1" applyBorder="1" applyAlignment="1">
      <alignment horizontal="center" wrapText="1"/>
    </xf>
    <xf numFmtId="166" fontId="7" fillId="0" borderId="20" xfId="1" applyNumberFormat="1" applyFont="1" applyFill="1" applyBorder="1" applyAlignment="1">
      <alignment horizontal="center" wrapText="1"/>
    </xf>
    <xf numFmtId="166" fontId="7" fillId="0" borderId="3" xfId="1" applyNumberFormat="1" applyFont="1" applyFill="1" applyBorder="1"/>
    <xf numFmtId="166" fontId="7" fillId="0" borderId="3" xfId="1" applyNumberFormat="1" applyFont="1" applyFill="1" applyBorder="1" applyAlignment="1">
      <alignment horizontal="left"/>
    </xf>
    <xf numFmtId="166" fontId="13" fillId="0" borderId="3" xfId="1" applyNumberFormat="1" applyFont="1" applyFill="1" applyBorder="1" applyAlignment="1">
      <alignment horizontal="left" indent="3"/>
    </xf>
    <xf numFmtId="166" fontId="7" fillId="0" borderId="20" xfId="1" applyNumberFormat="1" applyFont="1" applyFill="1" applyBorder="1"/>
    <xf numFmtId="166" fontId="7" fillId="0" borderId="6" xfId="1" applyNumberFormat="1" applyFont="1" applyFill="1" applyBorder="1" applyAlignment="1">
      <alignment horizontal="center" wrapText="1"/>
    </xf>
    <xf numFmtId="166" fontId="1" fillId="0" borderId="3" xfId="1" applyNumberFormat="1" applyFill="1" applyBorder="1" applyAlignment="1"/>
    <xf numFmtId="166" fontId="13" fillId="6" borderId="3" xfId="1" applyNumberFormat="1" applyFont="1" applyFill="1" applyBorder="1" applyAlignment="1">
      <alignment horizontal="left"/>
    </xf>
    <xf numFmtId="166" fontId="7" fillId="6" borderId="3" xfId="1" applyNumberFormat="1" applyFont="1" applyFill="1" applyBorder="1"/>
    <xf numFmtId="166" fontId="7" fillId="0" borderId="6" xfId="1" applyNumberFormat="1" applyFont="1" applyBorder="1" applyAlignment="1"/>
    <xf numFmtId="166" fontId="6" fillId="0" borderId="8" xfId="1" applyNumberFormat="1" applyFont="1" applyFill="1" applyBorder="1" applyAlignment="1"/>
    <xf numFmtId="0" fontId="21" fillId="6" borderId="10" xfId="5" applyFont="1" applyFill="1" applyBorder="1" applyAlignment="1">
      <alignment horizontal="left" indent="1"/>
    </xf>
    <xf numFmtId="0" fontId="7" fillId="0" borderId="3" xfId="5" applyFont="1" applyFill="1" applyBorder="1" applyAlignment="1">
      <alignment horizontal="left" indent="3"/>
    </xf>
    <xf numFmtId="0" fontId="7" fillId="0" borderId="3" xfId="5" applyFont="1" applyFill="1" applyBorder="1" applyAlignment="1">
      <alignment horizontal="left" indent="6"/>
    </xf>
    <xf numFmtId="0" fontId="16" fillId="0" borderId="10" xfId="5" applyFont="1" applyFill="1" applyBorder="1" applyAlignment="1">
      <alignment horizontal="left" indent="5"/>
    </xf>
    <xf numFmtId="0" fontId="8" fillId="0" borderId="3" xfId="5" applyFont="1" applyFill="1" applyBorder="1" applyAlignment="1">
      <alignment horizontal="left" indent="5"/>
    </xf>
    <xf numFmtId="166" fontId="13" fillId="0" borderId="3" xfId="1" applyNumberFormat="1" applyFont="1" applyFill="1" applyBorder="1" applyAlignment="1">
      <alignment horizontal="left" indent="5"/>
    </xf>
    <xf numFmtId="166" fontId="7" fillId="0" borderId="10" xfId="1" applyNumberFormat="1" applyFont="1" applyFill="1" applyBorder="1" applyAlignment="1">
      <alignment horizontal="left" indent="5"/>
    </xf>
    <xf numFmtId="166" fontId="7" fillId="0" borderId="0" xfId="1" applyNumberFormat="1" applyFont="1" applyFill="1" applyBorder="1" applyAlignment="1">
      <alignment horizontal="left" indent="5"/>
    </xf>
    <xf numFmtId="166" fontId="7" fillId="0" borderId="4" xfId="1" applyNumberFormat="1" applyFont="1" applyFill="1" applyBorder="1" applyAlignment="1">
      <alignment horizontal="left" indent="5"/>
    </xf>
    <xf numFmtId="166" fontId="7" fillId="9" borderId="4" xfId="1" applyNumberFormat="1" applyFont="1" applyFill="1" applyBorder="1" applyAlignment="1"/>
    <xf numFmtId="0" fontId="13" fillId="7" borderId="3" xfId="5" applyFont="1" applyFill="1" applyBorder="1" applyAlignment="1">
      <alignment horizontal="left" indent="6"/>
    </xf>
    <xf numFmtId="0" fontId="34" fillId="0" borderId="3" xfId="0" applyFont="1" applyBorder="1"/>
    <xf numFmtId="0" fontId="0" fillId="0" borderId="3" xfId="0" applyFill="1" applyBorder="1"/>
    <xf numFmtId="0" fontId="0" fillId="0" borderId="6" xfId="0" applyFill="1" applyBorder="1"/>
    <xf numFmtId="168" fontId="31" fillId="0" borderId="7" xfId="1" applyNumberFormat="1" applyFont="1" applyFill="1" applyBorder="1"/>
    <xf numFmtId="168" fontId="31" fillId="0" borderId="8" xfId="1" applyNumberFormat="1" applyFont="1" applyFill="1" applyBorder="1"/>
    <xf numFmtId="0" fontId="18" fillId="0" borderId="10" xfId="0" applyFont="1" applyFill="1" applyBorder="1"/>
    <xf numFmtId="166" fontId="7" fillId="7" borderId="0" xfId="1" applyNumberFormat="1" applyFont="1" applyFill="1" applyBorder="1" applyAlignment="1"/>
    <xf numFmtId="0" fontId="13" fillId="9" borderId="3" xfId="5" applyFont="1" applyFill="1" applyBorder="1" applyAlignment="1">
      <alignment horizontal="left" indent="3"/>
    </xf>
    <xf numFmtId="0" fontId="13" fillId="9" borderId="10" xfId="5" applyFont="1" applyFill="1" applyBorder="1" applyAlignment="1"/>
    <xf numFmtId="0" fontId="13" fillId="9" borderId="3" xfId="5" applyFont="1" applyFill="1" applyBorder="1" applyAlignment="1">
      <alignment horizontal="left"/>
    </xf>
    <xf numFmtId="166" fontId="13" fillId="9" borderId="3" xfId="1" applyNumberFormat="1" applyFont="1" applyFill="1" applyBorder="1" applyAlignment="1">
      <alignment horizontal="left"/>
    </xf>
    <xf numFmtId="166" fontId="7" fillId="9" borderId="10" xfId="1" applyNumberFormat="1" applyFont="1" applyFill="1" applyBorder="1" applyAlignment="1"/>
    <xf numFmtId="166" fontId="7" fillId="9" borderId="0" xfId="1" applyNumberFormat="1" applyFont="1" applyFill="1" applyBorder="1" applyAlignment="1"/>
    <xf numFmtId="0" fontId="7" fillId="9" borderId="3" xfId="5" applyFont="1" applyFill="1" applyBorder="1" applyAlignment="1">
      <alignment horizontal="left" indent="3"/>
    </xf>
    <xf numFmtId="0" fontId="6" fillId="0" borderId="3" xfId="5" applyFont="1" applyFill="1" applyBorder="1" applyAlignment="1">
      <alignment horizontal="left" indent="3"/>
    </xf>
    <xf numFmtId="0" fontId="13" fillId="9" borderId="3" xfId="5" applyFont="1" applyFill="1" applyBorder="1" applyAlignment="1">
      <alignment horizontal="left" indent="2"/>
    </xf>
    <xf numFmtId="0" fontId="13" fillId="9" borderId="10" xfId="5" applyFont="1" applyFill="1" applyBorder="1" applyAlignment="1">
      <alignment horizontal="left"/>
    </xf>
    <xf numFmtId="0" fontId="8" fillId="9" borderId="3" xfId="5" applyFont="1" applyFill="1" applyBorder="1" applyAlignment="1">
      <alignment horizontal="left"/>
    </xf>
    <xf numFmtId="0" fontId="7" fillId="9" borderId="10" xfId="0" applyFont="1" applyFill="1" applyBorder="1" applyAlignment="1">
      <alignment horizontal="left" wrapText="1"/>
    </xf>
    <xf numFmtId="166" fontId="7" fillId="9" borderId="3" xfId="1" applyNumberFormat="1" applyFont="1" applyFill="1" applyBorder="1" applyAlignment="1">
      <alignment horizontal="center" wrapText="1"/>
    </xf>
    <xf numFmtId="166" fontId="7" fillId="9" borderId="10" xfId="1" applyNumberFormat="1" applyFont="1" applyFill="1" applyBorder="1" applyAlignment="1">
      <alignment horizontal="center" wrapText="1"/>
    </xf>
    <xf numFmtId="166" fontId="7" fillId="9" borderId="0" xfId="1" applyNumberFormat="1" applyFont="1" applyFill="1" applyBorder="1" applyAlignment="1">
      <alignment horizontal="center" wrapText="1"/>
    </xf>
    <xf numFmtId="166" fontId="7" fillId="9" borderId="4" xfId="1" applyNumberFormat="1" applyFont="1" applyFill="1" applyBorder="1" applyAlignment="1">
      <alignment horizontal="center" wrapText="1"/>
    </xf>
    <xf numFmtId="166" fontId="7" fillId="9" borderId="0" xfId="1" applyNumberFormat="1" applyFont="1" applyFill="1" applyBorder="1" applyAlignment="1">
      <alignment wrapText="1"/>
    </xf>
    <xf numFmtId="0" fontId="23" fillId="9" borderId="10" xfId="5" applyFont="1" applyFill="1" applyBorder="1" applyAlignment="1">
      <alignment horizontal="left"/>
    </xf>
    <xf numFmtId="0" fontId="7" fillId="9" borderId="3" xfId="0" applyFont="1" applyFill="1" applyBorder="1" applyAlignment="1"/>
    <xf numFmtId="16" fontId="13" fillId="9" borderId="10" xfId="5" applyNumberFormat="1" applyFont="1" applyFill="1" applyBorder="1" applyAlignment="1">
      <alignment horizontal="left"/>
    </xf>
    <xf numFmtId="166" fontId="13" fillId="9" borderId="10" xfId="1" applyNumberFormat="1" applyFont="1" applyFill="1" applyBorder="1" applyAlignment="1">
      <alignment horizontal="left"/>
    </xf>
    <xf numFmtId="0" fontId="16" fillId="7" borderId="10" xfId="5" applyFont="1" applyFill="1" applyBorder="1" applyAlignment="1">
      <alignment horizontal="left"/>
    </xf>
    <xf numFmtId="0" fontId="8" fillId="7" borderId="3" xfId="5" applyFont="1" applyFill="1" applyBorder="1" applyAlignment="1">
      <alignment horizontal="left"/>
    </xf>
    <xf numFmtId="166" fontId="13" fillId="7" borderId="3" xfId="1" applyNumberFormat="1" applyFont="1" applyFill="1" applyBorder="1" applyAlignment="1">
      <alignment horizontal="left"/>
    </xf>
    <xf numFmtId="166" fontId="7" fillId="7" borderId="4" xfId="1" applyNumberFormat="1" applyFont="1" applyFill="1" applyBorder="1" applyAlignment="1"/>
    <xf numFmtId="166" fontId="7" fillId="7" borderId="0" xfId="1" applyNumberFormat="1" applyFont="1" applyFill="1" applyBorder="1" applyAlignment="1">
      <alignment horizontal="left" indent="1"/>
    </xf>
    <xf numFmtId="0" fontId="7" fillId="7" borderId="0" xfId="5" applyFont="1" applyFill="1" applyBorder="1" applyAlignment="1">
      <alignment horizontal="left" indent="3"/>
    </xf>
    <xf numFmtId="0" fontId="7" fillId="7" borderId="0" xfId="5" applyFont="1" applyFill="1" applyBorder="1" applyAlignment="1">
      <alignment horizontal="left" indent="2"/>
    </xf>
    <xf numFmtId="166" fontId="7" fillId="7" borderId="0" xfId="1" applyNumberFormat="1" applyFont="1" applyFill="1" applyBorder="1" applyAlignment="1">
      <alignment horizontal="left" indent="2"/>
    </xf>
    <xf numFmtId="166" fontId="7" fillId="7" borderId="0" xfId="1" applyNumberFormat="1" applyFont="1" applyFill="1" applyBorder="1" applyAlignment="1">
      <alignment horizontal="left" indent="3"/>
    </xf>
    <xf numFmtId="166" fontId="7" fillId="7" borderId="0" xfId="1" applyNumberFormat="1" applyFont="1" applyFill="1" applyBorder="1" applyAlignment="1">
      <alignment horizontal="left" indent="4"/>
    </xf>
    <xf numFmtId="166" fontId="7" fillId="7" borderId="0" xfId="1" applyNumberFormat="1" applyFont="1" applyFill="1" applyBorder="1" applyAlignment="1">
      <alignment horizontal="left" indent="5"/>
    </xf>
    <xf numFmtId="0" fontId="7" fillId="7" borderId="0" xfId="5" applyFont="1" applyFill="1" applyBorder="1" applyAlignment="1">
      <alignment horizontal="left" indent="6"/>
    </xf>
    <xf numFmtId="0" fontId="16" fillId="7" borderId="10" xfId="5" applyFont="1" applyFill="1" applyBorder="1" applyAlignment="1">
      <alignment horizontal="left" indent="2"/>
    </xf>
    <xf numFmtId="0" fontId="8" fillId="7" borderId="3" xfId="5" applyFont="1" applyFill="1" applyBorder="1" applyAlignment="1">
      <alignment horizontal="left" indent="2"/>
    </xf>
    <xf numFmtId="166" fontId="13" fillId="7" borderId="3" xfId="1" applyNumberFormat="1" applyFont="1" applyFill="1" applyBorder="1" applyAlignment="1">
      <alignment horizontal="left" indent="2"/>
    </xf>
    <xf numFmtId="166" fontId="7" fillId="7" borderId="4" xfId="1" applyNumberFormat="1" applyFont="1" applyFill="1" applyBorder="1" applyAlignment="1">
      <alignment horizontal="left" indent="2"/>
    </xf>
    <xf numFmtId="0" fontId="6" fillId="0" borderId="0" xfId="0" applyFont="1" applyFill="1" applyBorder="1" applyAlignment="1">
      <alignment horizontal="left" indent="2"/>
    </xf>
    <xf numFmtId="167" fontId="7" fillId="7" borderId="0" xfId="1" applyNumberFormat="1" applyFont="1" applyFill="1" applyBorder="1" applyAlignment="1">
      <alignment horizontal="left" indent="2"/>
    </xf>
    <xf numFmtId="0" fontId="16" fillId="7" borderId="10" xfId="5" applyFont="1" applyFill="1" applyBorder="1" applyAlignment="1">
      <alignment horizontal="left" indent="4"/>
    </xf>
    <xf numFmtId="0" fontId="8" fillId="7" borderId="3" xfId="5" applyFont="1" applyFill="1" applyBorder="1" applyAlignment="1">
      <alignment horizontal="left" indent="4"/>
    </xf>
    <xf numFmtId="166" fontId="13" fillId="7" borderId="3" xfId="1" applyNumberFormat="1" applyFont="1" applyFill="1" applyBorder="1" applyAlignment="1">
      <alignment horizontal="left" indent="4"/>
    </xf>
    <xf numFmtId="166" fontId="7" fillId="7" borderId="4" xfId="1" applyNumberFormat="1" applyFont="1" applyFill="1" applyBorder="1" applyAlignment="1">
      <alignment horizontal="left" indent="4"/>
    </xf>
    <xf numFmtId="0" fontId="7" fillId="0" borderId="3" xfId="0" applyFont="1" applyFill="1" applyBorder="1" applyAlignment="1">
      <alignment horizontal="left" indent="4"/>
    </xf>
    <xf numFmtId="0" fontId="6" fillId="0" borderId="0" xfId="0" applyFont="1" applyFill="1" applyBorder="1" applyAlignment="1">
      <alignment horizontal="left" indent="4"/>
    </xf>
    <xf numFmtId="0" fontId="18" fillId="0" borderId="0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left"/>
    </xf>
    <xf numFmtId="0" fontId="17" fillId="0" borderId="3" xfId="0" applyFont="1" applyFill="1" applyBorder="1" applyAlignment="1">
      <alignment horizontal="left"/>
    </xf>
    <xf numFmtId="0" fontId="18" fillId="0" borderId="3" xfId="0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43" fontId="7" fillId="0" borderId="3" xfId="0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166" fontId="7" fillId="0" borderId="0" xfId="1" applyNumberFormat="1" applyFont="1" applyFill="1" applyBorder="1" applyAlignment="1">
      <alignment horizontal="left"/>
    </xf>
    <xf numFmtId="0" fontId="7" fillId="9" borderId="3" xfId="5" applyFont="1" applyFill="1" applyBorder="1" applyAlignment="1">
      <alignment horizontal="left" indent="6"/>
    </xf>
    <xf numFmtId="0" fontId="16" fillId="9" borderId="10" xfId="5" applyFont="1" applyFill="1" applyBorder="1" applyAlignment="1">
      <alignment horizontal="left"/>
    </xf>
    <xf numFmtId="166" fontId="7" fillId="9" borderId="3" xfId="1" applyNumberFormat="1" applyFont="1" applyFill="1" applyBorder="1" applyAlignment="1"/>
    <xf numFmtId="166" fontId="1" fillId="0" borderId="0" xfId="1" applyNumberFormat="1" applyFont="1" applyFill="1" applyAlignment="1"/>
    <xf numFmtId="166" fontId="13" fillId="0" borderId="11" xfId="1" applyNumberFormat="1" applyFont="1" applyFill="1" applyBorder="1" applyAlignment="1">
      <alignment horizontal="left"/>
    </xf>
    <xf numFmtId="0" fontId="12" fillId="0" borderId="10" xfId="0" applyFont="1" applyFill="1" applyBorder="1" applyAlignment="1">
      <alignment horizontal="left" wrapText="1" indent="2"/>
    </xf>
    <xf numFmtId="0" fontId="6" fillId="0" borderId="10" xfId="0" applyFont="1" applyFill="1" applyBorder="1" applyAlignment="1">
      <alignment horizontal="center" wrapText="1"/>
    </xf>
    <xf numFmtId="0" fontId="7" fillId="0" borderId="10" xfId="0" applyFont="1" applyFill="1" applyBorder="1" applyAlignment="1">
      <alignment horizontal="center" wrapText="1"/>
    </xf>
    <xf numFmtId="0" fontId="8" fillId="7" borderId="10" xfId="5" applyFont="1" applyFill="1" applyBorder="1" applyAlignment="1">
      <alignment horizontal="left"/>
    </xf>
    <xf numFmtId="0" fontId="8" fillId="9" borderId="10" xfId="5" applyFont="1" applyFill="1" applyBorder="1" applyAlignment="1">
      <alignment horizontal="left"/>
    </xf>
    <xf numFmtId="0" fontId="8" fillId="0" borderId="10" xfId="5" applyFont="1" applyFill="1" applyBorder="1" applyAlignment="1">
      <alignment horizontal="left"/>
    </xf>
    <xf numFmtId="0" fontId="7" fillId="0" borderId="10" xfId="0" applyFont="1" applyFill="1" applyBorder="1" applyAlignment="1"/>
    <xf numFmtId="0" fontId="7" fillId="9" borderId="10" xfId="0" applyFont="1" applyFill="1" applyBorder="1" applyAlignment="1">
      <alignment horizontal="center" wrapText="1"/>
    </xf>
    <xf numFmtId="0" fontId="7" fillId="0" borderId="26" xfId="0" applyFont="1" applyFill="1" applyBorder="1" applyAlignment="1"/>
    <xf numFmtId="0" fontId="0" fillId="0" borderId="3" xfId="0" applyBorder="1" applyAlignment="1"/>
    <xf numFmtId="0" fontId="7" fillId="0" borderId="9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/>
    </xf>
    <xf numFmtId="0" fontId="0" fillId="0" borderId="10" xfId="0" applyBorder="1" applyAlignment="1"/>
    <xf numFmtId="0" fontId="0" fillId="0" borderId="4" xfId="0" applyBorder="1" applyAlignment="1"/>
    <xf numFmtId="166" fontId="7" fillId="7" borderId="10" xfId="1" applyNumberFormat="1" applyFont="1" applyFill="1" applyBorder="1" applyAlignment="1"/>
    <xf numFmtId="0" fontId="12" fillId="7" borderId="5" xfId="5" applyFont="1" applyFill="1" applyBorder="1" applyAlignment="1">
      <alignment horizontal="center" wrapText="1"/>
    </xf>
    <xf numFmtId="0" fontId="12" fillId="7" borderId="2" xfId="5" applyFont="1" applyFill="1" applyBorder="1" applyAlignment="1">
      <alignment horizontal="center" wrapText="1"/>
    </xf>
    <xf numFmtId="0" fontId="12" fillId="7" borderId="9" xfId="5" applyFont="1" applyFill="1" applyBorder="1" applyAlignment="1">
      <alignment horizontal="center" wrapText="1"/>
    </xf>
    <xf numFmtId="0" fontId="16" fillId="3" borderId="22" xfId="5" applyFont="1" applyFill="1" applyBorder="1" applyAlignment="1">
      <alignment horizontal="center"/>
    </xf>
    <xf numFmtId="0" fontId="16" fillId="3" borderId="23" xfId="5" applyFont="1" applyFill="1" applyBorder="1" applyAlignment="1">
      <alignment horizontal="center"/>
    </xf>
    <xf numFmtId="0" fontId="16" fillId="3" borderId="24" xfId="5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" borderId="22" xfId="0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wrapText="1"/>
    </xf>
    <xf numFmtId="0" fontId="6" fillId="3" borderId="24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vertical="center" wrapText="1"/>
    </xf>
    <xf numFmtId="0" fontId="32" fillId="3" borderId="22" xfId="0" applyFont="1" applyFill="1" applyBorder="1" applyAlignment="1">
      <alignment horizontal="center"/>
    </xf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16" fontId="5" fillId="0" borderId="0" xfId="0" applyNumberFormat="1" applyFont="1" applyAlignment="1">
      <alignment horizontal="center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32" fillId="3" borderId="0" xfId="0" applyFont="1" applyFill="1" applyBorder="1" applyAlignment="1">
      <alignment horizontal="center"/>
    </xf>
  </cellXfs>
  <cellStyles count="6">
    <cellStyle name="Comma" xfId="1" builtinId="3"/>
    <cellStyle name="Comma_Europe MTM Orig Summary 19-07-01" xfId="2"/>
    <cellStyle name="Currency" xfId="3" builtinId="4"/>
    <cellStyle name="Normal" xfId="0" builtinId="0"/>
    <cellStyle name="Normal_Origination Summary (3)" xfId="4"/>
    <cellStyle name="Normal_Sheet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</xdr:colOff>
          <xdr:row>0</xdr:row>
          <xdr:rowOff>68580</xdr:rowOff>
        </xdr:from>
        <xdr:to>
          <xdr:col>0</xdr:col>
          <xdr:colOff>2743200</xdr:colOff>
          <xdr:row>4</xdr:row>
          <xdr:rowOff>304800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144780</xdr:rowOff>
        </xdr:from>
        <xdr:to>
          <xdr:col>0</xdr:col>
          <xdr:colOff>2499360</xdr:colOff>
          <xdr:row>8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118</xdr:row>
          <xdr:rowOff>144780</xdr:rowOff>
        </xdr:from>
        <xdr:to>
          <xdr:col>0</xdr:col>
          <xdr:colOff>2849880</xdr:colOff>
          <xdr:row>126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ept%206,%202001%20Origination%20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Direct Canada Origination"/>
    </sheetNames>
    <sheetDataSet>
      <sheetData sheetId="0">
        <row r="51">
          <cell r="H51">
            <v>4.1326795687751652E-3</v>
          </cell>
          <cell r="I51">
            <v>8.0984543447200927E-4</v>
          </cell>
          <cell r="L51">
            <v>0</v>
          </cell>
        </row>
        <row r="52">
          <cell r="H52">
            <v>9.5513723459347485E-3</v>
          </cell>
          <cell r="I52">
            <v>1.9899016053858106E-3</v>
          </cell>
          <cell r="L52">
            <v>0</v>
          </cell>
        </row>
        <row r="53">
          <cell r="H53">
            <v>2.4251411185914035E-2</v>
          </cell>
          <cell r="I53">
            <v>4.6837778353184872E-3</v>
          </cell>
          <cell r="L5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IU1885"/>
  <sheetViews>
    <sheetView tabSelected="1" zoomScale="75" zoomScaleNormal="75" workbookViewId="0">
      <selection activeCell="A759" sqref="A759"/>
    </sheetView>
  </sheetViews>
  <sheetFormatPr defaultColWidth="9.109375" defaultRowHeight="12.75" customHeight="1" x14ac:dyDescent="0.25"/>
  <cols>
    <col min="1" max="1" width="76" style="1" customWidth="1"/>
    <col min="2" max="2" width="16" style="1" hidden="1" customWidth="1"/>
    <col min="3" max="3" width="0.44140625" style="1" hidden="1" customWidth="1"/>
    <col min="4" max="4" width="21" style="1" customWidth="1"/>
    <col min="5" max="5" width="18.33203125" style="1" customWidth="1"/>
    <col min="6" max="6" width="17.88671875" style="1" customWidth="1"/>
    <col min="7" max="7" width="20.88671875" style="1" customWidth="1"/>
    <col min="8" max="8" width="19.5546875" style="1" hidden="1" customWidth="1"/>
    <col min="9" max="9" width="22.6640625" style="2" customWidth="1"/>
    <col min="10" max="10" width="15" style="490" customWidth="1"/>
    <col min="11" max="73" width="9.109375" style="3"/>
    <col min="74" max="16384" width="9.109375" style="4"/>
  </cols>
  <sheetData>
    <row r="2" spans="1:86" ht="12.75" customHeight="1" x14ac:dyDescent="0.25">
      <c r="A2" s="527" t="s">
        <v>0</v>
      </c>
      <c r="B2" s="527"/>
      <c r="C2" s="527"/>
      <c r="D2" s="527"/>
      <c r="E2" s="527"/>
      <c r="F2" s="527"/>
      <c r="G2" s="527"/>
      <c r="H2" s="527"/>
      <c r="I2" s="527"/>
    </row>
    <row r="3" spans="1:86" ht="13.2" x14ac:dyDescent="0.25">
      <c r="A3" s="527"/>
      <c r="B3" s="527"/>
      <c r="C3" s="527"/>
      <c r="D3" s="527"/>
      <c r="E3" s="527"/>
      <c r="F3" s="527"/>
      <c r="G3" s="527"/>
      <c r="H3" s="527"/>
      <c r="I3" s="527"/>
    </row>
    <row r="4" spans="1:86" ht="28.2" x14ac:dyDescent="0.5">
      <c r="A4" s="527" t="s">
        <v>1</v>
      </c>
      <c r="B4" s="527"/>
      <c r="C4" s="527"/>
      <c r="D4" s="527"/>
      <c r="E4" s="527"/>
      <c r="F4" s="527"/>
      <c r="G4" s="527"/>
      <c r="H4" s="527"/>
      <c r="I4" s="527"/>
    </row>
    <row r="5" spans="1:86" ht="28.5" customHeight="1" x14ac:dyDescent="0.5">
      <c r="A5" s="5"/>
      <c r="B5" s="5"/>
      <c r="C5" s="5"/>
      <c r="D5" s="5"/>
      <c r="E5" s="5"/>
      <c r="F5" s="5"/>
      <c r="G5" s="6"/>
      <c r="H5" s="5"/>
      <c r="I5" s="7"/>
    </row>
    <row r="6" spans="1:86" ht="12.75" customHeight="1" x14ac:dyDescent="0.25">
      <c r="A6" s="531" t="s">
        <v>675</v>
      </c>
      <c r="B6" s="531"/>
      <c r="C6" s="531"/>
      <c r="D6" s="531"/>
      <c r="E6" s="531"/>
      <c r="F6" s="531"/>
      <c r="G6" s="531"/>
      <c r="H6" s="531"/>
      <c r="I6" s="531"/>
    </row>
    <row r="7" spans="1:86" ht="12.75" customHeight="1" x14ac:dyDescent="0.25">
      <c r="A7" s="8"/>
      <c r="B7" s="8"/>
      <c r="C7" s="8"/>
      <c r="D7" s="8"/>
      <c r="E7" s="8"/>
      <c r="F7" s="8"/>
      <c r="G7" s="8"/>
      <c r="H7" s="8"/>
      <c r="I7" s="9"/>
    </row>
    <row r="8" spans="1:86" ht="12.75" customHeight="1" x14ac:dyDescent="0.25">
      <c r="G8" s="10"/>
    </row>
    <row r="9" spans="1:86" ht="12.75" customHeight="1" thickBot="1" x14ac:dyDescent="0.3">
      <c r="D9" s="11"/>
      <c r="H9" s="11"/>
    </row>
    <row r="10" spans="1:86" s="15" customFormat="1" ht="18.75" customHeight="1" thickBot="1" x14ac:dyDescent="0.35">
      <c r="A10" s="532" t="s">
        <v>2</v>
      </c>
      <c r="B10" s="12"/>
      <c r="C10" s="13"/>
      <c r="D10" s="528" t="s">
        <v>3</v>
      </c>
      <c r="E10" s="529"/>
      <c r="F10" s="529"/>
      <c r="G10" s="529"/>
      <c r="H10" s="529"/>
      <c r="I10" s="530"/>
      <c r="J10" s="49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</row>
    <row r="11" spans="1:86" s="15" customFormat="1" ht="51.75" customHeight="1" x14ac:dyDescent="0.25">
      <c r="A11" s="533"/>
      <c r="B11" s="16" t="s">
        <v>4</v>
      </c>
      <c r="C11" s="17" t="s">
        <v>5</v>
      </c>
      <c r="D11" s="12" t="s">
        <v>6</v>
      </c>
      <c r="E11" s="412" t="s">
        <v>534</v>
      </c>
      <c r="F11" s="12" t="s">
        <v>7</v>
      </c>
      <c r="G11" s="12" t="s">
        <v>8</v>
      </c>
      <c r="H11" s="18" t="s">
        <v>9</v>
      </c>
      <c r="I11" s="12" t="s">
        <v>535</v>
      </c>
      <c r="J11" s="12" t="s">
        <v>10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</row>
    <row r="12" spans="1:86" s="15" customFormat="1" ht="0.75" customHeight="1" thickBot="1" x14ac:dyDescent="0.35">
      <c r="A12" s="19"/>
      <c r="B12" s="19"/>
      <c r="C12" s="20"/>
      <c r="D12" s="19"/>
      <c r="E12" s="409"/>
      <c r="F12" s="21"/>
      <c r="G12" s="21"/>
      <c r="H12" s="22"/>
      <c r="I12" s="21"/>
      <c r="J12" s="491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</row>
    <row r="13" spans="1:86" s="15" customFormat="1" ht="15.6" x14ac:dyDescent="0.3">
      <c r="A13" s="23"/>
      <c r="B13" s="24"/>
      <c r="C13" s="24"/>
      <c r="D13" s="413"/>
      <c r="E13" s="25"/>
      <c r="F13" s="26"/>
      <c r="G13" s="26"/>
      <c r="H13" s="27"/>
      <c r="I13" s="28"/>
      <c r="J13" s="516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</row>
    <row r="14" spans="1:86" s="15" customFormat="1" ht="17.399999999999999" x14ac:dyDescent="0.3">
      <c r="A14" s="29" t="s">
        <v>11</v>
      </c>
      <c r="B14" s="30"/>
      <c r="C14" s="507"/>
      <c r="D14" s="414"/>
      <c r="E14" s="31"/>
      <c r="F14" s="32"/>
      <c r="G14" s="32"/>
      <c r="H14" s="33"/>
      <c r="I14" s="34"/>
      <c r="J14" s="491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</row>
    <row r="15" spans="1:86" s="15" customFormat="1" ht="15" x14ac:dyDescent="0.25">
      <c r="A15" s="35"/>
      <c r="B15" s="36"/>
      <c r="C15" s="508"/>
      <c r="D15" s="415"/>
      <c r="E15" s="37"/>
      <c r="F15" s="32"/>
      <c r="G15" s="32"/>
      <c r="H15" s="32"/>
      <c r="I15" s="38"/>
      <c r="J15" s="491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</row>
    <row r="16" spans="1:86" s="15" customFormat="1" ht="15.6" x14ac:dyDescent="0.3">
      <c r="A16" s="39" t="s">
        <v>12</v>
      </c>
      <c r="B16" s="36"/>
      <c r="C16" s="508"/>
      <c r="D16" s="415"/>
      <c r="E16" s="37"/>
      <c r="F16" s="32"/>
      <c r="G16" s="32"/>
      <c r="H16" s="32"/>
      <c r="I16" s="38"/>
      <c r="J16" s="491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</row>
    <row r="17" spans="1:73" s="15" customFormat="1" ht="6.75" customHeight="1" x14ac:dyDescent="0.3">
      <c r="A17" s="39"/>
      <c r="B17" s="36"/>
      <c r="C17" s="508"/>
      <c r="D17" s="415"/>
      <c r="E17" s="37"/>
      <c r="F17" s="32"/>
      <c r="G17" s="32"/>
      <c r="H17" s="32"/>
      <c r="I17" s="38"/>
      <c r="J17" s="491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</row>
    <row r="18" spans="1:73" ht="12.75" customHeight="1" x14ac:dyDescent="0.25">
      <c r="D18" s="515"/>
      <c r="E18" s="518"/>
      <c r="F18" s="2"/>
      <c r="G18" s="2"/>
      <c r="H18" s="2"/>
      <c r="I18" s="519"/>
    </row>
    <row r="19" spans="1:73" s="50" customFormat="1" ht="17.399999999999999" x14ac:dyDescent="0.3">
      <c r="A19" s="472" t="s">
        <v>808</v>
      </c>
      <c r="B19" s="466"/>
      <c r="C19" s="509"/>
      <c r="D19" s="468"/>
      <c r="E19" s="520">
        <f>745687/1000</f>
        <v>745.68700000000001</v>
      </c>
      <c r="F19" s="444">
        <f>-58400/1000</f>
        <v>-58.4</v>
      </c>
      <c r="G19" s="444">
        <v>0</v>
      </c>
      <c r="H19" s="444"/>
      <c r="I19" s="469">
        <f>SUM(E19:G19)</f>
        <v>687.28700000000003</v>
      </c>
      <c r="J19" s="517" t="s">
        <v>61</v>
      </c>
    </row>
    <row r="20" spans="1:73" s="15" customFormat="1" ht="8.25" customHeight="1" x14ac:dyDescent="0.25">
      <c r="A20" s="40"/>
      <c r="B20" s="36"/>
      <c r="C20" s="508"/>
      <c r="D20" s="416"/>
      <c r="E20" s="41"/>
      <c r="F20" s="42"/>
      <c r="G20" s="42"/>
      <c r="H20" s="42"/>
      <c r="I20" s="43"/>
      <c r="J20" s="491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</row>
    <row r="21" spans="1:73" s="15" customFormat="1" ht="15.6" x14ac:dyDescent="0.3">
      <c r="A21" s="44" t="s">
        <v>13</v>
      </c>
      <c r="B21" s="36"/>
      <c r="C21" s="508"/>
      <c r="D21" s="415">
        <f t="shared" ref="D21:I21" si="0">SUM(D18:D19)</f>
        <v>0</v>
      </c>
      <c r="E21" s="37">
        <f t="shared" si="0"/>
        <v>745.68700000000001</v>
      </c>
      <c r="F21" s="32">
        <f t="shared" si="0"/>
        <v>-58.4</v>
      </c>
      <c r="G21" s="45">
        <f t="shared" si="0"/>
        <v>0</v>
      </c>
      <c r="H21" s="32">
        <f t="shared" si="0"/>
        <v>0</v>
      </c>
      <c r="I21" s="38">
        <f t="shared" si="0"/>
        <v>687.28700000000003</v>
      </c>
      <c r="J21" s="491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</row>
    <row r="22" spans="1:73" s="15" customFormat="1" ht="15" x14ac:dyDescent="0.25">
      <c r="A22" s="40"/>
      <c r="B22" s="36"/>
      <c r="C22" s="508"/>
      <c r="D22" s="415"/>
      <c r="E22" s="37"/>
      <c r="F22" s="32"/>
      <c r="G22" s="32"/>
      <c r="H22" s="32"/>
      <c r="I22" s="38"/>
      <c r="J22" s="491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</row>
    <row r="23" spans="1:73" s="15" customFormat="1" ht="15.6" x14ac:dyDescent="0.3">
      <c r="A23" s="39" t="s">
        <v>14</v>
      </c>
      <c r="B23" s="36"/>
      <c r="C23" s="508"/>
      <c r="D23" s="415"/>
      <c r="E23" s="37"/>
      <c r="F23" s="32"/>
      <c r="G23" s="32"/>
      <c r="H23" s="32"/>
      <c r="I23" s="38"/>
      <c r="J23" s="491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</row>
    <row r="24" spans="1:73" s="15" customFormat="1" ht="6" customHeight="1" x14ac:dyDescent="0.25">
      <c r="A24" s="46"/>
      <c r="B24" s="36"/>
      <c r="C24" s="508"/>
      <c r="D24" s="415"/>
      <c r="E24" s="37"/>
      <c r="F24" s="32"/>
      <c r="G24" s="32"/>
      <c r="H24" s="32"/>
      <c r="I24" s="38"/>
      <c r="J24" s="491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</row>
    <row r="25" spans="1:73" s="50" customFormat="1" ht="17.399999999999999" x14ac:dyDescent="0.3">
      <c r="A25" s="472" t="s">
        <v>771</v>
      </c>
      <c r="B25" s="466"/>
      <c r="C25" s="509"/>
      <c r="D25" s="468"/>
      <c r="E25" s="520">
        <v>226.749</v>
      </c>
      <c r="F25" s="444">
        <v>-37.700000000000003</v>
      </c>
      <c r="G25" s="444">
        <v>0</v>
      </c>
      <c r="H25" s="444"/>
      <c r="I25" s="469">
        <f t="shared" ref="I25:I30" si="1">SUM(E25:G25)</f>
        <v>189.04899999999998</v>
      </c>
      <c r="J25" s="517" t="s">
        <v>21</v>
      </c>
    </row>
    <row r="26" spans="1:73" s="50" customFormat="1" ht="17.399999999999999" x14ac:dyDescent="0.3">
      <c r="A26" s="472" t="s">
        <v>763</v>
      </c>
      <c r="B26" s="466"/>
      <c r="C26" s="509"/>
      <c r="D26" s="468"/>
      <c r="E26" s="520">
        <v>2525.3049999999998</v>
      </c>
      <c r="F26" s="444">
        <v>-190.75</v>
      </c>
      <c r="G26" s="444">
        <v>0</v>
      </c>
      <c r="H26" s="444"/>
      <c r="I26" s="469">
        <f t="shared" si="1"/>
        <v>2334.5549999999998</v>
      </c>
      <c r="J26" s="517" t="s">
        <v>21</v>
      </c>
    </row>
    <row r="27" spans="1:73" s="50" customFormat="1" ht="17.399999999999999" x14ac:dyDescent="0.3">
      <c r="A27" s="472" t="s">
        <v>764</v>
      </c>
      <c r="B27" s="466"/>
      <c r="C27" s="509"/>
      <c r="D27" s="468"/>
      <c r="E27" s="520">
        <v>3413.5039999999999</v>
      </c>
      <c r="F27" s="444">
        <v>-702</v>
      </c>
      <c r="G27" s="444">
        <v>0</v>
      </c>
      <c r="H27" s="444"/>
      <c r="I27" s="469">
        <f t="shared" si="1"/>
        <v>2711.5039999999999</v>
      </c>
      <c r="J27" s="517" t="s">
        <v>21</v>
      </c>
    </row>
    <row r="28" spans="1:73" s="50" customFormat="1" ht="17.399999999999999" x14ac:dyDescent="0.3">
      <c r="A28" s="472" t="s">
        <v>770</v>
      </c>
      <c r="B28" s="466"/>
      <c r="C28" s="509"/>
      <c r="D28" s="468"/>
      <c r="E28" s="520">
        <v>9481.3979999999992</v>
      </c>
      <c r="F28" s="444">
        <v>-925</v>
      </c>
      <c r="G28" s="444">
        <v>0</v>
      </c>
      <c r="H28" s="444"/>
      <c r="I28" s="469">
        <f t="shared" si="1"/>
        <v>8556.3979999999992</v>
      </c>
      <c r="J28" s="517" t="s">
        <v>21</v>
      </c>
    </row>
    <row r="29" spans="1:73" s="50" customFormat="1" ht="15.6" x14ac:dyDescent="0.3">
      <c r="A29" s="453" t="s">
        <v>680</v>
      </c>
      <c r="B29" s="454"/>
      <c r="C29" s="510"/>
      <c r="D29" s="448"/>
      <c r="E29" s="449">
        <v>9.3729999999999993</v>
      </c>
      <c r="F29" s="450">
        <v>0</v>
      </c>
      <c r="G29" s="450">
        <v>0</v>
      </c>
      <c r="H29" s="450"/>
      <c r="I29" s="436">
        <f t="shared" si="1"/>
        <v>9.3729999999999993</v>
      </c>
      <c r="J29" s="517" t="s">
        <v>18</v>
      </c>
    </row>
    <row r="30" spans="1:73" s="50" customFormat="1" ht="15.6" x14ac:dyDescent="0.3">
      <c r="A30" s="51" t="s">
        <v>657</v>
      </c>
      <c r="B30" s="47"/>
      <c r="C30" s="511"/>
      <c r="D30" s="138"/>
      <c r="E30" s="54">
        <v>-419.93799999999999</v>
      </c>
      <c r="F30" s="45">
        <v>0</v>
      </c>
      <c r="G30" s="45">
        <v>0</v>
      </c>
      <c r="H30" s="45"/>
      <c r="I30" s="55">
        <f t="shared" si="1"/>
        <v>-419.93799999999999</v>
      </c>
      <c r="J30" s="517" t="s">
        <v>15</v>
      </c>
    </row>
    <row r="31" spans="1:73" s="50" customFormat="1" ht="15.6" x14ac:dyDescent="0.3">
      <c r="A31" s="51" t="s">
        <v>600</v>
      </c>
      <c r="B31" s="47"/>
      <c r="C31" s="511"/>
      <c r="D31" s="138"/>
      <c r="E31" s="54">
        <v>-188.863</v>
      </c>
      <c r="F31" s="45">
        <v>0</v>
      </c>
      <c r="G31" s="45">
        <v>0</v>
      </c>
      <c r="H31" s="45"/>
      <c r="I31" s="55">
        <f>SUM(E31:H31)</f>
        <v>-188.863</v>
      </c>
      <c r="J31" s="517" t="s">
        <v>18</v>
      </c>
    </row>
    <row r="32" spans="1:73" s="56" customFormat="1" ht="15" x14ac:dyDescent="0.25">
      <c r="A32" s="51" t="s">
        <v>16</v>
      </c>
      <c r="B32" s="52">
        <v>37083</v>
      </c>
      <c r="C32" s="47" t="s">
        <v>17</v>
      </c>
      <c r="D32" s="156">
        <f>I32/0.015</f>
        <v>80765.133333333346</v>
      </c>
      <c r="E32" s="54">
        <v>1211.4770000000001</v>
      </c>
      <c r="F32" s="45">
        <v>0</v>
      </c>
      <c r="G32" s="45">
        <v>0</v>
      </c>
      <c r="H32" s="45">
        <v>0</v>
      </c>
      <c r="I32" s="55">
        <f t="shared" ref="I32:I37" si="2">SUM(E32:H32)</f>
        <v>1211.4770000000001</v>
      </c>
      <c r="J32" s="517" t="s">
        <v>18</v>
      </c>
    </row>
    <row r="33" spans="1:73" s="50" customFormat="1" ht="15.6" x14ac:dyDescent="0.3">
      <c r="A33" s="51" t="s">
        <v>19</v>
      </c>
      <c r="B33" s="52">
        <v>37083</v>
      </c>
      <c r="C33" s="512" t="s">
        <v>20</v>
      </c>
      <c r="D33" s="138">
        <v>44512.319000000003</v>
      </c>
      <c r="E33" s="54">
        <v>4878.4110000000001</v>
      </c>
      <c r="F33" s="45">
        <v>-685</v>
      </c>
      <c r="G33" s="45">
        <v>0</v>
      </c>
      <c r="H33" s="45">
        <v>0</v>
      </c>
      <c r="I33" s="55">
        <f t="shared" si="2"/>
        <v>4193.4110000000001</v>
      </c>
      <c r="J33" s="517" t="s">
        <v>21</v>
      </c>
    </row>
    <row r="34" spans="1:73" s="50" customFormat="1" ht="15.6" x14ac:dyDescent="0.3">
      <c r="A34" s="51" t="s">
        <v>22</v>
      </c>
      <c r="B34" s="52">
        <v>37091</v>
      </c>
      <c r="C34" s="512" t="s">
        <v>20</v>
      </c>
      <c r="D34" s="138">
        <v>0</v>
      </c>
      <c r="E34" s="54">
        <v>0</v>
      </c>
      <c r="F34" s="45">
        <v>85</v>
      </c>
      <c r="G34" s="45">
        <v>0</v>
      </c>
      <c r="H34" s="45">
        <v>0</v>
      </c>
      <c r="I34" s="55">
        <f t="shared" si="2"/>
        <v>85</v>
      </c>
      <c r="J34" s="517" t="s">
        <v>21</v>
      </c>
    </row>
    <row r="35" spans="1:73" s="50" customFormat="1" ht="15.6" x14ac:dyDescent="0.3">
      <c r="A35" s="51" t="s">
        <v>23</v>
      </c>
      <c r="B35" s="58">
        <v>37098</v>
      </c>
      <c r="C35" s="512" t="s">
        <v>20</v>
      </c>
      <c r="D35" s="417">
        <v>0</v>
      </c>
      <c r="E35" s="54">
        <v>0</v>
      </c>
      <c r="F35" s="45">
        <v>-23.55</v>
      </c>
      <c r="G35" s="45">
        <v>0</v>
      </c>
      <c r="H35" s="45"/>
      <c r="I35" s="55">
        <f t="shared" si="2"/>
        <v>-23.55</v>
      </c>
      <c r="J35" s="517" t="s">
        <v>21</v>
      </c>
    </row>
    <row r="36" spans="1:73" s="50" customFormat="1" ht="15.6" x14ac:dyDescent="0.3">
      <c r="A36" s="51" t="s">
        <v>24</v>
      </c>
      <c r="B36" s="58">
        <v>37098</v>
      </c>
      <c r="C36" s="512" t="s">
        <v>20</v>
      </c>
      <c r="D36" s="417">
        <v>0</v>
      </c>
      <c r="E36" s="54">
        <v>0</v>
      </c>
      <c r="F36" s="45">
        <v>-119.88</v>
      </c>
      <c r="G36" s="45">
        <v>0</v>
      </c>
      <c r="H36" s="45"/>
      <c r="I36" s="55">
        <f t="shared" si="2"/>
        <v>-119.88</v>
      </c>
      <c r="J36" s="517" t="s">
        <v>21</v>
      </c>
    </row>
    <row r="37" spans="1:73" s="50" customFormat="1" ht="15.6" x14ac:dyDescent="0.3">
      <c r="A37" s="51" t="s">
        <v>25</v>
      </c>
      <c r="B37" s="58">
        <v>37098</v>
      </c>
      <c r="C37" s="512" t="s">
        <v>20</v>
      </c>
      <c r="D37" s="138">
        <v>8712.6970000000001</v>
      </c>
      <c r="E37" s="54">
        <v>1117.355</v>
      </c>
      <c r="F37" s="45">
        <v>-0.12</v>
      </c>
      <c r="G37" s="45">
        <v>0</v>
      </c>
      <c r="H37" s="45"/>
      <c r="I37" s="55">
        <f t="shared" si="2"/>
        <v>1117.2350000000001</v>
      </c>
      <c r="J37" s="517" t="s">
        <v>21</v>
      </c>
    </row>
    <row r="38" spans="1:73" s="15" customFormat="1" ht="3.75" customHeight="1" x14ac:dyDescent="0.25">
      <c r="A38" s="46"/>
      <c r="B38" s="36"/>
      <c r="C38" s="508"/>
      <c r="D38" s="416"/>
      <c r="E38" s="41"/>
      <c r="F38" s="42"/>
      <c r="G38" s="42"/>
      <c r="H38" s="42"/>
      <c r="I38" s="43"/>
      <c r="J38" s="491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</row>
    <row r="39" spans="1:73" s="15" customFormat="1" ht="15.6" x14ac:dyDescent="0.3">
      <c r="A39" s="44" t="s">
        <v>26</v>
      </c>
      <c r="B39" s="36"/>
      <c r="C39" s="508"/>
      <c r="D39" s="415">
        <f t="shared" ref="D39:I39" si="3">SUM(D23:D38)</f>
        <v>133990.14933333336</v>
      </c>
      <c r="E39" s="37">
        <f t="shared" si="3"/>
        <v>22254.770999999997</v>
      </c>
      <c r="F39" s="32">
        <f t="shared" si="3"/>
        <v>-2599</v>
      </c>
      <c r="G39" s="32">
        <f t="shared" si="3"/>
        <v>0</v>
      </c>
      <c r="H39" s="32">
        <f t="shared" si="3"/>
        <v>0</v>
      </c>
      <c r="I39" s="38">
        <f t="shared" si="3"/>
        <v>19655.771000000001</v>
      </c>
      <c r="J39" s="491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</row>
    <row r="40" spans="1:73" s="15" customFormat="1" ht="15" x14ac:dyDescent="0.25">
      <c r="A40" s="46"/>
      <c r="B40" s="36"/>
      <c r="C40" s="508"/>
      <c r="D40" s="415"/>
      <c r="E40" s="37"/>
      <c r="F40" s="32"/>
      <c r="G40" s="32"/>
      <c r="H40" s="32"/>
      <c r="I40" s="38"/>
      <c r="J40" s="491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</row>
    <row r="41" spans="1:73" s="15" customFormat="1" ht="15.6" x14ac:dyDescent="0.3">
      <c r="A41" s="39" t="s">
        <v>27</v>
      </c>
      <c r="B41" s="36"/>
      <c r="C41" s="508"/>
      <c r="D41" s="415"/>
      <c r="E41" s="37"/>
      <c r="F41" s="32"/>
      <c r="G41" s="32"/>
      <c r="H41" s="32"/>
      <c r="I41" s="38"/>
      <c r="J41" s="491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</row>
    <row r="42" spans="1:73" s="15" customFormat="1" ht="4.5" customHeight="1" x14ac:dyDescent="0.3">
      <c r="A42" s="39"/>
      <c r="B42" s="36"/>
      <c r="C42" s="508"/>
      <c r="D42" s="415"/>
      <c r="E42" s="37"/>
      <c r="F42" s="32"/>
      <c r="G42" s="32"/>
      <c r="H42" s="32"/>
      <c r="I42" s="38"/>
      <c r="J42" s="491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</row>
    <row r="43" spans="1:73" s="50" customFormat="1" ht="17.399999999999999" x14ac:dyDescent="0.3">
      <c r="A43" s="483" t="s">
        <v>840</v>
      </c>
      <c r="B43" s="466"/>
      <c r="C43" s="509"/>
      <c r="D43" s="468"/>
      <c r="E43" s="520">
        <v>1563.8209999999999</v>
      </c>
      <c r="F43" s="444">
        <v>0</v>
      </c>
      <c r="G43" s="444">
        <v>0</v>
      </c>
      <c r="H43" s="444"/>
      <c r="I43" s="469">
        <f>SUM(E43:H43)</f>
        <v>1563.8209999999999</v>
      </c>
      <c r="J43" s="517"/>
    </row>
    <row r="44" spans="1:73" s="50" customFormat="1" ht="17.399999999999999" x14ac:dyDescent="0.3">
      <c r="A44" s="483" t="s">
        <v>841</v>
      </c>
      <c r="B44" s="466"/>
      <c r="C44" s="509"/>
      <c r="D44" s="468"/>
      <c r="E44" s="520">
        <v>2447.7489999999998</v>
      </c>
      <c r="F44" s="444">
        <v>-750</v>
      </c>
      <c r="G44" s="444">
        <v>0</v>
      </c>
      <c r="H44" s="444"/>
      <c r="I44" s="469">
        <f>SUM(E44:H44)</f>
        <v>1697.7489999999998</v>
      </c>
      <c r="J44" s="517"/>
    </row>
    <row r="45" spans="1:73" s="50" customFormat="1" ht="17.399999999999999" x14ac:dyDescent="0.3">
      <c r="A45" s="483" t="s">
        <v>842</v>
      </c>
      <c r="B45" s="466"/>
      <c r="C45" s="509"/>
      <c r="D45" s="468"/>
      <c r="E45" s="520">
        <v>13708.195</v>
      </c>
      <c r="F45" s="444">
        <v>-2174.7020000000002</v>
      </c>
      <c r="G45" s="444">
        <v>0</v>
      </c>
      <c r="H45" s="444"/>
      <c r="I45" s="469">
        <f>SUM(E45:H45)</f>
        <v>11533.492999999999</v>
      </c>
      <c r="J45" s="517"/>
    </row>
    <row r="46" spans="1:73" s="50" customFormat="1" ht="17.399999999999999" x14ac:dyDescent="0.3">
      <c r="A46" s="483" t="s">
        <v>843</v>
      </c>
      <c r="B46" s="466"/>
      <c r="C46" s="509"/>
      <c r="D46" s="468"/>
      <c r="E46" s="520">
        <v>886.59500000000003</v>
      </c>
      <c r="F46" s="444">
        <v>0</v>
      </c>
      <c r="G46" s="444">
        <v>0</v>
      </c>
      <c r="H46" s="444"/>
      <c r="I46" s="469">
        <f>SUM(E46:H46)</f>
        <v>886.59500000000003</v>
      </c>
      <c r="J46" s="517"/>
    </row>
    <row r="47" spans="1:73" s="50" customFormat="1" ht="17.399999999999999" x14ac:dyDescent="0.3">
      <c r="A47" s="483" t="s">
        <v>767</v>
      </c>
      <c r="B47" s="466"/>
      <c r="C47" s="509"/>
      <c r="D47" s="468"/>
      <c r="E47" s="520">
        <f>-330832/1000</f>
        <v>-330.83199999999999</v>
      </c>
      <c r="F47" s="444">
        <f>237805/1000</f>
        <v>237.80500000000001</v>
      </c>
      <c r="G47" s="444">
        <v>0</v>
      </c>
      <c r="H47" s="444"/>
      <c r="I47" s="469">
        <f>SUM(E47:G47)</f>
        <v>-93.026999999999987</v>
      </c>
      <c r="J47" s="517" t="s">
        <v>21</v>
      </c>
    </row>
    <row r="48" spans="1:73" s="50" customFormat="1" ht="15.6" x14ac:dyDescent="0.3">
      <c r="A48" s="51" t="s">
        <v>28</v>
      </c>
      <c r="B48" s="47"/>
      <c r="C48" s="511"/>
      <c r="D48" s="138"/>
      <c r="E48" s="54">
        <v>12.904</v>
      </c>
      <c r="F48" s="45"/>
      <c r="G48" s="45"/>
      <c r="H48" s="45"/>
      <c r="I48" s="55">
        <f>SUM(E48:G48)</f>
        <v>12.904</v>
      </c>
      <c r="J48" s="517" t="s">
        <v>18</v>
      </c>
    </row>
    <row r="49" spans="1:73" s="50" customFormat="1" ht="15.6" x14ac:dyDescent="0.3">
      <c r="A49" s="51" t="s">
        <v>29</v>
      </c>
      <c r="B49" s="47"/>
      <c r="C49" s="511"/>
      <c r="D49" s="138"/>
      <c r="E49" s="54">
        <v>104.892</v>
      </c>
      <c r="F49" s="45"/>
      <c r="G49" s="45"/>
      <c r="H49" s="45"/>
      <c r="I49" s="55">
        <f>SUM(E49:G49)</f>
        <v>104.892</v>
      </c>
      <c r="J49" s="517" t="s">
        <v>18</v>
      </c>
    </row>
    <row r="50" spans="1:73" s="50" customFormat="1" ht="15.6" x14ac:dyDescent="0.3">
      <c r="A50" s="51" t="s">
        <v>30</v>
      </c>
      <c r="B50" s="47"/>
      <c r="C50" s="511"/>
      <c r="D50" s="138"/>
      <c r="E50" s="54">
        <v>33.659999999999997</v>
      </c>
      <c r="F50" s="45"/>
      <c r="G50" s="45"/>
      <c r="H50" s="45"/>
      <c r="I50" s="55">
        <f>SUM(E50:G50)</f>
        <v>33.659999999999997</v>
      </c>
      <c r="J50" s="517" t="s">
        <v>18</v>
      </c>
    </row>
    <row r="51" spans="1:73" s="50" customFormat="1" ht="15.6" x14ac:dyDescent="0.3">
      <c r="A51" s="51" t="s">
        <v>31</v>
      </c>
      <c r="B51" s="47"/>
      <c r="C51" s="511"/>
      <c r="D51" s="138"/>
      <c r="E51" s="54">
        <v>9.6</v>
      </c>
      <c r="F51" s="45"/>
      <c r="G51" s="45"/>
      <c r="H51" s="45"/>
      <c r="I51" s="55">
        <f>SUM(E51:G51)</f>
        <v>9.6</v>
      </c>
      <c r="J51" s="517" t="s">
        <v>18</v>
      </c>
    </row>
    <row r="52" spans="1:73" s="50" customFormat="1" ht="15.6" x14ac:dyDescent="0.3">
      <c r="A52" s="51" t="s">
        <v>32</v>
      </c>
      <c r="B52" s="47"/>
      <c r="C52" s="511"/>
      <c r="D52" s="138"/>
      <c r="E52" s="54">
        <v>11585.378000000001</v>
      </c>
      <c r="F52" s="45">
        <v>-1003.725</v>
      </c>
      <c r="G52" s="45"/>
      <c r="H52" s="45"/>
      <c r="I52" s="55">
        <v>10581.653</v>
      </c>
      <c r="J52" s="517" t="s">
        <v>33</v>
      </c>
    </row>
    <row r="53" spans="1:73" s="50" customFormat="1" ht="15.6" x14ac:dyDescent="0.3">
      <c r="A53" s="51" t="s">
        <v>34</v>
      </c>
      <c r="B53" s="47"/>
      <c r="C53" s="511"/>
      <c r="D53" s="138"/>
      <c r="E53" s="54">
        <v>0.84899999999999998</v>
      </c>
      <c r="F53" s="45"/>
      <c r="G53" s="45"/>
      <c r="H53" s="45"/>
      <c r="I53" s="55">
        <v>0.88800000000000001</v>
      </c>
      <c r="J53" s="517" t="s">
        <v>18</v>
      </c>
    </row>
    <row r="54" spans="1:73" s="50" customFormat="1" ht="15.6" x14ac:dyDescent="0.3">
      <c r="A54" s="51" t="s">
        <v>35</v>
      </c>
      <c r="B54" s="47"/>
      <c r="C54" s="511"/>
      <c r="D54" s="138"/>
      <c r="E54" s="54">
        <v>2012.317</v>
      </c>
      <c r="F54" s="45">
        <v>47.561</v>
      </c>
      <c r="G54" s="45"/>
      <c r="H54" s="45"/>
      <c r="I54" s="55">
        <f>SUM(E54:H54)</f>
        <v>2059.8780000000002</v>
      </c>
      <c r="J54" s="517" t="s">
        <v>33</v>
      </c>
    </row>
    <row r="55" spans="1:73" s="50" customFormat="1" ht="17.399999999999999" x14ac:dyDescent="0.3">
      <c r="A55" s="59" t="s">
        <v>36</v>
      </c>
      <c r="B55" s="60"/>
      <c r="C55" s="61" t="s">
        <v>37</v>
      </c>
      <c r="D55" s="418"/>
      <c r="E55" s="54">
        <v>5.7</v>
      </c>
      <c r="F55" s="45"/>
      <c r="G55" s="45"/>
      <c r="H55" s="45"/>
      <c r="I55" s="55">
        <f>SUM(E55:G55)</f>
        <v>5.7</v>
      </c>
      <c r="J55" s="517" t="s">
        <v>18</v>
      </c>
    </row>
    <row r="56" spans="1:73" s="50" customFormat="1" ht="15.6" x14ac:dyDescent="0.3">
      <c r="A56" s="51" t="s">
        <v>38</v>
      </c>
      <c r="B56" s="52">
        <v>37091</v>
      </c>
      <c r="C56" s="47" t="s">
        <v>39</v>
      </c>
      <c r="D56" s="138">
        <f>I56/0.015</f>
        <v>750</v>
      </c>
      <c r="E56" s="54">
        <f>11.25</f>
        <v>11.25</v>
      </c>
      <c r="F56" s="45">
        <v>0</v>
      </c>
      <c r="G56" s="45">
        <v>0</v>
      </c>
      <c r="H56" s="45">
        <v>0</v>
      </c>
      <c r="I56" s="55">
        <f t="shared" ref="I56:I61" si="4">SUM(E56:H56)</f>
        <v>11.25</v>
      </c>
      <c r="J56" s="517" t="s">
        <v>18</v>
      </c>
    </row>
    <row r="57" spans="1:73" s="50" customFormat="1" ht="15.6" x14ac:dyDescent="0.3">
      <c r="A57" s="51" t="s">
        <v>40</v>
      </c>
      <c r="B57" s="52">
        <v>37091</v>
      </c>
      <c r="C57" s="47" t="s">
        <v>39</v>
      </c>
      <c r="D57" s="138">
        <f>I57/0.015</f>
        <v>1847.4666666666667</v>
      </c>
      <c r="E57" s="54">
        <f>27.712</f>
        <v>27.712</v>
      </c>
      <c r="F57" s="45">
        <v>0</v>
      </c>
      <c r="G57" s="45">
        <v>0</v>
      </c>
      <c r="H57" s="45">
        <v>0</v>
      </c>
      <c r="I57" s="55">
        <f t="shared" si="4"/>
        <v>27.712</v>
      </c>
      <c r="J57" s="517" t="s">
        <v>18</v>
      </c>
    </row>
    <row r="58" spans="1:73" s="50" customFormat="1" ht="15.6" x14ac:dyDescent="0.3">
      <c r="A58" s="51" t="s">
        <v>41</v>
      </c>
      <c r="B58" s="52">
        <v>37091</v>
      </c>
      <c r="C58" s="47" t="s">
        <v>39</v>
      </c>
      <c r="D58" s="138">
        <f>I58/0.015</f>
        <v>0</v>
      </c>
      <c r="E58" s="54">
        <v>0</v>
      </c>
      <c r="F58" s="45">
        <v>0</v>
      </c>
      <c r="G58" s="45">
        <v>0</v>
      </c>
      <c r="H58" s="45">
        <v>0</v>
      </c>
      <c r="I58" s="55">
        <f t="shared" si="4"/>
        <v>0</v>
      </c>
      <c r="J58" s="517"/>
    </row>
    <row r="59" spans="1:73" s="50" customFormat="1" ht="15.6" x14ac:dyDescent="0.3">
      <c r="A59" s="51" t="s">
        <v>42</v>
      </c>
      <c r="B59" s="58">
        <v>37098</v>
      </c>
      <c r="C59" s="47" t="s">
        <v>39</v>
      </c>
      <c r="D59" s="417">
        <v>0</v>
      </c>
      <c r="E59" s="54">
        <v>-44.774000000000001</v>
      </c>
      <c r="F59" s="45">
        <v>0</v>
      </c>
      <c r="G59" s="45">
        <v>0</v>
      </c>
      <c r="H59" s="45"/>
      <c r="I59" s="55">
        <f t="shared" si="4"/>
        <v>-44.774000000000001</v>
      </c>
      <c r="J59" s="517" t="s">
        <v>18</v>
      </c>
    </row>
    <row r="60" spans="1:73" s="50" customFormat="1" ht="15.6" x14ac:dyDescent="0.3">
      <c r="A60" s="51" t="s">
        <v>564</v>
      </c>
      <c r="B60" s="58"/>
      <c r="C60" s="47"/>
      <c r="D60" s="417"/>
      <c r="E60" s="54">
        <v>44.774000000000001</v>
      </c>
      <c r="F60" s="45">
        <v>0</v>
      </c>
      <c r="G60" s="45">
        <v>0</v>
      </c>
      <c r="H60" s="45"/>
      <c r="I60" s="55">
        <f t="shared" si="4"/>
        <v>44.774000000000001</v>
      </c>
      <c r="J60" s="517" t="s">
        <v>18</v>
      </c>
    </row>
    <row r="61" spans="1:73" s="50" customFormat="1" ht="15.6" x14ac:dyDescent="0.3">
      <c r="A61" s="51" t="s">
        <v>38</v>
      </c>
      <c r="B61" s="58">
        <v>37098</v>
      </c>
      <c r="C61" s="47" t="s">
        <v>39</v>
      </c>
      <c r="D61" s="417">
        <f>I61/0.03</f>
        <v>11.666666666666666</v>
      </c>
      <c r="E61" s="54">
        <v>0.35</v>
      </c>
      <c r="F61" s="45">
        <v>0</v>
      </c>
      <c r="G61" s="45">
        <v>0</v>
      </c>
      <c r="H61" s="45"/>
      <c r="I61" s="55">
        <f t="shared" si="4"/>
        <v>0.35</v>
      </c>
      <c r="J61" s="517" t="s">
        <v>18</v>
      </c>
    </row>
    <row r="62" spans="1:73" s="15" customFormat="1" ht="6" customHeight="1" x14ac:dyDescent="0.25">
      <c r="A62" s="46"/>
      <c r="B62" s="36"/>
      <c r="C62" s="508"/>
      <c r="D62" s="416"/>
      <c r="E62" s="41"/>
      <c r="F62" s="42"/>
      <c r="G62" s="42"/>
      <c r="H62" s="42"/>
      <c r="I62" s="43"/>
      <c r="J62" s="491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</row>
    <row r="63" spans="1:73" s="15" customFormat="1" ht="15.6" x14ac:dyDescent="0.3">
      <c r="A63" s="44" t="s">
        <v>43</v>
      </c>
      <c r="B63" s="36"/>
      <c r="C63" s="508"/>
      <c r="D63" s="415">
        <f t="shared" ref="D63:I63" si="5">SUM(D41:D62)</f>
        <v>2609.1333333333332</v>
      </c>
      <c r="E63" s="37">
        <f t="shared" si="5"/>
        <v>32080.139999999996</v>
      </c>
      <c r="F63" s="32">
        <f t="shared" si="5"/>
        <v>-3643.0610000000001</v>
      </c>
      <c r="G63" s="32">
        <f t="shared" si="5"/>
        <v>0</v>
      </c>
      <c r="H63" s="32">
        <f t="shared" si="5"/>
        <v>0</v>
      </c>
      <c r="I63" s="38">
        <f t="shared" si="5"/>
        <v>28437.117999999995</v>
      </c>
      <c r="J63" s="491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</row>
    <row r="64" spans="1:73" s="15" customFormat="1" ht="15" x14ac:dyDescent="0.25">
      <c r="A64" s="46"/>
      <c r="B64" s="36"/>
      <c r="C64" s="508"/>
      <c r="D64" s="415"/>
      <c r="E64" s="37"/>
      <c r="F64" s="32"/>
      <c r="G64" s="32"/>
      <c r="H64" s="32"/>
      <c r="I64" s="38"/>
      <c r="J64" s="491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</row>
    <row r="65" spans="1:73" s="15" customFormat="1" ht="15.6" x14ac:dyDescent="0.3">
      <c r="A65" s="39" t="s">
        <v>44</v>
      </c>
      <c r="B65" s="36"/>
      <c r="C65" s="508"/>
      <c r="D65" s="415"/>
      <c r="E65" s="37"/>
      <c r="F65" s="32"/>
      <c r="G65" s="32"/>
      <c r="H65" s="32"/>
      <c r="I65" s="38"/>
      <c r="J65" s="491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</row>
    <row r="66" spans="1:73" s="15" customFormat="1" ht="5.25" customHeight="1" x14ac:dyDescent="0.25">
      <c r="A66" s="40"/>
      <c r="B66" s="36"/>
      <c r="C66" s="508"/>
      <c r="D66" s="415"/>
      <c r="E66" s="37"/>
      <c r="F66" s="32"/>
      <c r="G66" s="32"/>
      <c r="H66" s="32"/>
      <c r="I66" s="38"/>
      <c r="J66" s="491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</row>
    <row r="67" spans="1:73" s="50" customFormat="1" ht="17.399999999999999" x14ac:dyDescent="0.3">
      <c r="A67" s="473" t="s">
        <v>766</v>
      </c>
      <c r="B67" s="466"/>
      <c r="C67" s="509"/>
      <c r="D67" s="468"/>
      <c r="E67" s="520">
        <f>-444610/1000</f>
        <v>-444.61</v>
      </c>
      <c r="F67" s="444">
        <f>14221/1000</f>
        <v>14.221</v>
      </c>
      <c r="G67" s="444"/>
      <c r="H67" s="444"/>
      <c r="I67" s="469">
        <f t="shared" ref="I67:I76" si="6">SUM(E67:G67)</f>
        <v>-430.38900000000001</v>
      </c>
      <c r="J67" s="517" t="s">
        <v>21</v>
      </c>
    </row>
    <row r="68" spans="1:73" s="50" customFormat="1" ht="17.399999999999999" x14ac:dyDescent="0.3">
      <c r="A68" s="473" t="s">
        <v>776</v>
      </c>
      <c r="B68" s="466"/>
      <c r="C68" s="509"/>
      <c r="D68" s="468"/>
      <c r="E68" s="520">
        <f>3278907/1000</f>
        <v>3278.9070000000002</v>
      </c>
      <c r="F68" s="444">
        <f>-149017/1000</f>
        <v>-149.017</v>
      </c>
      <c r="G68" s="444"/>
      <c r="H68" s="444"/>
      <c r="I68" s="469">
        <f t="shared" si="6"/>
        <v>3129.8900000000003</v>
      </c>
      <c r="J68" s="517" t="s">
        <v>21</v>
      </c>
    </row>
    <row r="69" spans="1:73" s="50" customFormat="1" ht="17.399999999999999" x14ac:dyDescent="0.3">
      <c r="A69" s="473" t="s">
        <v>756</v>
      </c>
      <c r="B69" s="466"/>
      <c r="C69" s="509"/>
      <c r="D69" s="468"/>
      <c r="E69" s="520">
        <f>911533/1000</f>
        <v>911.53300000000002</v>
      </c>
      <c r="F69" s="444">
        <f>-50680/1000</f>
        <v>-50.68</v>
      </c>
      <c r="G69" s="444"/>
      <c r="H69" s="444"/>
      <c r="I69" s="469">
        <f t="shared" si="6"/>
        <v>860.85300000000007</v>
      </c>
      <c r="J69" s="517" t="s">
        <v>72</v>
      </c>
    </row>
    <row r="70" spans="1:73" s="50" customFormat="1" ht="17.399999999999999" x14ac:dyDescent="0.3">
      <c r="A70" s="473" t="s">
        <v>789</v>
      </c>
      <c r="B70" s="466"/>
      <c r="C70" s="509"/>
      <c r="D70" s="468"/>
      <c r="E70" s="520">
        <f>678447/1000</f>
        <v>678.447</v>
      </c>
      <c r="F70" s="444">
        <f>-100897/1000</f>
        <v>-100.89700000000001</v>
      </c>
      <c r="G70" s="444"/>
      <c r="H70" s="444"/>
      <c r="I70" s="469">
        <f t="shared" si="6"/>
        <v>577.54999999999995</v>
      </c>
      <c r="J70" s="517" t="s">
        <v>72</v>
      </c>
    </row>
    <row r="71" spans="1:73" s="50" customFormat="1" ht="17.399999999999999" x14ac:dyDescent="0.3">
      <c r="A71" s="473" t="s">
        <v>781</v>
      </c>
      <c r="B71" s="466"/>
      <c r="C71" s="509"/>
      <c r="D71" s="468"/>
      <c r="E71" s="520">
        <f>386108/1000</f>
        <v>386.108</v>
      </c>
      <c r="F71" s="444">
        <f>-72528/1000</f>
        <v>-72.528000000000006</v>
      </c>
      <c r="G71" s="444"/>
      <c r="H71" s="444"/>
      <c r="I71" s="469">
        <f t="shared" si="6"/>
        <v>313.58</v>
      </c>
      <c r="J71" s="517" t="s">
        <v>72</v>
      </c>
    </row>
    <row r="72" spans="1:73" s="50" customFormat="1" ht="17.399999999999999" x14ac:dyDescent="0.3">
      <c r="A72" s="473" t="s">
        <v>775</v>
      </c>
      <c r="B72" s="466"/>
      <c r="C72" s="509"/>
      <c r="D72" s="468"/>
      <c r="E72" s="520">
        <f>12784962/1000</f>
        <v>12784.962</v>
      </c>
      <c r="F72" s="444">
        <f>-550000/1000</f>
        <v>-550</v>
      </c>
      <c r="G72" s="444"/>
      <c r="H72" s="444"/>
      <c r="I72" s="469">
        <f t="shared" si="6"/>
        <v>12234.962</v>
      </c>
      <c r="J72" s="517" t="s">
        <v>21</v>
      </c>
    </row>
    <row r="73" spans="1:73" s="50" customFormat="1" ht="17.399999999999999" x14ac:dyDescent="0.3">
      <c r="A73" s="473" t="s">
        <v>768</v>
      </c>
      <c r="B73" s="466"/>
      <c r="C73" s="509"/>
      <c r="D73" s="468"/>
      <c r="E73" s="520">
        <f>3141922/1000</f>
        <v>3141.922</v>
      </c>
      <c r="F73" s="444">
        <f>-197200/1000</f>
        <v>-197.2</v>
      </c>
      <c r="G73" s="444"/>
      <c r="H73" s="444"/>
      <c r="I73" s="469">
        <f t="shared" si="6"/>
        <v>2944.7220000000002</v>
      </c>
      <c r="J73" s="517" t="s">
        <v>21</v>
      </c>
    </row>
    <row r="74" spans="1:73" s="50" customFormat="1" ht="17.399999999999999" x14ac:dyDescent="0.3">
      <c r="A74" s="473" t="s">
        <v>777</v>
      </c>
      <c r="B74" s="466"/>
      <c r="C74" s="509"/>
      <c r="D74" s="468"/>
      <c r="E74" s="520">
        <f>2382609/1000</f>
        <v>2382.6089999999999</v>
      </c>
      <c r="F74" s="444">
        <f>-282300/1000</f>
        <v>-282.3</v>
      </c>
      <c r="G74" s="444"/>
      <c r="H74" s="444"/>
      <c r="I74" s="469">
        <f t="shared" si="6"/>
        <v>2100.3089999999997</v>
      </c>
      <c r="J74" s="517" t="s">
        <v>21</v>
      </c>
    </row>
    <row r="75" spans="1:73" s="50" customFormat="1" ht="17.399999999999999" x14ac:dyDescent="0.3">
      <c r="A75" s="473" t="s">
        <v>817</v>
      </c>
      <c r="B75" s="466"/>
      <c r="C75" s="509"/>
      <c r="D75" s="468"/>
      <c r="E75" s="520">
        <f>-322000/1000</f>
        <v>-322</v>
      </c>
      <c r="F75" s="444"/>
      <c r="G75" s="444"/>
      <c r="H75" s="444"/>
      <c r="I75" s="469">
        <f t="shared" si="6"/>
        <v>-322</v>
      </c>
      <c r="J75" s="517" t="s">
        <v>21</v>
      </c>
    </row>
    <row r="76" spans="1:73" s="50" customFormat="1" ht="17.399999999999999" x14ac:dyDescent="0.3">
      <c r="A76" s="473" t="s">
        <v>815</v>
      </c>
      <c r="B76" s="466"/>
      <c r="C76" s="509"/>
      <c r="D76" s="468"/>
      <c r="E76" s="520">
        <f>5370259/1000</f>
        <v>5370.259</v>
      </c>
      <c r="F76" s="444">
        <f>-150000/1000</f>
        <v>-150</v>
      </c>
      <c r="G76" s="444">
        <v>0</v>
      </c>
      <c r="H76" s="444"/>
      <c r="I76" s="469">
        <f t="shared" si="6"/>
        <v>5220.259</v>
      </c>
      <c r="J76" s="517" t="s">
        <v>21</v>
      </c>
    </row>
    <row r="77" spans="1:73" s="50" customFormat="1" ht="15.6" x14ac:dyDescent="0.3">
      <c r="A77" s="453" t="s">
        <v>682</v>
      </c>
      <c r="B77" s="454"/>
      <c r="C77" s="510"/>
      <c r="D77" s="448"/>
      <c r="E77" s="449">
        <v>18.759</v>
      </c>
      <c r="F77" s="450"/>
      <c r="G77" s="450">
        <v>0</v>
      </c>
      <c r="H77" s="450"/>
      <c r="I77" s="436">
        <f>SUM(E77:H77)</f>
        <v>18.759</v>
      </c>
      <c r="J77" s="517"/>
    </row>
    <row r="78" spans="1:73" s="50" customFormat="1" ht="15.6" x14ac:dyDescent="0.3">
      <c r="A78" s="51" t="s">
        <v>45</v>
      </c>
      <c r="B78" s="47"/>
      <c r="C78" s="511"/>
      <c r="D78" s="138"/>
      <c r="E78" s="54">
        <v>42.816000000000003</v>
      </c>
      <c r="F78" s="45"/>
      <c r="G78" s="45">
        <v>0</v>
      </c>
      <c r="H78" s="45"/>
      <c r="I78" s="55">
        <f>SUM(E78:H78)</f>
        <v>42.816000000000003</v>
      </c>
      <c r="J78" s="517" t="s">
        <v>18</v>
      </c>
    </row>
    <row r="79" spans="1:73" s="50" customFormat="1" ht="15.6" x14ac:dyDescent="0.3">
      <c r="A79" s="51" t="s">
        <v>46</v>
      </c>
      <c r="B79" s="47"/>
      <c r="C79" s="511"/>
      <c r="D79" s="138"/>
      <c r="E79" s="54">
        <v>94.807000000000002</v>
      </c>
      <c r="F79" s="45">
        <v>-3</v>
      </c>
      <c r="G79" s="45">
        <v>0</v>
      </c>
      <c r="H79" s="45"/>
      <c r="I79" s="55">
        <f>SUM(E79:H79)</f>
        <v>91.807000000000002</v>
      </c>
      <c r="J79" s="517" t="s">
        <v>567</v>
      </c>
    </row>
    <row r="80" spans="1:73" s="50" customFormat="1" ht="15.6" x14ac:dyDescent="0.3">
      <c r="A80" s="51" t="s">
        <v>47</v>
      </c>
      <c r="B80" s="52">
        <v>37083</v>
      </c>
      <c r="C80" s="47" t="s">
        <v>17</v>
      </c>
      <c r="D80" s="138">
        <v>460000</v>
      </c>
      <c r="E80" s="54">
        <v>1512.3920000000001</v>
      </c>
      <c r="F80" s="45">
        <v>-83.6</v>
      </c>
      <c r="G80" s="45">
        <v>0</v>
      </c>
      <c r="H80" s="45">
        <v>0</v>
      </c>
      <c r="I80" s="55">
        <f>SUM(E80:H80)</f>
        <v>1428.7920000000001</v>
      </c>
      <c r="J80" s="517"/>
    </row>
    <row r="81" spans="1:255" s="50" customFormat="1" ht="15.6" x14ac:dyDescent="0.3">
      <c r="A81" s="51" t="s">
        <v>48</v>
      </c>
      <c r="B81" s="52">
        <v>37083</v>
      </c>
      <c r="C81" s="47" t="s">
        <v>17</v>
      </c>
      <c r="D81" s="138">
        <v>84662.803</v>
      </c>
      <c r="E81" s="54">
        <v>6042.8140000000003</v>
      </c>
      <c r="F81" s="45">
        <v>-1400</v>
      </c>
      <c r="G81" s="45">
        <v>0</v>
      </c>
      <c r="H81" s="45">
        <v>0</v>
      </c>
      <c r="I81" s="55">
        <f>SUM(E81:H81)</f>
        <v>4642.8140000000003</v>
      </c>
      <c r="J81" s="517" t="s">
        <v>21</v>
      </c>
    </row>
    <row r="82" spans="1:255" s="62" customFormat="1" ht="15.6" x14ac:dyDescent="0.3">
      <c r="A82" s="51" t="s">
        <v>49</v>
      </c>
      <c r="B82" s="52">
        <v>37105</v>
      </c>
      <c r="C82" s="47" t="s">
        <v>17</v>
      </c>
      <c r="D82" s="138">
        <f>I82/0.06</f>
        <v>29288.083333333336</v>
      </c>
      <c r="E82" s="54">
        <v>1937.2850000000001</v>
      </c>
      <c r="F82" s="45">
        <v>-180</v>
      </c>
      <c r="G82" s="45">
        <v>0</v>
      </c>
      <c r="H82" s="45"/>
      <c r="I82" s="55">
        <v>1757.2850000000001</v>
      </c>
      <c r="J82" s="517" t="s">
        <v>568</v>
      </c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0"/>
      <c r="EA82" s="50"/>
      <c r="EB82" s="50"/>
      <c r="EC82" s="50"/>
      <c r="ED82" s="50"/>
      <c r="EE82" s="50"/>
      <c r="EF82" s="50"/>
      <c r="EG82" s="50"/>
      <c r="EH82" s="50"/>
      <c r="EI82" s="50"/>
      <c r="EJ82" s="50"/>
      <c r="EK82" s="50"/>
      <c r="EL82" s="50"/>
      <c r="EM82" s="50"/>
      <c r="EN82" s="50"/>
      <c r="EO82" s="50"/>
      <c r="EP82" s="50"/>
      <c r="EQ82" s="50"/>
      <c r="ER82" s="50"/>
      <c r="ES82" s="50"/>
      <c r="ET82" s="50"/>
      <c r="EU82" s="50"/>
      <c r="EV82" s="50"/>
      <c r="EW82" s="50"/>
      <c r="EX82" s="50"/>
      <c r="EY82" s="50"/>
      <c r="EZ82" s="50"/>
      <c r="FA82" s="50"/>
      <c r="FB82" s="50"/>
      <c r="FC82" s="50"/>
      <c r="FD82" s="50"/>
      <c r="FE82" s="50"/>
      <c r="FF82" s="50"/>
      <c r="FG82" s="50"/>
      <c r="FH82" s="50"/>
      <c r="FI82" s="50"/>
      <c r="FJ82" s="50"/>
      <c r="FK82" s="50"/>
      <c r="FL82" s="50"/>
      <c r="FM82" s="50"/>
      <c r="FN82" s="50"/>
      <c r="FO82" s="50"/>
      <c r="FP82" s="50"/>
      <c r="FQ82" s="50"/>
      <c r="FR82" s="50"/>
      <c r="FS82" s="50"/>
      <c r="FT82" s="50"/>
      <c r="FU82" s="50"/>
      <c r="FV82" s="50"/>
      <c r="FW82" s="50"/>
      <c r="FX82" s="50"/>
      <c r="FY82" s="50"/>
      <c r="FZ82" s="50"/>
      <c r="GA82" s="50"/>
      <c r="GB82" s="50"/>
      <c r="GC82" s="50"/>
      <c r="GD82" s="50"/>
      <c r="GE82" s="50"/>
      <c r="GF82" s="50"/>
      <c r="GG82" s="50"/>
      <c r="GH82" s="50"/>
      <c r="GI82" s="50"/>
      <c r="GJ82" s="50"/>
      <c r="GK82" s="50"/>
      <c r="GL82" s="50"/>
      <c r="GM82" s="50"/>
      <c r="GN82" s="50"/>
      <c r="GO82" s="50"/>
      <c r="GP82" s="50"/>
      <c r="GQ82" s="50"/>
      <c r="GR82" s="50"/>
      <c r="GS82" s="50"/>
      <c r="GT82" s="50"/>
      <c r="GU82" s="50"/>
      <c r="GV82" s="50"/>
      <c r="GW82" s="50"/>
      <c r="GX82" s="50"/>
      <c r="GY82" s="50"/>
      <c r="GZ82" s="50"/>
      <c r="HA82" s="50"/>
      <c r="HB82" s="50"/>
      <c r="HC82" s="50"/>
      <c r="HD82" s="50"/>
      <c r="HE82" s="50"/>
      <c r="HF82" s="50"/>
      <c r="HG82" s="50"/>
      <c r="HH82" s="50"/>
      <c r="HI82" s="50"/>
      <c r="HJ82" s="50"/>
      <c r="HK82" s="50"/>
      <c r="HL82" s="50"/>
      <c r="HM82" s="50"/>
      <c r="HN82" s="50"/>
      <c r="HO82" s="50"/>
      <c r="HP82" s="50"/>
      <c r="HQ82" s="50"/>
      <c r="HR82" s="50"/>
      <c r="HS82" s="50"/>
      <c r="HT82" s="50"/>
      <c r="HU82" s="50"/>
      <c r="HV82" s="50"/>
      <c r="HW82" s="50"/>
      <c r="HX82" s="50"/>
      <c r="HY82" s="50"/>
      <c r="HZ82" s="50"/>
      <c r="IA82" s="50"/>
      <c r="IB82" s="50"/>
      <c r="IC82" s="50"/>
      <c r="ID82" s="50"/>
      <c r="IE82" s="50"/>
      <c r="IF82" s="50"/>
      <c r="IG82" s="50"/>
      <c r="IH82" s="50"/>
      <c r="II82" s="50"/>
      <c r="IJ82" s="50"/>
      <c r="IK82" s="50"/>
      <c r="IL82" s="50"/>
      <c r="IM82" s="50"/>
      <c r="IN82" s="50"/>
      <c r="IO82" s="50"/>
      <c r="IP82" s="50"/>
      <c r="IQ82" s="50"/>
      <c r="IR82" s="50"/>
      <c r="IS82" s="50"/>
      <c r="IT82" s="50"/>
      <c r="IU82" s="50"/>
    </row>
    <row r="83" spans="1:255" s="50" customFormat="1" ht="15.6" x14ac:dyDescent="0.3">
      <c r="A83" s="51" t="s">
        <v>50</v>
      </c>
      <c r="B83" s="52">
        <v>37083</v>
      </c>
      <c r="C83" s="47" t="s">
        <v>17</v>
      </c>
      <c r="D83" s="138">
        <v>113803.71400000001</v>
      </c>
      <c r="E83" s="54">
        <v>7364.8459999999995</v>
      </c>
      <c r="F83" s="45">
        <v>-2350</v>
      </c>
      <c r="G83" s="45">
        <v>0</v>
      </c>
      <c r="H83" s="45">
        <v>0</v>
      </c>
      <c r="I83" s="55">
        <f t="shared" ref="I83:I88" si="7">SUM(E83:H83)</f>
        <v>5014.8459999999995</v>
      </c>
      <c r="J83" s="517" t="s">
        <v>569</v>
      </c>
    </row>
    <row r="84" spans="1:255" s="50" customFormat="1" ht="15.6" x14ac:dyDescent="0.3">
      <c r="A84" s="51" t="s">
        <v>51</v>
      </c>
      <c r="B84" s="52">
        <v>37091</v>
      </c>
      <c r="C84" s="47" t="s">
        <v>17</v>
      </c>
      <c r="D84" s="138">
        <v>0</v>
      </c>
      <c r="E84" s="54">
        <v>-1606.3140000000001</v>
      </c>
      <c r="F84" s="45">
        <v>440</v>
      </c>
      <c r="G84" s="45">
        <v>0</v>
      </c>
      <c r="H84" s="45">
        <v>0</v>
      </c>
      <c r="I84" s="55">
        <f t="shared" si="7"/>
        <v>-1166.3140000000001</v>
      </c>
      <c r="J84" s="517" t="s">
        <v>15</v>
      </c>
    </row>
    <row r="85" spans="1:255" s="50" customFormat="1" ht="15.6" x14ac:dyDescent="0.3">
      <c r="A85" s="51" t="s">
        <v>52</v>
      </c>
      <c r="B85" s="52">
        <v>37091</v>
      </c>
      <c r="C85" s="47" t="s">
        <v>17</v>
      </c>
      <c r="D85" s="138">
        <v>0</v>
      </c>
      <c r="E85" s="54">
        <v>-275.23200000000003</v>
      </c>
      <c r="F85" s="45">
        <v>24.2</v>
      </c>
      <c r="G85" s="45">
        <v>0</v>
      </c>
      <c r="H85" s="45">
        <v>0</v>
      </c>
      <c r="I85" s="55">
        <f t="shared" si="7"/>
        <v>-251.03200000000004</v>
      </c>
      <c r="J85" s="517" t="s">
        <v>15</v>
      </c>
    </row>
    <row r="86" spans="1:255" s="50" customFormat="1" ht="15.6" x14ac:dyDescent="0.3">
      <c r="A86" s="51" t="s">
        <v>53</v>
      </c>
      <c r="B86" s="52">
        <v>37083</v>
      </c>
      <c r="C86" s="47" t="s">
        <v>17</v>
      </c>
      <c r="D86" s="138">
        <v>0</v>
      </c>
      <c r="E86" s="54">
        <v>0</v>
      </c>
      <c r="F86" s="45">
        <v>161.5</v>
      </c>
      <c r="G86" s="45">
        <v>0</v>
      </c>
      <c r="H86" s="45">
        <v>0</v>
      </c>
      <c r="I86" s="55">
        <f t="shared" si="7"/>
        <v>161.5</v>
      </c>
      <c r="J86" s="517" t="s">
        <v>18</v>
      </c>
    </row>
    <row r="87" spans="1:255" s="50" customFormat="1" ht="15.6" x14ac:dyDescent="0.3">
      <c r="A87" s="51" t="s">
        <v>54</v>
      </c>
      <c r="B87" s="58">
        <v>37098</v>
      </c>
      <c r="C87" s="47" t="s">
        <v>17</v>
      </c>
      <c r="D87" s="417">
        <v>0</v>
      </c>
      <c r="E87" s="54">
        <v>-2261.6509999999998</v>
      </c>
      <c r="F87" s="45">
        <v>0</v>
      </c>
      <c r="G87" s="45">
        <v>0</v>
      </c>
      <c r="H87" s="45"/>
      <c r="I87" s="55">
        <f t="shared" si="7"/>
        <v>-2261.6509999999998</v>
      </c>
      <c r="J87" s="517" t="s">
        <v>21</v>
      </c>
    </row>
    <row r="88" spans="1:255" s="50" customFormat="1" ht="15.6" x14ac:dyDescent="0.3">
      <c r="A88" s="51" t="s">
        <v>55</v>
      </c>
      <c r="B88" s="52">
        <v>37091</v>
      </c>
      <c r="C88" s="47" t="s">
        <v>17</v>
      </c>
      <c r="D88" s="138">
        <v>40099.434999999998</v>
      </c>
      <c r="E88" s="54">
        <v>2261.6509999999998</v>
      </c>
      <c r="F88" s="45">
        <v>-73.3</v>
      </c>
      <c r="G88" s="45">
        <v>0</v>
      </c>
      <c r="H88" s="45">
        <v>0</v>
      </c>
      <c r="I88" s="55">
        <f t="shared" si="7"/>
        <v>2188.3509999999997</v>
      </c>
      <c r="J88" s="517" t="s">
        <v>21</v>
      </c>
    </row>
    <row r="89" spans="1:255" s="15" customFormat="1" ht="6" customHeight="1" x14ac:dyDescent="0.25">
      <c r="A89" s="63"/>
      <c r="B89" s="36"/>
      <c r="C89" s="508"/>
      <c r="D89" s="416"/>
      <c r="E89" s="41"/>
      <c r="F89" s="42"/>
      <c r="G89" s="42"/>
      <c r="H89" s="42"/>
      <c r="I89" s="43"/>
      <c r="J89" s="491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</row>
    <row r="90" spans="1:255" s="15" customFormat="1" ht="15.6" x14ac:dyDescent="0.3">
      <c r="A90" s="64" t="s">
        <v>56</v>
      </c>
      <c r="B90" s="36"/>
      <c r="C90" s="508"/>
      <c r="D90" s="415">
        <f t="shared" ref="D90:I90" si="8">SUM(D65:D89)</f>
        <v>727854.0353333333</v>
      </c>
      <c r="E90" s="37">
        <f t="shared" si="8"/>
        <v>43300.31</v>
      </c>
      <c r="F90" s="32">
        <f t="shared" si="8"/>
        <v>-5002.6010000000006</v>
      </c>
      <c r="G90" s="32">
        <f t="shared" si="8"/>
        <v>0</v>
      </c>
      <c r="H90" s="32">
        <f t="shared" si="8"/>
        <v>0</v>
      </c>
      <c r="I90" s="38">
        <f t="shared" si="8"/>
        <v>38297.70900000001</v>
      </c>
      <c r="J90" s="491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</row>
    <row r="91" spans="1:255" s="15" customFormat="1" ht="15.6" x14ac:dyDescent="0.3">
      <c r="A91" s="39"/>
      <c r="B91" s="36"/>
      <c r="C91" s="508"/>
      <c r="D91" s="415"/>
      <c r="E91" s="37"/>
      <c r="F91" s="32"/>
      <c r="G91" s="32"/>
      <c r="H91" s="32"/>
      <c r="I91" s="38"/>
      <c r="J91" s="491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</row>
    <row r="92" spans="1:255" s="15" customFormat="1" ht="15.6" x14ac:dyDescent="0.3">
      <c r="A92" s="39" t="s">
        <v>57</v>
      </c>
      <c r="B92" s="36"/>
      <c r="C92" s="508"/>
      <c r="D92" s="415"/>
      <c r="E92" s="37"/>
      <c r="F92" s="32"/>
      <c r="G92" s="32"/>
      <c r="H92" s="32"/>
      <c r="I92" s="38"/>
      <c r="J92" s="491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</row>
    <row r="93" spans="1:255" s="15" customFormat="1" ht="3" customHeight="1" x14ac:dyDescent="0.25">
      <c r="A93" s="35"/>
      <c r="B93" s="36"/>
      <c r="C93" s="508"/>
      <c r="D93" s="415"/>
      <c r="E93" s="37"/>
      <c r="F93" s="32"/>
      <c r="G93" s="32"/>
      <c r="H93" s="32"/>
      <c r="I93" s="38"/>
      <c r="J93" s="491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</row>
    <row r="94" spans="1:255" s="15" customFormat="1" ht="15" x14ac:dyDescent="0.25">
      <c r="A94" s="453" t="s">
        <v>844</v>
      </c>
      <c r="B94" s="456"/>
      <c r="C94" s="513"/>
      <c r="D94" s="457"/>
      <c r="E94" s="458">
        <v>373.41699999999997</v>
      </c>
      <c r="F94" s="459">
        <v>-43.3</v>
      </c>
      <c r="G94" s="461">
        <v>0</v>
      </c>
      <c r="H94" s="459"/>
      <c r="I94" s="460">
        <f>SUM(E94:G94)</f>
        <v>330.11699999999996</v>
      </c>
      <c r="J94" s="491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</row>
    <row r="95" spans="1:255" s="15" customFormat="1" ht="15" x14ac:dyDescent="0.25">
      <c r="A95" s="453" t="s">
        <v>681</v>
      </c>
      <c r="B95" s="456"/>
      <c r="C95" s="513"/>
      <c r="D95" s="457"/>
      <c r="E95" s="458">
        <v>332.37799999999999</v>
      </c>
      <c r="F95" s="459">
        <v>0</v>
      </c>
      <c r="G95" s="461">
        <v>0</v>
      </c>
      <c r="H95" s="459"/>
      <c r="I95" s="460">
        <f>SUM(E95:G95)</f>
        <v>332.37799999999999</v>
      </c>
      <c r="J95" s="491" t="s">
        <v>18</v>
      </c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</row>
    <row r="96" spans="1:255" s="15" customFormat="1" ht="3.75" customHeight="1" x14ac:dyDescent="0.25">
      <c r="A96" s="35"/>
      <c r="B96" s="36"/>
      <c r="C96" s="508"/>
      <c r="D96" s="416"/>
      <c r="E96" s="41"/>
      <c r="F96" s="42"/>
      <c r="G96" s="42"/>
      <c r="H96" s="42"/>
      <c r="I96" s="43"/>
      <c r="J96" s="491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</row>
    <row r="97" spans="1:73" s="15" customFormat="1" ht="15.6" x14ac:dyDescent="0.3">
      <c r="A97" s="65" t="s">
        <v>58</v>
      </c>
      <c r="B97" s="36"/>
      <c r="C97" s="508"/>
      <c r="D97" s="156">
        <f>SUM(D95:D96)</f>
        <v>0</v>
      </c>
      <c r="E97" s="54">
        <f>SUM(E92:E95)</f>
        <v>705.79499999999996</v>
      </c>
      <c r="F97" s="45">
        <f>SUM(F92:F95)</f>
        <v>-43.3</v>
      </c>
      <c r="G97" s="45">
        <f>SUM(G92:G95)</f>
        <v>0</v>
      </c>
      <c r="H97" s="45">
        <f>SUM(H92:H95)</f>
        <v>0</v>
      </c>
      <c r="I97" s="55">
        <f>SUM(I92:I95)</f>
        <v>662.49499999999989</v>
      </c>
      <c r="J97" s="491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</row>
    <row r="98" spans="1:73" s="15" customFormat="1" ht="15.6" x14ac:dyDescent="0.3">
      <c r="A98" s="65"/>
      <c r="B98" s="36"/>
      <c r="C98" s="508"/>
      <c r="D98" s="415"/>
      <c r="E98" s="37"/>
      <c r="F98" s="32"/>
      <c r="G98" s="32"/>
      <c r="H98" s="32"/>
      <c r="I98" s="38"/>
      <c r="J98" s="491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</row>
    <row r="99" spans="1:73" s="15" customFormat="1" ht="15.6" x14ac:dyDescent="0.3">
      <c r="A99" s="39" t="s">
        <v>59</v>
      </c>
      <c r="B99" s="36"/>
      <c r="C99" s="508"/>
      <c r="D99" s="415"/>
      <c r="E99" s="37"/>
      <c r="F99" s="32"/>
      <c r="G99" s="32"/>
      <c r="H99" s="32"/>
      <c r="I99" s="38"/>
      <c r="J99" s="491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</row>
    <row r="100" spans="1:73" s="15" customFormat="1" ht="15" x14ac:dyDescent="0.25">
      <c r="A100" s="36"/>
      <c r="B100" s="36"/>
      <c r="C100" s="508"/>
      <c r="D100" s="415"/>
      <c r="E100" s="37"/>
      <c r="F100" s="32"/>
      <c r="G100" s="32"/>
      <c r="H100" s="32"/>
      <c r="I100" s="38"/>
      <c r="J100" s="491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</row>
    <row r="101" spans="1:73" s="15" customFormat="1" ht="15" x14ac:dyDescent="0.25">
      <c r="A101" s="66" t="s">
        <v>571</v>
      </c>
      <c r="B101" s="36"/>
      <c r="C101" s="508"/>
      <c r="D101" s="415"/>
      <c r="E101" s="37"/>
      <c r="F101" s="32"/>
      <c r="G101" s="32"/>
      <c r="H101" s="32"/>
      <c r="I101" s="38"/>
      <c r="J101" s="491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</row>
    <row r="102" spans="1:73" s="15" customFormat="1" ht="3.75" customHeight="1" x14ac:dyDescent="0.25">
      <c r="A102" s="67"/>
      <c r="B102" s="36"/>
      <c r="C102" s="508"/>
      <c r="D102" s="415"/>
      <c r="E102" s="37"/>
      <c r="F102" s="32"/>
      <c r="G102" s="32"/>
      <c r="H102" s="32"/>
      <c r="I102" s="38"/>
      <c r="J102" s="491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</row>
    <row r="103" spans="1:73" s="50" customFormat="1" ht="17.399999999999999" x14ac:dyDescent="0.3">
      <c r="A103" s="473" t="s">
        <v>739</v>
      </c>
      <c r="B103" s="466"/>
      <c r="C103" s="509"/>
      <c r="D103" s="468"/>
      <c r="E103" s="520">
        <f>250000/1000</f>
        <v>250</v>
      </c>
      <c r="F103" s="444"/>
      <c r="G103" s="444"/>
      <c r="H103" s="444"/>
      <c r="I103" s="469">
        <f>SUM(E103:G103)</f>
        <v>250</v>
      </c>
      <c r="J103" s="517" t="s">
        <v>61</v>
      </c>
    </row>
    <row r="104" spans="1:73" s="74" customFormat="1" ht="15.6" x14ac:dyDescent="0.3">
      <c r="A104" s="68" t="s">
        <v>60</v>
      </c>
      <c r="B104" s="69"/>
      <c r="C104" s="113"/>
      <c r="D104" s="419"/>
      <c r="E104" s="71">
        <v>-0.254</v>
      </c>
      <c r="F104" s="72">
        <v>-0.95</v>
      </c>
      <c r="G104" s="72"/>
      <c r="H104" s="72"/>
      <c r="I104" s="73">
        <f>SUM(E104:H104)</f>
        <v>-1.204</v>
      </c>
      <c r="J104" s="517" t="s">
        <v>640</v>
      </c>
    </row>
    <row r="105" spans="1:73" s="50" customFormat="1" ht="15.6" x14ac:dyDescent="0.3">
      <c r="A105" s="68" t="s">
        <v>62</v>
      </c>
      <c r="B105" s="70"/>
      <c r="C105" s="75" t="s">
        <v>63</v>
      </c>
      <c r="D105" s="138"/>
      <c r="E105" s="54">
        <v>-185.41900000000001</v>
      </c>
      <c r="F105" s="45">
        <v>-37.6</v>
      </c>
      <c r="G105" s="45"/>
      <c r="H105" s="45"/>
      <c r="I105" s="55">
        <f>SUM(E105:G105)</f>
        <v>-223.01900000000001</v>
      </c>
      <c r="J105" s="517" t="s">
        <v>61</v>
      </c>
    </row>
    <row r="106" spans="1:73" s="50" customFormat="1" ht="15.6" x14ac:dyDescent="0.3">
      <c r="A106" s="68" t="s">
        <v>64</v>
      </c>
      <c r="B106" s="52">
        <v>37083</v>
      </c>
      <c r="C106" s="512" t="s">
        <v>65</v>
      </c>
      <c r="D106" s="138">
        <v>65844.188999999998</v>
      </c>
      <c r="E106" s="54">
        <v>4627.55</v>
      </c>
      <c r="F106" s="45">
        <v>-835</v>
      </c>
      <c r="G106" s="45">
        <v>0</v>
      </c>
      <c r="H106" s="45">
        <v>0</v>
      </c>
      <c r="I106" s="55">
        <f>SUM(E106:H106)</f>
        <v>3792.55</v>
      </c>
      <c r="J106" s="517" t="s">
        <v>21</v>
      </c>
    </row>
    <row r="107" spans="1:73" s="50" customFormat="1" ht="15.6" x14ac:dyDescent="0.3">
      <c r="A107" s="68" t="s">
        <v>66</v>
      </c>
      <c r="B107" s="58">
        <v>37098</v>
      </c>
      <c r="C107" s="512" t="s">
        <v>65</v>
      </c>
      <c r="D107" s="417">
        <v>32033.691999999999</v>
      </c>
      <c r="E107" s="54">
        <v>3081.1770000000001</v>
      </c>
      <c r="F107" s="45">
        <v>-880.5</v>
      </c>
      <c r="G107" s="45">
        <v>0</v>
      </c>
      <c r="H107" s="45"/>
      <c r="I107" s="55">
        <f>SUM(E107:H107)</f>
        <v>2200.6770000000001</v>
      </c>
      <c r="J107" s="517" t="s">
        <v>21</v>
      </c>
    </row>
    <row r="108" spans="1:73" s="50" customFormat="1" ht="3.75" customHeight="1" x14ac:dyDescent="0.3">
      <c r="A108" s="47"/>
      <c r="B108" s="58"/>
      <c r="C108" s="512"/>
      <c r="D108" s="420"/>
      <c r="E108" s="76"/>
      <c r="F108" s="77"/>
      <c r="G108" s="77"/>
      <c r="H108" s="77"/>
      <c r="I108" s="78"/>
      <c r="J108" s="517"/>
    </row>
    <row r="109" spans="1:73" s="15" customFormat="1" ht="15.6" x14ac:dyDescent="0.3">
      <c r="A109" s="79" t="s">
        <v>570</v>
      </c>
      <c r="B109" s="36"/>
      <c r="C109" s="508"/>
      <c r="D109" s="415">
        <f t="shared" ref="D109:I109" si="9">SUM(D101:D108)</f>
        <v>97877.880999999994</v>
      </c>
      <c r="E109" s="37">
        <f t="shared" si="9"/>
        <v>7773.0540000000001</v>
      </c>
      <c r="F109" s="32">
        <f t="shared" si="9"/>
        <v>-1754.05</v>
      </c>
      <c r="G109" s="45">
        <f t="shared" si="9"/>
        <v>0</v>
      </c>
      <c r="H109" s="32">
        <f t="shared" si="9"/>
        <v>0</v>
      </c>
      <c r="I109" s="38">
        <f t="shared" si="9"/>
        <v>6019.0040000000008</v>
      </c>
      <c r="J109" s="491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</row>
    <row r="110" spans="1:73" s="15" customFormat="1" ht="15.6" x14ac:dyDescent="0.3">
      <c r="A110" s="79"/>
      <c r="B110" s="36"/>
      <c r="C110" s="508"/>
      <c r="D110" s="415"/>
      <c r="E110" s="37"/>
      <c r="F110" s="32"/>
      <c r="G110" s="45"/>
      <c r="H110" s="32"/>
      <c r="I110" s="38"/>
      <c r="J110" s="491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</row>
    <row r="111" spans="1:73" s="15" customFormat="1" ht="15.6" x14ac:dyDescent="0.3">
      <c r="A111" s="79"/>
      <c r="B111" s="36"/>
      <c r="C111" s="508"/>
      <c r="D111" s="415"/>
      <c r="E111" s="37"/>
      <c r="F111" s="32"/>
      <c r="G111" s="45"/>
      <c r="H111" s="32"/>
      <c r="I111" s="38"/>
      <c r="J111" s="491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</row>
    <row r="112" spans="1:73" s="15" customFormat="1" ht="15" x14ac:dyDescent="0.25">
      <c r="A112" s="66" t="s">
        <v>572</v>
      </c>
      <c r="B112" s="36"/>
      <c r="C112" s="508"/>
      <c r="D112" s="415"/>
      <c r="E112" s="37"/>
      <c r="F112" s="32"/>
      <c r="G112" s="45"/>
      <c r="H112" s="32"/>
      <c r="I112" s="38"/>
      <c r="J112" s="491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</row>
    <row r="113" spans="1:73" s="50" customFormat="1" ht="15.6" x14ac:dyDescent="0.3">
      <c r="A113" s="68" t="s">
        <v>67</v>
      </c>
      <c r="B113" s="58">
        <v>37098</v>
      </c>
      <c r="C113" s="512" t="s">
        <v>65</v>
      </c>
      <c r="D113" s="420">
        <v>141779</v>
      </c>
      <c r="E113" s="76">
        <v>9349.0519999999997</v>
      </c>
      <c r="F113" s="77">
        <v>-1692.9</v>
      </c>
      <c r="G113" s="77">
        <v>0</v>
      </c>
      <c r="H113" s="77"/>
      <c r="I113" s="78">
        <f>SUM(E113:H113)</f>
        <v>7656.152</v>
      </c>
      <c r="J113" s="517" t="s">
        <v>68</v>
      </c>
    </row>
    <row r="114" spans="1:73" s="15" customFormat="1" ht="15.6" x14ac:dyDescent="0.3">
      <c r="A114" s="79" t="s">
        <v>573</v>
      </c>
      <c r="B114" s="36"/>
      <c r="C114" s="508"/>
      <c r="D114" s="415">
        <f>SUM(D113)</f>
        <v>141779</v>
      </c>
      <c r="E114" s="37">
        <f>SUM(E112:E113)</f>
        <v>9349.0519999999997</v>
      </c>
      <c r="F114" s="32">
        <f>SUM(F112:F113)</f>
        <v>-1692.9</v>
      </c>
      <c r="G114" s="45">
        <f>SUM(G112:G113)</f>
        <v>0</v>
      </c>
      <c r="H114" s="32">
        <f>SUM(H112:H113)</f>
        <v>0</v>
      </c>
      <c r="I114" s="38">
        <f>SUM(I112:I113)</f>
        <v>7656.152</v>
      </c>
      <c r="J114" s="491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</row>
    <row r="115" spans="1:73" s="15" customFormat="1" ht="15.6" x14ac:dyDescent="0.3">
      <c r="A115" s="79"/>
      <c r="B115" s="36"/>
      <c r="C115" s="508"/>
      <c r="D115" s="415"/>
      <c r="E115" s="37"/>
      <c r="F115" s="32"/>
      <c r="G115" s="45"/>
      <c r="H115" s="32"/>
      <c r="I115" s="38"/>
      <c r="J115" s="491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</row>
    <row r="116" spans="1:73" s="15" customFormat="1" ht="15.6" x14ac:dyDescent="0.3">
      <c r="A116" s="79"/>
      <c r="B116" s="36"/>
      <c r="C116" s="508"/>
      <c r="D116" s="415"/>
      <c r="E116" s="37"/>
      <c r="F116" s="32"/>
      <c r="G116" s="45"/>
      <c r="H116" s="32"/>
      <c r="I116" s="38"/>
      <c r="J116" s="491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</row>
    <row r="117" spans="1:73" s="15" customFormat="1" ht="15" x14ac:dyDescent="0.25">
      <c r="A117" s="66"/>
      <c r="B117" s="36"/>
      <c r="C117" s="508"/>
      <c r="D117" s="415"/>
      <c r="E117" s="37"/>
      <c r="F117" s="32"/>
      <c r="G117" s="45"/>
      <c r="H117" s="32"/>
      <c r="I117" s="38"/>
      <c r="J117" s="491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</row>
    <row r="118" spans="1:73" s="15" customFormat="1" ht="15" x14ac:dyDescent="0.25">
      <c r="A118" s="66" t="s">
        <v>69</v>
      </c>
      <c r="B118" s="36"/>
      <c r="C118" s="508"/>
      <c r="D118" s="415"/>
      <c r="E118" s="37"/>
      <c r="F118" s="32"/>
      <c r="G118" s="45"/>
      <c r="H118" s="32"/>
      <c r="I118" s="38"/>
      <c r="J118" s="491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</row>
    <row r="119" spans="1:73" s="15" customFormat="1" ht="5.25" customHeight="1" x14ac:dyDescent="0.25">
      <c r="A119" s="66"/>
      <c r="B119" s="36"/>
      <c r="C119" s="508"/>
      <c r="D119" s="415"/>
      <c r="E119" s="37"/>
      <c r="F119" s="32"/>
      <c r="G119" s="45"/>
      <c r="H119" s="32"/>
      <c r="I119" s="38"/>
      <c r="J119" s="491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</row>
    <row r="120" spans="1:73" s="50" customFormat="1" ht="15.6" x14ac:dyDescent="0.3">
      <c r="A120" s="68" t="s">
        <v>70</v>
      </c>
      <c r="B120" s="52">
        <v>37091</v>
      </c>
      <c r="C120" s="512" t="s">
        <v>71</v>
      </c>
      <c r="D120" s="138">
        <v>3500</v>
      </c>
      <c r="E120" s="54">
        <v>612.72299999999996</v>
      </c>
      <c r="F120" s="45">
        <v>-59.41</v>
      </c>
      <c r="G120" s="45">
        <v>0</v>
      </c>
      <c r="H120" s="45">
        <v>0</v>
      </c>
      <c r="I120" s="55">
        <f>SUM(E120:H120)</f>
        <v>553.31299999999999</v>
      </c>
      <c r="J120" s="517" t="s">
        <v>72</v>
      </c>
    </row>
    <row r="121" spans="1:73" s="50" customFormat="1" ht="4.5" customHeight="1" x14ac:dyDescent="0.3">
      <c r="A121" s="47"/>
      <c r="B121" s="52"/>
      <c r="C121" s="512"/>
      <c r="D121" s="157"/>
      <c r="E121" s="76"/>
      <c r="F121" s="77"/>
      <c r="G121" s="77"/>
      <c r="H121" s="77"/>
      <c r="I121" s="78"/>
      <c r="J121" s="517"/>
    </row>
    <row r="122" spans="1:73" s="15" customFormat="1" ht="15.6" x14ac:dyDescent="0.3">
      <c r="A122" s="79" t="s">
        <v>73</v>
      </c>
      <c r="B122" s="36"/>
      <c r="C122" s="508"/>
      <c r="D122" s="415">
        <f>SUM(D120:D121)</f>
        <v>3500</v>
      </c>
      <c r="E122" s="37">
        <f>SUM(E119:E121)</f>
        <v>612.72299999999996</v>
      </c>
      <c r="F122" s="32">
        <f>SUM(F119:F121)</f>
        <v>-59.41</v>
      </c>
      <c r="G122" s="45">
        <f>SUM(G119:G121)</f>
        <v>0</v>
      </c>
      <c r="H122" s="32">
        <f>SUM(H119:H121)</f>
        <v>0</v>
      </c>
      <c r="I122" s="38">
        <f>SUM(I119:I121)</f>
        <v>553.31299999999999</v>
      </c>
      <c r="J122" s="491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</row>
    <row r="123" spans="1:73" s="15" customFormat="1" ht="15" x14ac:dyDescent="0.25">
      <c r="A123" s="46"/>
      <c r="B123" s="36"/>
      <c r="C123" s="508"/>
      <c r="D123" s="415"/>
      <c r="E123" s="37"/>
      <c r="F123" s="32"/>
      <c r="G123" s="45"/>
      <c r="H123" s="32"/>
      <c r="I123" s="38"/>
      <c r="J123" s="491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</row>
    <row r="124" spans="1:73" s="15" customFormat="1" ht="15" x14ac:dyDescent="0.25">
      <c r="A124" s="66" t="s">
        <v>74</v>
      </c>
      <c r="B124" s="36"/>
      <c r="C124" s="508"/>
      <c r="D124" s="415"/>
      <c r="E124" s="37"/>
      <c r="F124" s="32"/>
      <c r="G124" s="45"/>
      <c r="H124" s="32"/>
      <c r="I124" s="38"/>
      <c r="J124" s="491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</row>
    <row r="125" spans="1:73" s="15" customFormat="1" ht="4.5" customHeight="1" x14ac:dyDescent="0.25">
      <c r="A125" s="36"/>
      <c r="B125" s="36"/>
      <c r="C125" s="508"/>
      <c r="D125" s="415"/>
      <c r="E125" s="37"/>
      <c r="F125" s="32"/>
      <c r="G125" s="45"/>
      <c r="H125" s="32"/>
      <c r="I125" s="38"/>
      <c r="J125" s="491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</row>
    <row r="126" spans="1:73" s="50" customFormat="1" ht="17.399999999999999" x14ac:dyDescent="0.3">
      <c r="A126" s="471" t="s">
        <v>769</v>
      </c>
      <c r="B126" s="466"/>
      <c r="C126" s="509"/>
      <c r="D126" s="468"/>
      <c r="E126" s="520">
        <f>1270825/1000</f>
        <v>1270.825</v>
      </c>
      <c r="F126" s="444">
        <f>-77850/1000</f>
        <v>-77.849999999999994</v>
      </c>
      <c r="G126" s="444"/>
      <c r="H126" s="444"/>
      <c r="I126" s="469">
        <f t="shared" ref="I126:I131" si="10">SUM(E126:G126)</f>
        <v>1192.9750000000001</v>
      </c>
      <c r="J126" s="517" t="s">
        <v>21</v>
      </c>
    </row>
    <row r="127" spans="1:73" s="50" customFormat="1" ht="17.399999999999999" x14ac:dyDescent="0.3">
      <c r="A127" s="471" t="s">
        <v>780</v>
      </c>
      <c r="B127" s="466"/>
      <c r="C127" s="509"/>
      <c r="D127" s="468"/>
      <c r="E127" s="520">
        <f>8617698/1000</f>
        <v>8617.6980000000003</v>
      </c>
      <c r="F127" s="444">
        <f>-902000/1000</f>
        <v>-902</v>
      </c>
      <c r="G127" s="444"/>
      <c r="H127" s="444"/>
      <c r="I127" s="469">
        <f t="shared" si="10"/>
        <v>7715.6980000000003</v>
      </c>
      <c r="J127" s="517" t="s">
        <v>21</v>
      </c>
    </row>
    <row r="128" spans="1:73" s="50" customFormat="1" ht="17.399999999999999" x14ac:dyDescent="0.3">
      <c r="A128" s="471" t="s">
        <v>772</v>
      </c>
      <c r="B128" s="466"/>
      <c r="C128" s="509"/>
      <c r="D128" s="468"/>
      <c r="E128" s="520">
        <f>103835/1000</f>
        <v>103.83499999999999</v>
      </c>
      <c r="F128" s="444">
        <v>-13.6</v>
      </c>
      <c r="G128" s="444"/>
      <c r="H128" s="444"/>
      <c r="I128" s="469">
        <f t="shared" si="10"/>
        <v>90.234999999999999</v>
      </c>
      <c r="J128" s="517" t="s">
        <v>21</v>
      </c>
    </row>
    <row r="129" spans="1:255" s="50" customFormat="1" ht="17.399999999999999" x14ac:dyDescent="0.3">
      <c r="A129" s="471" t="s">
        <v>773</v>
      </c>
      <c r="B129" s="466"/>
      <c r="C129" s="509"/>
      <c r="D129" s="468"/>
      <c r="E129" s="520">
        <f>26286/1000</f>
        <v>26.286000000000001</v>
      </c>
      <c r="F129" s="444">
        <v>-3.4</v>
      </c>
      <c r="G129" s="444"/>
      <c r="H129" s="444"/>
      <c r="I129" s="469">
        <f t="shared" si="10"/>
        <v>22.886000000000003</v>
      </c>
      <c r="J129" s="517" t="s">
        <v>21</v>
      </c>
    </row>
    <row r="130" spans="1:255" s="50" customFormat="1" ht="17.399999999999999" x14ac:dyDescent="0.3">
      <c r="A130" s="471" t="s">
        <v>774</v>
      </c>
      <c r="B130" s="466"/>
      <c r="C130" s="509"/>
      <c r="D130" s="468"/>
      <c r="E130" s="520">
        <f>1015734/1000</f>
        <v>1015.734</v>
      </c>
      <c r="F130" s="444">
        <f>-43500/1000</f>
        <v>-43.5</v>
      </c>
      <c r="G130" s="444"/>
      <c r="H130" s="444"/>
      <c r="I130" s="469">
        <f t="shared" si="10"/>
        <v>972.23400000000004</v>
      </c>
      <c r="J130" s="517" t="s">
        <v>21</v>
      </c>
    </row>
    <row r="131" spans="1:255" s="50" customFormat="1" ht="17.399999999999999" x14ac:dyDescent="0.3">
      <c r="A131" s="471" t="s">
        <v>765</v>
      </c>
      <c r="B131" s="466"/>
      <c r="C131" s="509"/>
      <c r="D131" s="468"/>
      <c r="E131" s="520">
        <f>23877/1000</f>
        <v>23.876999999999999</v>
      </c>
      <c r="F131" s="444">
        <v>-6.6</v>
      </c>
      <c r="G131" s="444"/>
      <c r="H131" s="444"/>
      <c r="I131" s="469">
        <f t="shared" si="10"/>
        <v>17.277000000000001</v>
      </c>
      <c r="J131" s="517" t="s">
        <v>21</v>
      </c>
    </row>
    <row r="132" spans="1:255" s="50" customFormat="1" ht="15.6" x14ac:dyDescent="0.3">
      <c r="A132" s="68" t="s">
        <v>75</v>
      </c>
      <c r="B132" s="52">
        <v>37091</v>
      </c>
      <c r="C132" s="514" t="s">
        <v>76</v>
      </c>
      <c r="D132" s="417">
        <v>66947.301999999996</v>
      </c>
      <c r="E132" s="54">
        <v>3197.6489999999999</v>
      </c>
      <c r="F132" s="45">
        <v>0</v>
      </c>
      <c r="G132" s="45">
        <v>0</v>
      </c>
      <c r="H132" s="45">
        <v>0</v>
      </c>
      <c r="I132" s="55">
        <v>3197.6489999999999</v>
      </c>
      <c r="J132" s="517" t="s">
        <v>21</v>
      </c>
    </row>
    <row r="133" spans="1:255" s="62" customFormat="1" ht="15.6" x14ac:dyDescent="0.3">
      <c r="A133" s="68" t="s">
        <v>77</v>
      </c>
      <c r="B133" s="52">
        <v>37105</v>
      </c>
      <c r="C133" s="47" t="s">
        <v>78</v>
      </c>
      <c r="D133" s="138">
        <v>0</v>
      </c>
      <c r="E133" s="54">
        <v>1708.279</v>
      </c>
      <c r="F133" s="45">
        <v>0</v>
      </c>
      <c r="G133" s="45">
        <v>0</v>
      </c>
      <c r="H133" s="45"/>
      <c r="I133" s="55">
        <v>1708.279</v>
      </c>
      <c r="J133" s="517" t="s">
        <v>21</v>
      </c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  <c r="DR133" s="50"/>
      <c r="DS133" s="50"/>
      <c r="DT133" s="50"/>
      <c r="DU133" s="50"/>
      <c r="DV133" s="50"/>
      <c r="DW133" s="50"/>
      <c r="DX133" s="50"/>
      <c r="DY133" s="50"/>
      <c r="DZ133" s="50"/>
      <c r="EA133" s="50"/>
      <c r="EB133" s="50"/>
      <c r="EC133" s="50"/>
      <c r="ED133" s="50"/>
      <c r="EE133" s="50"/>
      <c r="EF133" s="50"/>
      <c r="EG133" s="50"/>
      <c r="EH133" s="50"/>
      <c r="EI133" s="50"/>
      <c r="EJ133" s="50"/>
      <c r="EK133" s="50"/>
      <c r="EL133" s="50"/>
      <c r="EM133" s="50"/>
      <c r="EN133" s="50"/>
      <c r="EO133" s="50"/>
      <c r="EP133" s="50"/>
      <c r="EQ133" s="50"/>
      <c r="ER133" s="50"/>
      <c r="ES133" s="50"/>
      <c r="ET133" s="50"/>
      <c r="EU133" s="50"/>
      <c r="EV133" s="50"/>
      <c r="EW133" s="50"/>
      <c r="EX133" s="50"/>
      <c r="EY133" s="50"/>
      <c r="EZ133" s="50"/>
      <c r="FA133" s="50"/>
      <c r="FB133" s="50"/>
      <c r="FC133" s="50"/>
      <c r="FD133" s="50"/>
      <c r="FE133" s="50"/>
      <c r="FF133" s="50"/>
      <c r="FG133" s="50"/>
      <c r="FH133" s="50"/>
      <c r="FI133" s="50"/>
      <c r="FJ133" s="50"/>
      <c r="FK133" s="50"/>
      <c r="FL133" s="50"/>
      <c r="FM133" s="50"/>
      <c r="FN133" s="50"/>
      <c r="FO133" s="50"/>
      <c r="FP133" s="50"/>
      <c r="FQ133" s="50"/>
      <c r="FR133" s="50"/>
      <c r="FS133" s="50"/>
      <c r="FT133" s="50"/>
      <c r="FU133" s="50"/>
      <c r="FV133" s="50"/>
      <c r="FW133" s="50"/>
      <c r="FX133" s="50"/>
      <c r="FY133" s="50"/>
      <c r="FZ133" s="50"/>
      <c r="GA133" s="50"/>
      <c r="GB133" s="50"/>
      <c r="GC133" s="50"/>
      <c r="GD133" s="50"/>
      <c r="GE133" s="50"/>
      <c r="GF133" s="50"/>
      <c r="GG133" s="50"/>
      <c r="GH133" s="50"/>
      <c r="GI133" s="50"/>
      <c r="GJ133" s="50"/>
      <c r="GK133" s="50"/>
      <c r="GL133" s="50"/>
      <c r="GM133" s="50"/>
      <c r="GN133" s="50"/>
      <c r="GO133" s="50"/>
      <c r="GP133" s="50"/>
      <c r="GQ133" s="50"/>
      <c r="GR133" s="50"/>
      <c r="GS133" s="50"/>
      <c r="GT133" s="50"/>
      <c r="GU133" s="50"/>
      <c r="GV133" s="50"/>
      <c r="GW133" s="50"/>
      <c r="GX133" s="50"/>
      <c r="GY133" s="50"/>
      <c r="GZ133" s="50"/>
      <c r="HA133" s="50"/>
      <c r="HB133" s="50"/>
      <c r="HC133" s="50"/>
      <c r="HD133" s="50"/>
      <c r="HE133" s="50"/>
      <c r="HF133" s="50"/>
      <c r="HG133" s="50"/>
      <c r="HH133" s="50"/>
      <c r="HI133" s="50"/>
      <c r="HJ133" s="50"/>
      <c r="HK133" s="50"/>
      <c r="HL133" s="50"/>
      <c r="HM133" s="50"/>
      <c r="HN133" s="50"/>
      <c r="HO133" s="50"/>
      <c r="HP133" s="50"/>
      <c r="HQ133" s="50"/>
      <c r="HR133" s="50"/>
      <c r="HS133" s="50"/>
      <c r="HT133" s="50"/>
      <c r="HU133" s="50"/>
      <c r="HV133" s="50"/>
      <c r="HW133" s="50"/>
      <c r="HX133" s="50"/>
      <c r="HY133" s="50"/>
      <c r="HZ133" s="50"/>
      <c r="IA133" s="50"/>
      <c r="IB133" s="50"/>
      <c r="IC133" s="50"/>
      <c r="ID133" s="50"/>
      <c r="IE133" s="50"/>
      <c r="IF133" s="50"/>
      <c r="IG133" s="50"/>
      <c r="IH133" s="50"/>
      <c r="II133" s="50"/>
      <c r="IJ133" s="50"/>
      <c r="IK133" s="50"/>
      <c r="IL133" s="50"/>
      <c r="IM133" s="50"/>
      <c r="IN133" s="50"/>
      <c r="IO133" s="50"/>
      <c r="IP133" s="50"/>
      <c r="IQ133" s="50"/>
      <c r="IR133" s="50"/>
      <c r="IS133" s="50"/>
      <c r="IT133" s="50"/>
      <c r="IU133" s="50"/>
    </row>
    <row r="134" spans="1:255" s="62" customFormat="1" ht="15.6" x14ac:dyDescent="0.3">
      <c r="A134" s="68" t="s">
        <v>79</v>
      </c>
      <c r="B134" s="58">
        <v>37105</v>
      </c>
      <c r="C134" s="514" t="s">
        <v>76</v>
      </c>
      <c r="D134" s="138">
        <v>0</v>
      </c>
      <c r="E134" s="54">
        <v>-25.920999999999999</v>
      </c>
      <c r="F134" s="45">
        <v>2.718</v>
      </c>
      <c r="G134" s="45">
        <v>0</v>
      </c>
      <c r="H134" s="45"/>
      <c r="I134" s="55">
        <v>-23.202999999999999</v>
      </c>
      <c r="J134" s="517" t="s">
        <v>21</v>
      </c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  <c r="DR134" s="50"/>
      <c r="DS134" s="50"/>
      <c r="DT134" s="50"/>
      <c r="DU134" s="50"/>
      <c r="DV134" s="50"/>
      <c r="DW134" s="50"/>
      <c r="DX134" s="50"/>
      <c r="DY134" s="50"/>
      <c r="DZ134" s="50"/>
      <c r="EA134" s="50"/>
      <c r="EB134" s="50"/>
      <c r="EC134" s="50"/>
      <c r="ED134" s="50"/>
      <c r="EE134" s="50"/>
      <c r="EF134" s="50"/>
      <c r="EG134" s="50"/>
      <c r="EH134" s="50"/>
      <c r="EI134" s="50"/>
      <c r="EJ134" s="50"/>
      <c r="EK134" s="50"/>
      <c r="EL134" s="50"/>
      <c r="EM134" s="50"/>
      <c r="EN134" s="50"/>
      <c r="EO134" s="50"/>
      <c r="EP134" s="50"/>
      <c r="EQ134" s="50"/>
      <c r="ER134" s="50"/>
      <c r="ES134" s="50"/>
      <c r="ET134" s="50"/>
      <c r="EU134" s="50"/>
      <c r="EV134" s="50"/>
      <c r="EW134" s="50"/>
      <c r="EX134" s="50"/>
      <c r="EY134" s="50"/>
      <c r="EZ134" s="50"/>
      <c r="FA134" s="50"/>
      <c r="FB134" s="50"/>
      <c r="FC134" s="50"/>
      <c r="FD134" s="50"/>
      <c r="FE134" s="50"/>
      <c r="FF134" s="50"/>
      <c r="FG134" s="50"/>
      <c r="FH134" s="50"/>
      <c r="FI134" s="50"/>
      <c r="FJ134" s="50"/>
      <c r="FK134" s="50"/>
      <c r="FL134" s="50"/>
      <c r="FM134" s="50"/>
      <c r="FN134" s="50"/>
      <c r="FO134" s="50"/>
      <c r="FP134" s="50"/>
      <c r="FQ134" s="50"/>
      <c r="FR134" s="50"/>
      <c r="FS134" s="50"/>
      <c r="FT134" s="50"/>
      <c r="FU134" s="50"/>
      <c r="FV134" s="50"/>
      <c r="FW134" s="50"/>
      <c r="FX134" s="50"/>
      <c r="FY134" s="50"/>
      <c r="FZ134" s="50"/>
      <c r="GA134" s="50"/>
      <c r="GB134" s="50"/>
      <c r="GC134" s="50"/>
      <c r="GD134" s="50"/>
      <c r="GE134" s="50"/>
      <c r="GF134" s="50"/>
      <c r="GG134" s="50"/>
      <c r="GH134" s="50"/>
      <c r="GI134" s="50"/>
      <c r="GJ134" s="50"/>
      <c r="GK134" s="50"/>
      <c r="GL134" s="50"/>
      <c r="GM134" s="50"/>
      <c r="GN134" s="50"/>
      <c r="GO134" s="50"/>
      <c r="GP134" s="50"/>
      <c r="GQ134" s="50"/>
      <c r="GR134" s="50"/>
      <c r="GS134" s="50"/>
      <c r="GT134" s="50"/>
      <c r="GU134" s="50"/>
      <c r="GV134" s="50"/>
      <c r="GW134" s="50"/>
      <c r="GX134" s="50"/>
      <c r="GY134" s="50"/>
      <c r="GZ134" s="50"/>
      <c r="HA134" s="50"/>
      <c r="HB134" s="50"/>
      <c r="HC134" s="50"/>
      <c r="HD134" s="50"/>
      <c r="HE134" s="50"/>
      <c r="HF134" s="50"/>
      <c r="HG134" s="50"/>
      <c r="HH134" s="50"/>
      <c r="HI134" s="50"/>
      <c r="HJ134" s="50"/>
      <c r="HK134" s="50"/>
      <c r="HL134" s="50"/>
      <c r="HM134" s="50"/>
      <c r="HN134" s="50"/>
      <c r="HO134" s="50"/>
      <c r="HP134" s="50"/>
      <c r="HQ134" s="50"/>
      <c r="HR134" s="50"/>
      <c r="HS134" s="50"/>
      <c r="HT134" s="50"/>
      <c r="HU134" s="50"/>
      <c r="HV134" s="50"/>
      <c r="HW134" s="50"/>
      <c r="HX134" s="50"/>
      <c r="HY134" s="50"/>
      <c r="HZ134" s="50"/>
      <c r="IA134" s="50"/>
      <c r="IB134" s="50"/>
      <c r="IC134" s="50"/>
      <c r="ID134" s="50"/>
      <c r="IE134" s="50"/>
      <c r="IF134" s="50"/>
      <c r="IG134" s="50"/>
      <c r="IH134" s="50"/>
      <c r="II134" s="50"/>
      <c r="IJ134" s="50"/>
      <c r="IK134" s="50"/>
      <c r="IL134" s="50"/>
      <c r="IM134" s="50"/>
      <c r="IN134" s="50"/>
      <c r="IO134" s="50"/>
      <c r="IP134" s="50"/>
      <c r="IQ134" s="50"/>
      <c r="IR134" s="50"/>
      <c r="IS134" s="50"/>
      <c r="IT134" s="50"/>
      <c r="IU134" s="50"/>
    </row>
    <row r="135" spans="1:255" s="62" customFormat="1" ht="4.5" customHeight="1" x14ac:dyDescent="0.3">
      <c r="A135" s="47"/>
      <c r="B135" s="58"/>
      <c r="C135" s="512"/>
      <c r="D135" s="157"/>
      <c r="E135" s="76"/>
      <c r="F135" s="77"/>
      <c r="G135" s="77"/>
      <c r="H135" s="77"/>
      <c r="I135" s="78"/>
      <c r="J135" s="517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  <c r="DR135" s="50"/>
      <c r="DS135" s="50"/>
      <c r="DT135" s="50"/>
      <c r="DU135" s="50"/>
      <c r="DV135" s="50"/>
      <c r="DW135" s="50"/>
      <c r="DX135" s="50"/>
      <c r="DY135" s="50"/>
      <c r="DZ135" s="50"/>
      <c r="EA135" s="50"/>
      <c r="EB135" s="50"/>
      <c r="EC135" s="50"/>
      <c r="ED135" s="50"/>
      <c r="EE135" s="50"/>
      <c r="EF135" s="50"/>
      <c r="EG135" s="50"/>
      <c r="EH135" s="50"/>
      <c r="EI135" s="50"/>
      <c r="EJ135" s="50"/>
      <c r="EK135" s="50"/>
      <c r="EL135" s="50"/>
      <c r="EM135" s="50"/>
      <c r="EN135" s="50"/>
      <c r="EO135" s="50"/>
      <c r="EP135" s="50"/>
      <c r="EQ135" s="50"/>
      <c r="ER135" s="50"/>
      <c r="ES135" s="50"/>
      <c r="ET135" s="50"/>
      <c r="EU135" s="50"/>
      <c r="EV135" s="50"/>
      <c r="EW135" s="50"/>
      <c r="EX135" s="50"/>
      <c r="EY135" s="50"/>
      <c r="EZ135" s="50"/>
      <c r="FA135" s="50"/>
      <c r="FB135" s="50"/>
      <c r="FC135" s="50"/>
      <c r="FD135" s="50"/>
      <c r="FE135" s="50"/>
      <c r="FF135" s="50"/>
      <c r="FG135" s="50"/>
      <c r="FH135" s="50"/>
      <c r="FI135" s="50"/>
      <c r="FJ135" s="50"/>
      <c r="FK135" s="50"/>
      <c r="FL135" s="50"/>
      <c r="FM135" s="50"/>
      <c r="FN135" s="50"/>
      <c r="FO135" s="50"/>
      <c r="FP135" s="50"/>
      <c r="FQ135" s="50"/>
      <c r="FR135" s="50"/>
      <c r="FS135" s="50"/>
      <c r="FT135" s="50"/>
      <c r="FU135" s="50"/>
      <c r="FV135" s="50"/>
      <c r="FW135" s="50"/>
      <c r="FX135" s="50"/>
      <c r="FY135" s="50"/>
      <c r="FZ135" s="50"/>
      <c r="GA135" s="50"/>
      <c r="GB135" s="50"/>
      <c r="GC135" s="50"/>
      <c r="GD135" s="50"/>
      <c r="GE135" s="50"/>
      <c r="GF135" s="50"/>
      <c r="GG135" s="50"/>
      <c r="GH135" s="50"/>
      <c r="GI135" s="50"/>
      <c r="GJ135" s="50"/>
      <c r="GK135" s="50"/>
      <c r="GL135" s="50"/>
      <c r="GM135" s="50"/>
      <c r="GN135" s="50"/>
      <c r="GO135" s="50"/>
      <c r="GP135" s="50"/>
      <c r="GQ135" s="50"/>
      <c r="GR135" s="50"/>
      <c r="GS135" s="50"/>
      <c r="GT135" s="50"/>
      <c r="GU135" s="50"/>
      <c r="GV135" s="50"/>
      <c r="GW135" s="50"/>
      <c r="GX135" s="50"/>
      <c r="GY135" s="50"/>
      <c r="GZ135" s="50"/>
      <c r="HA135" s="50"/>
      <c r="HB135" s="50"/>
      <c r="HC135" s="50"/>
      <c r="HD135" s="50"/>
      <c r="HE135" s="50"/>
      <c r="HF135" s="50"/>
      <c r="HG135" s="50"/>
      <c r="HH135" s="50"/>
      <c r="HI135" s="50"/>
      <c r="HJ135" s="50"/>
      <c r="HK135" s="50"/>
      <c r="HL135" s="50"/>
      <c r="HM135" s="50"/>
      <c r="HN135" s="50"/>
      <c r="HO135" s="50"/>
      <c r="HP135" s="50"/>
      <c r="HQ135" s="50"/>
      <c r="HR135" s="50"/>
      <c r="HS135" s="50"/>
      <c r="HT135" s="50"/>
      <c r="HU135" s="50"/>
      <c r="HV135" s="50"/>
      <c r="HW135" s="50"/>
      <c r="HX135" s="50"/>
      <c r="HY135" s="50"/>
      <c r="HZ135" s="50"/>
      <c r="IA135" s="50"/>
      <c r="IB135" s="50"/>
      <c r="IC135" s="50"/>
      <c r="ID135" s="50"/>
      <c r="IE135" s="50"/>
      <c r="IF135" s="50"/>
      <c r="IG135" s="50"/>
      <c r="IH135" s="50"/>
      <c r="II135" s="50"/>
      <c r="IJ135" s="50"/>
      <c r="IK135" s="50"/>
      <c r="IL135" s="50"/>
      <c r="IM135" s="50"/>
      <c r="IN135" s="50"/>
      <c r="IO135" s="50"/>
      <c r="IP135" s="50"/>
      <c r="IQ135" s="50"/>
      <c r="IR135" s="50"/>
      <c r="IS135" s="50"/>
      <c r="IT135" s="50"/>
      <c r="IU135" s="50"/>
    </row>
    <row r="136" spans="1:255" s="15" customFormat="1" ht="15.6" x14ac:dyDescent="0.3">
      <c r="A136" s="79" t="s">
        <v>80</v>
      </c>
      <c r="B136" s="36"/>
      <c r="C136" s="508"/>
      <c r="D136" s="415">
        <f>SUM(D132:D135)</f>
        <v>66947.301999999996</v>
      </c>
      <c r="E136" s="37">
        <f>SUM(E124:E135)</f>
        <v>15938.262000000001</v>
      </c>
      <c r="F136" s="32">
        <f>SUM(F124:F135)</f>
        <v>-1044.2319999999997</v>
      </c>
      <c r="G136" s="45">
        <f>SUM(G124:G135)</f>
        <v>0</v>
      </c>
      <c r="H136" s="32">
        <f>SUM(H124:H135)</f>
        <v>0</v>
      </c>
      <c r="I136" s="38">
        <f>SUM(I124:I135)</f>
        <v>14894.030000000002</v>
      </c>
      <c r="J136" s="491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</row>
    <row r="137" spans="1:255" s="15" customFormat="1" ht="15" x14ac:dyDescent="0.25">
      <c r="A137" s="36"/>
      <c r="B137" s="36"/>
      <c r="C137" s="508"/>
      <c r="D137" s="415"/>
      <c r="E137" s="37"/>
      <c r="F137" s="32"/>
      <c r="G137" s="45"/>
      <c r="H137" s="32"/>
      <c r="I137" s="38"/>
      <c r="J137" s="491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</row>
    <row r="138" spans="1:255" s="15" customFormat="1" ht="15.6" x14ac:dyDescent="0.3">
      <c r="A138" s="65" t="s">
        <v>81</v>
      </c>
      <c r="B138" s="36"/>
      <c r="C138" s="508"/>
      <c r="D138" s="415">
        <f t="shared" ref="D138:I138" si="11">D109+D114+D122+D136</f>
        <v>310104.18299999996</v>
      </c>
      <c r="E138" s="37">
        <f t="shared" si="11"/>
        <v>33673.091</v>
      </c>
      <c r="F138" s="32">
        <f t="shared" si="11"/>
        <v>-4550.5919999999996</v>
      </c>
      <c r="G138" s="45">
        <f t="shared" si="11"/>
        <v>0</v>
      </c>
      <c r="H138" s="32">
        <f t="shared" si="11"/>
        <v>0</v>
      </c>
      <c r="I138" s="38">
        <f t="shared" si="11"/>
        <v>29122.499000000003</v>
      </c>
      <c r="J138" s="491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</row>
    <row r="139" spans="1:255" s="15" customFormat="1" ht="15.6" x14ac:dyDescent="0.3">
      <c r="A139" s="506"/>
      <c r="B139" s="36"/>
      <c r="C139" s="508"/>
      <c r="D139" s="415"/>
      <c r="E139" s="37"/>
      <c r="F139" s="32"/>
      <c r="G139" s="45"/>
      <c r="H139" s="32"/>
      <c r="I139" s="38"/>
      <c r="J139" s="491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</row>
    <row r="140" spans="1:255" s="15" customFormat="1" ht="15.6" x14ac:dyDescent="0.3">
      <c r="A140" s="506" t="s">
        <v>839</v>
      </c>
      <c r="B140" s="36"/>
      <c r="C140" s="508"/>
      <c r="D140" s="415"/>
      <c r="E140" s="37"/>
      <c r="F140" s="32"/>
      <c r="G140" s="45"/>
      <c r="H140" s="32"/>
      <c r="I140" s="38"/>
      <c r="J140" s="491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</row>
    <row r="141" spans="1:255" s="50" customFormat="1" ht="17.399999999999999" x14ac:dyDescent="0.3">
      <c r="A141" s="470" t="s">
        <v>816</v>
      </c>
      <c r="B141" s="466"/>
      <c r="C141" s="509"/>
      <c r="D141" s="468"/>
      <c r="E141" s="520">
        <f>3000000/1000</f>
        <v>3000</v>
      </c>
      <c r="F141" s="444"/>
      <c r="G141" s="444"/>
      <c r="H141" s="444"/>
      <c r="I141" s="469">
        <f>SUM(E141:G141)</f>
        <v>3000</v>
      </c>
      <c r="J141" s="517" t="s">
        <v>21</v>
      </c>
    </row>
    <row r="142" spans="1:255" s="15" customFormat="1" ht="15.6" thickBot="1" x14ac:dyDescent="0.3">
      <c r="A142" s="36"/>
      <c r="B142" s="36"/>
      <c r="C142" s="508"/>
      <c r="D142" s="421"/>
      <c r="E142" s="80"/>
      <c r="F142" s="81"/>
      <c r="G142" s="81"/>
      <c r="H142" s="81"/>
      <c r="I142" s="82"/>
      <c r="J142" s="491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</row>
    <row r="143" spans="1:255" s="90" customFormat="1" ht="17.399999999999999" x14ac:dyDescent="0.3">
      <c r="A143" s="83" t="s">
        <v>82</v>
      </c>
      <c r="B143" s="84"/>
      <c r="C143" s="85"/>
      <c r="D143" s="149">
        <f t="shared" ref="D143:I143" si="12">D138+D97+D90+D63+D39+D21+D141</f>
        <v>1174557.5009999999</v>
      </c>
      <c r="E143" s="86">
        <f t="shared" si="12"/>
        <v>135759.79399999999</v>
      </c>
      <c r="F143" s="87">
        <f t="shared" si="12"/>
        <v>-15896.954</v>
      </c>
      <c r="G143" s="87">
        <f t="shared" si="12"/>
        <v>0</v>
      </c>
      <c r="H143" s="87">
        <f t="shared" si="12"/>
        <v>0</v>
      </c>
      <c r="I143" s="88">
        <f t="shared" si="12"/>
        <v>119862.879</v>
      </c>
      <c r="J143" s="493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89"/>
      <c r="AS143" s="89"/>
      <c r="AT143" s="89"/>
      <c r="AU143" s="89"/>
      <c r="AV143" s="89"/>
      <c r="AW143" s="89"/>
      <c r="AX143" s="89"/>
      <c r="AY143" s="89"/>
      <c r="AZ143" s="89"/>
      <c r="BA143" s="89"/>
      <c r="BB143" s="89"/>
      <c r="BC143" s="89"/>
      <c r="BD143" s="89"/>
      <c r="BE143" s="89"/>
      <c r="BF143" s="89"/>
      <c r="BG143" s="89"/>
      <c r="BH143" s="89"/>
      <c r="BI143" s="89"/>
      <c r="BJ143" s="89"/>
      <c r="BK143" s="89"/>
      <c r="BL143" s="89"/>
      <c r="BM143" s="89"/>
      <c r="BN143" s="89"/>
      <c r="BO143" s="89"/>
      <c r="BP143" s="89"/>
      <c r="BQ143" s="89"/>
      <c r="BR143" s="89"/>
      <c r="BS143" s="89"/>
      <c r="BT143" s="89"/>
      <c r="BU143" s="89"/>
    </row>
    <row r="144" spans="1:255" s="90" customFormat="1" ht="17.399999999999999" x14ac:dyDescent="0.3">
      <c r="A144" s="83"/>
      <c r="B144" s="84"/>
      <c r="C144" s="85"/>
      <c r="D144" s="149"/>
      <c r="E144" s="86"/>
      <c r="F144" s="87"/>
      <c r="G144" s="87"/>
      <c r="H144" s="87"/>
      <c r="I144" s="88"/>
      <c r="J144" s="493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89"/>
      <c r="AO144" s="89"/>
      <c r="AP144" s="89"/>
      <c r="AQ144" s="89"/>
      <c r="AR144" s="89"/>
      <c r="AS144" s="89"/>
      <c r="AT144" s="89"/>
      <c r="AU144" s="89"/>
      <c r="AV144" s="89"/>
      <c r="AW144" s="89"/>
      <c r="AX144" s="89"/>
      <c r="AY144" s="89"/>
      <c r="AZ144" s="89"/>
      <c r="BA144" s="89"/>
      <c r="BB144" s="89"/>
      <c r="BC144" s="89"/>
      <c r="BD144" s="89"/>
      <c r="BE144" s="89"/>
      <c r="BF144" s="89"/>
      <c r="BG144" s="89"/>
      <c r="BH144" s="89"/>
      <c r="BI144" s="89"/>
      <c r="BJ144" s="89"/>
      <c r="BK144" s="89"/>
      <c r="BL144" s="89"/>
      <c r="BM144" s="89"/>
      <c r="BN144" s="89"/>
      <c r="BO144" s="89"/>
      <c r="BP144" s="89"/>
      <c r="BQ144" s="89"/>
      <c r="BR144" s="89"/>
      <c r="BS144" s="89"/>
      <c r="BT144" s="89"/>
      <c r="BU144" s="89"/>
    </row>
    <row r="145" spans="1:10" ht="17.399999999999999" x14ac:dyDescent="0.3">
      <c r="A145" s="85" t="s">
        <v>83</v>
      </c>
      <c r="B145" s="91"/>
      <c r="C145" s="57"/>
      <c r="D145" s="138"/>
      <c r="E145" s="54"/>
      <c r="F145" s="45"/>
      <c r="G145" s="45"/>
      <c r="H145" s="45"/>
      <c r="I145" s="55"/>
      <c r="J145" s="494"/>
    </row>
    <row r="146" spans="1:10" ht="15.6" x14ac:dyDescent="0.3">
      <c r="A146" s="93"/>
      <c r="B146" s="94"/>
      <c r="C146" s="57"/>
      <c r="D146" s="138"/>
      <c r="E146" s="54"/>
      <c r="F146" s="45"/>
      <c r="G146" s="45"/>
      <c r="H146" s="45"/>
      <c r="I146" s="55"/>
      <c r="J146" s="494"/>
    </row>
    <row r="147" spans="1:10" ht="15.6" x14ac:dyDescent="0.3">
      <c r="A147" s="95" t="s">
        <v>84</v>
      </c>
      <c r="B147" s="94"/>
      <c r="C147" s="57"/>
      <c r="D147" s="138"/>
      <c r="E147" s="54"/>
      <c r="F147" s="45"/>
      <c r="G147" s="45"/>
      <c r="H147" s="45"/>
      <c r="I147" s="55"/>
      <c r="J147" s="494"/>
    </row>
    <row r="148" spans="1:10" ht="15" x14ac:dyDescent="0.25">
      <c r="A148" s="96"/>
      <c r="B148" s="97"/>
      <c r="C148" s="57"/>
      <c r="D148" s="138"/>
      <c r="E148" s="54"/>
      <c r="F148" s="45"/>
      <c r="G148" s="45"/>
      <c r="H148" s="45"/>
      <c r="I148" s="55"/>
      <c r="J148" s="494"/>
    </row>
    <row r="149" spans="1:10" ht="15.6" x14ac:dyDescent="0.3">
      <c r="A149" s="98" t="s">
        <v>85</v>
      </c>
      <c r="B149" s="99"/>
      <c r="C149" s="57"/>
      <c r="D149" s="138"/>
      <c r="E149" s="54"/>
      <c r="F149" s="45"/>
      <c r="G149" s="45"/>
      <c r="H149" s="45"/>
      <c r="I149" s="55"/>
      <c r="J149" s="494"/>
    </row>
    <row r="150" spans="1:10" ht="4.5" customHeight="1" x14ac:dyDescent="0.25">
      <c r="A150" s="100"/>
      <c r="B150" s="100"/>
      <c r="C150" s="101"/>
      <c r="D150" s="422"/>
      <c r="E150" s="102"/>
      <c r="F150" s="103"/>
      <c r="G150" s="103"/>
      <c r="H150" s="103"/>
      <c r="I150" s="104"/>
      <c r="J150" s="494"/>
    </row>
    <row r="151" spans="1:10" s="50" customFormat="1" ht="17.399999999999999" x14ac:dyDescent="0.3">
      <c r="A151" s="474" t="s">
        <v>809</v>
      </c>
      <c r="B151" s="466"/>
      <c r="C151" s="467"/>
      <c r="D151" s="468"/>
      <c r="E151" s="444">
        <f>862963/1000</f>
        <v>862.96299999999997</v>
      </c>
      <c r="F151" s="444">
        <f>-82200/1000</f>
        <v>-82.2</v>
      </c>
      <c r="G151" s="444"/>
      <c r="H151" s="444"/>
      <c r="I151" s="469">
        <f t="shared" ref="I151:I164" si="13">SUM(E151:G151)</f>
        <v>780.76299999999992</v>
      </c>
      <c r="J151" s="492" t="s">
        <v>72</v>
      </c>
    </row>
    <row r="152" spans="1:10" s="50" customFormat="1" ht="17.399999999999999" x14ac:dyDescent="0.3">
      <c r="A152" s="474" t="s">
        <v>838</v>
      </c>
      <c r="B152" s="466"/>
      <c r="C152" s="467"/>
      <c r="D152" s="468"/>
      <c r="E152" s="444">
        <f>138758/1000</f>
        <v>138.75800000000001</v>
      </c>
      <c r="F152" s="444">
        <v>-13.813000000000001</v>
      </c>
      <c r="G152" s="444"/>
      <c r="H152" s="444"/>
      <c r="I152" s="469">
        <f t="shared" si="13"/>
        <v>124.94500000000001</v>
      </c>
      <c r="J152" s="492" t="s">
        <v>72</v>
      </c>
    </row>
    <row r="153" spans="1:10" s="50" customFormat="1" ht="17.399999999999999" x14ac:dyDescent="0.3">
      <c r="A153" s="474" t="s">
        <v>779</v>
      </c>
      <c r="B153" s="466"/>
      <c r="C153" s="467"/>
      <c r="D153" s="468"/>
      <c r="E153" s="444">
        <f>1337899/1000</f>
        <v>1337.8989999999999</v>
      </c>
      <c r="F153" s="444">
        <f>-694000/1000</f>
        <v>-694</v>
      </c>
      <c r="G153" s="444"/>
      <c r="H153" s="444"/>
      <c r="I153" s="469">
        <f t="shared" si="13"/>
        <v>643.89899999999989</v>
      </c>
      <c r="J153" s="492" t="s">
        <v>21</v>
      </c>
    </row>
    <row r="154" spans="1:10" s="50" customFormat="1" ht="17.399999999999999" x14ac:dyDescent="0.3">
      <c r="A154" s="474" t="s">
        <v>714</v>
      </c>
      <c r="B154" s="466"/>
      <c r="C154" s="467"/>
      <c r="D154" s="468"/>
      <c r="E154" s="444">
        <f>26053/1000</f>
        <v>26.053000000000001</v>
      </c>
      <c r="F154" s="444">
        <f>0/1000</f>
        <v>0</v>
      </c>
      <c r="G154" s="444"/>
      <c r="H154" s="444"/>
      <c r="I154" s="469">
        <f t="shared" si="13"/>
        <v>26.053000000000001</v>
      </c>
      <c r="J154" s="492" t="s">
        <v>21</v>
      </c>
    </row>
    <row r="155" spans="1:10" s="50" customFormat="1" ht="17.399999999999999" x14ac:dyDescent="0.3">
      <c r="A155" s="474" t="s">
        <v>807</v>
      </c>
      <c r="B155" s="466"/>
      <c r="C155" s="467"/>
      <c r="D155" s="468"/>
      <c r="E155" s="444">
        <f>52334/1000</f>
        <v>52.334000000000003</v>
      </c>
      <c r="F155" s="444">
        <v>-8.6310000000000002</v>
      </c>
      <c r="G155" s="444"/>
      <c r="H155" s="444"/>
      <c r="I155" s="469">
        <f t="shared" si="13"/>
        <v>43.703000000000003</v>
      </c>
      <c r="J155" s="492" t="s">
        <v>72</v>
      </c>
    </row>
    <row r="156" spans="1:10" s="50" customFormat="1" ht="17.399999999999999" x14ac:dyDescent="0.3">
      <c r="A156" s="474" t="s">
        <v>830</v>
      </c>
      <c r="B156" s="466"/>
      <c r="C156" s="467"/>
      <c r="D156" s="468"/>
      <c r="E156" s="444">
        <f>62479/1000</f>
        <v>62.478999999999999</v>
      </c>
      <c r="F156" s="444">
        <v>-11.335000000000001</v>
      </c>
      <c r="G156" s="444"/>
      <c r="H156" s="444"/>
      <c r="I156" s="469">
        <f t="shared" si="13"/>
        <v>51.143999999999998</v>
      </c>
      <c r="J156" s="492" t="s">
        <v>72</v>
      </c>
    </row>
    <row r="157" spans="1:10" s="50" customFormat="1" ht="17.399999999999999" x14ac:dyDescent="0.3">
      <c r="A157" s="474" t="s">
        <v>831</v>
      </c>
      <c r="B157" s="466"/>
      <c r="C157" s="467"/>
      <c r="D157" s="468"/>
      <c r="E157" s="444">
        <f>135810/1000</f>
        <v>135.81</v>
      </c>
      <c r="F157" s="444">
        <v>-9.5410000000000004</v>
      </c>
      <c r="G157" s="444"/>
      <c r="H157" s="444"/>
      <c r="I157" s="469">
        <f t="shared" si="13"/>
        <v>126.26900000000001</v>
      </c>
      <c r="J157" s="492" t="s">
        <v>72</v>
      </c>
    </row>
    <row r="158" spans="1:10" s="50" customFormat="1" ht="17.399999999999999" x14ac:dyDescent="0.3">
      <c r="A158" s="474" t="s">
        <v>832</v>
      </c>
      <c r="B158" s="466"/>
      <c r="C158" s="467"/>
      <c r="D158" s="468"/>
      <c r="E158" s="444">
        <f>36810/1000</f>
        <v>36.81</v>
      </c>
      <c r="F158" s="444">
        <v>-3.3420000000000001</v>
      </c>
      <c r="G158" s="444"/>
      <c r="H158" s="444"/>
      <c r="I158" s="469">
        <f t="shared" si="13"/>
        <v>33.468000000000004</v>
      </c>
      <c r="J158" s="492" t="s">
        <v>72</v>
      </c>
    </row>
    <row r="159" spans="1:10" s="50" customFormat="1" ht="17.399999999999999" x14ac:dyDescent="0.3">
      <c r="A159" s="474" t="s">
        <v>833</v>
      </c>
      <c r="B159" s="466"/>
      <c r="C159" s="467"/>
      <c r="D159" s="468"/>
      <c r="E159" s="444">
        <f>59751/1000</f>
        <v>59.750999999999998</v>
      </c>
      <c r="F159" s="444">
        <v>-7.8810000000000002</v>
      </c>
      <c r="G159" s="444"/>
      <c r="H159" s="444"/>
      <c r="I159" s="469">
        <f t="shared" si="13"/>
        <v>51.87</v>
      </c>
      <c r="J159" s="492" t="s">
        <v>72</v>
      </c>
    </row>
    <row r="160" spans="1:10" s="50" customFormat="1" ht="17.399999999999999" x14ac:dyDescent="0.3">
      <c r="A160" s="474" t="s">
        <v>834</v>
      </c>
      <c r="B160" s="466"/>
      <c r="C160" s="467"/>
      <c r="D160" s="468"/>
      <c r="E160" s="444">
        <f>56921/1000</f>
        <v>56.920999999999999</v>
      </c>
      <c r="F160" s="444">
        <v>-10.029999999999999</v>
      </c>
      <c r="G160" s="444"/>
      <c r="H160" s="444"/>
      <c r="I160" s="469">
        <f t="shared" si="13"/>
        <v>46.890999999999998</v>
      </c>
      <c r="J160" s="492" t="s">
        <v>72</v>
      </c>
    </row>
    <row r="161" spans="1:10" s="50" customFormat="1" ht="17.399999999999999" x14ac:dyDescent="0.3">
      <c r="A161" s="474" t="s">
        <v>835</v>
      </c>
      <c r="B161" s="466"/>
      <c r="C161" s="467"/>
      <c r="D161" s="468"/>
      <c r="E161" s="444">
        <f>223691/1000</f>
        <v>223.691</v>
      </c>
      <c r="F161" s="444">
        <f>-41526/1000</f>
        <v>-41.526000000000003</v>
      </c>
      <c r="G161" s="444"/>
      <c r="H161" s="444"/>
      <c r="I161" s="469">
        <f t="shared" si="13"/>
        <v>182.16499999999999</v>
      </c>
      <c r="J161" s="492" t="s">
        <v>72</v>
      </c>
    </row>
    <row r="162" spans="1:10" s="50" customFormat="1" ht="17.399999999999999" x14ac:dyDescent="0.3">
      <c r="A162" s="474" t="s">
        <v>836</v>
      </c>
      <c r="B162" s="466"/>
      <c r="C162" s="467"/>
      <c r="D162" s="468"/>
      <c r="E162" s="444">
        <f>102735/1000</f>
        <v>102.735</v>
      </c>
      <c r="F162" s="444">
        <v>-8.8309999999999995</v>
      </c>
      <c r="G162" s="444"/>
      <c r="H162" s="444"/>
      <c r="I162" s="469">
        <f t="shared" si="13"/>
        <v>93.903999999999996</v>
      </c>
      <c r="J162" s="492" t="s">
        <v>72</v>
      </c>
    </row>
    <row r="163" spans="1:10" s="50" customFormat="1" ht="17.399999999999999" x14ac:dyDescent="0.3">
      <c r="A163" s="474" t="s">
        <v>837</v>
      </c>
      <c r="B163" s="466"/>
      <c r="C163" s="467"/>
      <c r="D163" s="468"/>
      <c r="E163" s="444">
        <v>23.776</v>
      </c>
      <c r="F163" s="444">
        <v>-4.4009999999999998</v>
      </c>
      <c r="G163" s="444"/>
      <c r="H163" s="444"/>
      <c r="I163" s="469">
        <f t="shared" si="13"/>
        <v>19.375</v>
      </c>
      <c r="J163" s="492" t="s">
        <v>72</v>
      </c>
    </row>
    <row r="164" spans="1:10" s="482" customFormat="1" ht="17.399999999999999" x14ac:dyDescent="0.3">
      <c r="A164" s="474" t="s">
        <v>778</v>
      </c>
      <c r="B164" s="478"/>
      <c r="C164" s="479"/>
      <c r="D164" s="480"/>
      <c r="E164" s="473">
        <f>318687/1000</f>
        <v>318.68700000000001</v>
      </c>
      <c r="F164" s="473">
        <v>-27.9</v>
      </c>
      <c r="G164" s="473"/>
      <c r="H164" s="473"/>
      <c r="I164" s="481">
        <f t="shared" si="13"/>
        <v>290.78700000000003</v>
      </c>
      <c r="J164" s="492" t="s">
        <v>21</v>
      </c>
    </row>
    <row r="165" spans="1:10" s="50" customFormat="1" ht="17.399999999999999" x14ac:dyDescent="0.3">
      <c r="A165" s="428" t="s">
        <v>633</v>
      </c>
      <c r="B165" s="154"/>
      <c r="C165" s="48"/>
      <c r="D165" s="138">
        <v>1106</v>
      </c>
      <c r="E165" s="54">
        <f>244378/1000</f>
        <v>244.37799999999999</v>
      </c>
      <c r="F165" s="45">
        <v>-17.302</v>
      </c>
      <c r="G165" s="45"/>
      <c r="H165" s="45"/>
      <c r="I165" s="55">
        <f>F165+E165</f>
        <v>227.07599999999999</v>
      </c>
      <c r="J165" s="492" t="s">
        <v>68</v>
      </c>
    </row>
    <row r="166" spans="1:10" s="50" customFormat="1" ht="17.399999999999999" x14ac:dyDescent="0.3">
      <c r="A166" s="428" t="s">
        <v>612</v>
      </c>
      <c r="B166" s="154"/>
      <c r="C166" s="48"/>
      <c r="D166" s="138"/>
      <c r="E166" s="54">
        <f>10831/1000</f>
        <v>10.831</v>
      </c>
      <c r="F166" s="45">
        <v>-0.98199999999999998</v>
      </c>
      <c r="G166" s="45"/>
      <c r="H166" s="45"/>
      <c r="I166" s="55">
        <f>F166+E166</f>
        <v>9.8490000000000002</v>
      </c>
      <c r="J166" s="492" t="s">
        <v>72</v>
      </c>
    </row>
    <row r="167" spans="1:10" s="50" customFormat="1" ht="15.6" x14ac:dyDescent="0.3">
      <c r="A167" s="68" t="s">
        <v>545</v>
      </c>
      <c r="B167" s="47"/>
      <c r="C167" s="48"/>
      <c r="D167" s="156">
        <v>1153.6559999999999</v>
      </c>
      <c r="E167" s="54">
        <v>138.74100000000001</v>
      </c>
      <c r="F167" s="45">
        <v>-26.949000000000002</v>
      </c>
      <c r="G167" s="45"/>
      <c r="H167" s="45"/>
      <c r="I167" s="55">
        <f>SUM(E167:H167)</f>
        <v>111.79200000000002</v>
      </c>
      <c r="J167" s="492" t="s">
        <v>68</v>
      </c>
    </row>
    <row r="168" spans="1:10" s="50" customFormat="1" ht="17.399999999999999" x14ac:dyDescent="0.3">
      <c r="A168" s="428" t="s">
        <v>611</v>
      </c>
      <c r="B168" s="154"/>
      <c r="C168" s="48"/>
      <c r="D168" s="156">
        <f>I168/0.015</f>
        <v>9219.4666666666672</v>
      </c>
      <c r="E168" s="54">
        <f>188150/1000</f>
        <v>188.15</v>
      </c>
      <c r="F168" s="45">
        <f>-49858/1000</f>
        <v>-49.857999999999997</v>
      </c>
      <c r="G168" s="45"/>
      <c r="H168" s="45"/>
      <c r="I168" s="55">
        <f>F168+E168</f>
        <v>138.292</v>
      </c>
      <c r="J168" s="492" t="s">
        <v>72</v>
      </c>
    </row>
    <row r="169" spans="1:10" s="50" customFormat="1" ht="17.399999999999999" x14ac:dyDescent="0.3">
      <c r="A169" s="428" t="s">
        <v>634</v>
      </c>
      <c r="B169" s="154"/>
      <c r="C169" s="48"/>
      <c r="D169" s="156">
        <f>I169/0.015</f>
        <v>6789.666666666667</v>
      </c>
      <c r="E169" s="54">
        <f>111707/1000</f>
        <v>111.70699999999999</v>
      </c>
      <c r="F169" s="45">
        <v>-9.8620000000000001</v>
      </c>
      <c r="G169" s="45"/>
      <c r="H169" s="45"/>
      <c r="I169" s="55">
        <f>F169+E169</f>
        <v>101.845</v>
      </c>
      <c r="J169" s="492" t="s">
        <v>72</v>
      </c>
    </row>
    <row r="170" spans="1:10" s="50" customFormat="1" ht="17.399999999999999" x14ac:dyDescent="0.3">
      <c r="A170" s="428" t="s">
        <v>639</v>
      </c>
      <c r="B170" s="154"/>
      <c r="C170" s="48"/>
      <c r="D170" s="156">
        <f>I170/0.015</f>
        <v>7554.333333333333</v>
      </c>
      <c r="E170" s="54">
        <f>118908/1000</f>
        <v>118.908</v>
      </c>
      <c r="F170" s="45">
        <v>-5.593</v>
      </c>
      <c r="G170" s="45"/>
      <c r="H170" s="45"/>
      <c r="I170" s="55">
        <f>F170+E170</f>
        <v>113.315</v>
      </c>
      <c r="J170" s="492" t="s">
        <v>72</v>
      </c>
    </row>
    <row r="171" spans="1:10" s="50" customFormat="1" ht="15.6" x14ac:dyDescent="0.3">
      <c r="A171" s="68" t="s">
        <v>544</v>
      </c>
      <c r="B171" s="47"/>
      <c r="C171" s="48"/>
      <c r="D171" s="156"/>
      <c r="E171" s="54">
        <v>43.631999999999998</v>
      </c>
      <c r="F171" s="45">
        <v>-4.6470000000000002</v>
      </c>
      <c r="G171" s="45"/>
      <c r="H171" s="45"/>
      <c r="I171" s="55">
        <f>SUM(E171:H171)</f>
        <v>38.984999999999999</v>
      </c>
      <c r="J171" s="492" t="s">
        <v>72</v>
      </c>
    </row>
    <row r="172" spans="1:10" s="50" customFormat="1" ht="15.6" x14ac:dyDescent="0.3">
      <c r="A172" s="68" t="s">
        <v>554</v>
      </c>
      <c r="B172" s="47"/>
      <c r="C172" s="48"/>
      <c r="D172" s="156"/>
      <c r="E172" s="54">
        <v>16.696000000000002</v>
      </c>
      <c r="F172" s="45">
        <v>-1.1279999999999999</v>
      </c>
      <c r="G172" s="45"/>
      <c r="H172" s="45"/>
      <c r="I172" s="55">
        <f>SUM(E172:H172)</f>
        <v>15.568000000000001</v>
      </c>
      <c r="J172" s="492" t="s">
        <v>72</v>
      </c>
    </row>
    <row r="173" spans="1:10" s="50" customFormat="1" ht="15.6" x14ac:dyDescent="0.3">
      <c r="A173" s="68" t="s">
        <v>547</v>
      </c>
      <c r="B173" s="47"/>
      <c r="C173" s="48"/>
      <c r="D173" s="156"/>
      <c r="E173" s="54">
        <v>77.147000000000006</v>
      </c>
      <c r="F173" s="45">
        <v>-5.806</v>
      </c>
      <c r="G173" s="45"/>
      <c r="H173" s="45"/>
      <c r="I173" s="55">
        <f>SUM(E173:H173)</f>
        <v>71.341000000000008</v>
      </c>
      <c r="J173" s="492" t="s">
        <v>72</v>
      </c>
    </row>
    <row r="174" spans="1:10" s="50" customFormat="1" ht="15.6" x14ac:dyDescent="0.3">
      <c r="A174" s="68" t="s">
        <v>555</v>
      </c>
      <c r="B174" s="47"/>
      <c r="C174" s="48"/>
      <c r="D174" s="156"/>
      <c r="E174" s="54">
        <v>44.003</v>
      </c>
      <c r="F174" s="45">
        <v>-4.7830000000000004</v>
      </c>
      <c r="G174" s="45"/>
      <c r="H174" s="45"/>
      <c r="I174" s="55">
        <f>SUM(E174:H174)</f>
        <v>39.22</v>
      </c>
      <c r="J174" s="492" t="s">
        <v>72</v>
      </c>
    </row>
    <row r="175" spans="1:10" s="50" customFormat="1" ht="15.6" x14ac:dyDescent="0.3">
      <c r="A175" s="68" t="s">
        <v>86</v>
      </c>
      <c r="B175" s="47"/>
      <c r="C175" s="48"/>
      <c r="D175" s="138">
        <v>2142</v>
      </c>
      <c r="E175" s="54">
        <v>429.24599999999998</v>
      </c>
      <c r="F175" s="45">
        <v>-63.496000000000002</v>
      </c>
      <c r="G175" s="45"/>
      <c r="H175" s="45"/>
      <c r="I175" s="55">
        <f t="shared" ref="I175:I181" si="14">SUM(E175:G175)</f>
        <v>365.75</v>
      </c>
      <c r="J175" s="492" t="s">
        <v>68</v>
      </c>
    </row>
    <row r="176" spans="1:10" s="50" customFormat="1" ht="15.6" x14ac:dyDescent="0.3">
      <c r="A176" s="68" t="s">
        <v>91</v>
      </c>
      <c r="B176" s="47"/>
      <c r="C176" s="48"/>
      <c r="D176" s="138"/>
      <c r="E176" s="54">
        <v>24.931000000000001</v>
      </c>
      <c r="F176" s="45">
        <v>-1.7350000000000001</v>
      </c>
      <c r="G176" s="45"/>
      <c r="H176" s="45"/>
      <c r="I176" s="55">
        <f t="shared" si="14"/>
        <v>23.196000000000002</v>
      </c>
      <c r="J176" s="492" t="s">
        <v>72</v>
      </c>
    </row>
    <row r="177" spans="1:10" s="50" customFormat="1" ht="15.6" x14ac:dyDescent="0.3">
      <c r="A177" s="68" t="s">
        <v>92</v>
      </c>
      <c r="B177" s="47"/>
      <c r="C177" s="48"/>
      <c r="D177" s="138"/>
      <c r="E177" s="54">
        <v>68.462999999999994</v>
      </c>
      <c r="F177" s="45">
        <v>-8.2460000000000004</v>
      </c>
      <c r="G177" s="45"/>
      <c r="H177" s="45"/>
      <c r="I177" s="55">
        <f t="shared" si="14"/>
        <v>60.216999999999992</v>
      </c>
      <c r="J177" s="492" t="s">
        <v>72</v>
      </c>
    </row>
    <row r="178" spans="1:10" s="50" customFormat="1" ht="15.6" x14ac:dyDescent="0.3">
      <c r="A178" s="68" t="s">
        <v>97</v>
      </c>
      <c r="B178" s="47"/>
      <c r="C178" s="48"/>
      <c r="D178" s="138"/>
      <c r="E178" s="54">
        <v>24.181000000000001</v>
      </c>
      <c r="F178" s="45">
        <v>-1.956</v>
      </c>
      <c r="G178" s="45"/>
      <c r="H178" s="45"/>
      <c r="I178" s="55">
        <f t="shared" si="14"/>
        <v>22.225000000000001</v>
      </c>
      <c r="J178" s="492" t="s">
        <v>72</v>
      </c>
    </row>
    <row r="179" spans="1:10" s="50" customFormat="1" ht="15.6" x14ac:dyDescent="0.3">
      <c r="A179" s="68" t="s">
        <v>99</v>
      </c>
      <c r="B179" s="47"/>
      <c r="C179" s="48"/>
      <c r="D179" s="138"/>
      <c r="E179" s="54">
        <v>284.48399999999998</v>
      </c>
      <c r="F179" s="45">
        <v>-28.225999999999999</v>
      </c>
      <c r="G179" s="45"/>
      <c r="H179" s="45"/>
      <c r="I179" s="55">
        <f t="shared" si="14"/>
        <v>256.25799999999998</v>
      </c>
      <c r="J179" s="492" t="s">
        <v>72</v>
      </c>
    </row>
    <row r="180" spans="1:10" s="50" customFormat="1" ht="15.6" x14ac:dyDescent="0.3">
      <c r="A180" s="68" t="s">
        <v>101</v>
      </c>
      <c r="B180" s="47"/>
      <c r="C180" s="48"/>
      <c r="D180" s="138"/>
      <c r="E180" s="54">
        <v>47.671999999999997</v>
      </c>
      <c r="F180" s="45">
        <v>-5.915</v>
      </c>
      <c r="G180" s="45"/>
      <c r="H180" s="45"/>
      <c r="I180" s="55">
        <f t="shared" si="14"/>
        <v>41.756999999999998</v>
      </c>
      <c r="J180" s="492" t="s">
        <v>72</v>
      </c>
    </row>
    <row r="181" spans="1:10" s="50" customFormat="1" ht="15.6" x14ac:dyDescent="0.3">
      <c r="A181" s="68" t="s">
        <v>106</v>
      </c>
      <c r="B181" s="47"/>
      <c r="C181" s="48"/>
      <c r="D181" s="138"/>
      <c r="E181" s="54">
        <v>41.655000000000001</v>
      </c>
      <c r="F181" s="45">
        <v>-2.1379999999999999</v>
      </c>
      <c r="G181" s="45"/>
      <c r="H181" s="45"/>
      <c r="I181" s="55">
        <f t="shared" si="14"/>
        <v>39.517000000000003</v>
      </c>
      <c r="J181" s="492" t="s">
        <v>72</v>
      </c>
    </row>
    <row r="182" spans="1:10" s="50" customFormat="1" ht="15.6" x14ac:dyDescent="0.3">
      <c r="A182" s="68" t="s">
        <v>107</v>
      </c>
      <c r="B182" s="47"/>
      <c r="C182" s="48"/>
      <c r="D182" s="138"/>
      <c r="E182" s="54">
        <v>123.768</v>
      </c>
      <c r="F182" s="45">
        <v>-19.373000000000001</v>
      </c>
      <c r="G182" s="45"/>
      <c r="H182" s="45"/>
      <c r="I182" s="55">
        <v>104.395</v>
      </c>
      <c r="J182" s="492" t="s">
        <v>72</v>
      </c>
    </row>
    <row r="183" spans="1:10" s="50" customFormat="1" ht="15.6" x14ac:dyDescent="0.3">
      <c r="A183" s="68" t="s">
        <v>108</v>
      </c>
      <c r="B183" s="47"/>
      <c r="C183" s="48"/>
      <c r="D183" s="138"/>
      <c r="E183" s="54">
        <v>3.7160000000000002</v>
      </c>
      <c r="F183" s="45">
        <v>-1.778</v>
      </c>
      <c r="G183" s="45"/>
      <c r="H183" s="45"/>
      <c r="I183" s="55">
        <v>1.9380000000000002</v>
      </c>
      <c r="J183" s="492" t="s">
        <v>72</v>
      </c>
    </row>
    <row r="184" spans="1:10" s="50" customFormat="1" ht="15.6" x14ac:dyDescent="0.3">
      <c r="A184" s="68" t="s">
        <v>109</v>
      </c>
      <c r="B184" s="47"/>
      <c r="C184" s="48"/>
      <c r="D184" s="138"/>
      <c r="E184" s="54">
        <v>27.902999999999999</v>
      </c>
      <c r="F184" s="45">
        <v>-2.1440000000000001</v>
      </c>
      <c r="G184" s="45"/>
      <c r="H184" s="45"/>
      <c r="I184" s="55">
        <v>25.759</v>
      </c>
      <c r="J184" s="492" t="s">
        <v>72</v>
      </c>
    </row>
    <row r="185" spans="1:10" s="50" customFormat="1" ht="15.6" x14ac:dyDescent="0.3">
      <c r="A185" s="68" t="s">
        <v>110</v>
      </c>
      <c r="B185" s="47"/>
      <c r="C185" s="48"/>
      <c r="D185" s="138"/>
      <c r="E185" s="54">
        <v>62.723999999999997</v>
      </c>
      <c r="F185" s="45">
        <v>-6.532</v>
      </c>
      <c r="G185" s="45"/>
      <c r="H185" s="45"/>
      <c r="I185" s="55">
        <f>SUM(E185:H185)</f>
        <v>56.191999999999993</v>
      </c>
      <c r="J185" s="492" t="s">
        <v>72</v>
      </c>
    </row>
    <row r="186" spans="1:10" s="50" customFormat="1" ht="15.6" x14ac:dyDescent="0.3">
      <c r="A186" s="68" t="s">
        <v>111</v>
      </c>
      <c r="B186" s="47"/>
      <c r="C186" s="48"/>
      <c r="D186" s="138"/>
      <c r="E186" s="54">
        <v>52.151000000000003</v>
      </c>
      <c r="F186" s="45">
        <v>-7.9349999999999996</v>
      </c>
      <c r="G186" s="45"/>
      <c r="H186" s="45"/>
      <c r="I186" s="55">
        <f>SUM(E186:H186)</f>
        <v>44.216000000000001</v>
      </c>
      <c r="J186" s="492" t="s">
        <v>72</v>
      </c>
    </row>
    <row r="187" spans="1:10" s="50" customFormat="1" ht="15.6" x14ac:dyDescent="0.3">
      <c r="A187" s="68" t="s">
        <v>112</v>
      </c>
      <c r="B187" s="47"/>
      <c r="C187" s="48"/>
      <c r="D187" s="138"/>
      <c r="E187" s="54">
        <v>49.320999999999998</v>
      </c>
      <c r="F187" s="45">
        <v>-3.2109999999999999</v>
      </c>
      <c r="G187" s="45"/>
      <c r="H187" s="45"/>
      <c r="I187" s="55">
        <f>SUM(E187:H187)</f>
        <v>46.11</v>
      </c>
      <c r="J187" s="492" t="s">
        <v>72</v>
      </c>
    </row>
    <row r="188" spans="1:10" s="50" customFormat="1" ht="15.6" x14ac:dyDescent="0.3">
      <c r="A188" s="68" t="s">
        <v>113</v>
      </c>
      <c r="B188" s="47"/>
      <c r="C188" s="48"/>
      <c r="D188" s="138"/>
      <c r="E188" s="54">
        <v>32.914999999999999</v>
      </c>
      <c r="F188" s="45">
        <v>-2.2730000000000001</v>
      </c>
      <c r="G188" s="45"/>
      <c r="H188" s="45"/>
      <c r="I188" s="55">
        <f>SUM(E188:H188)</f>
        <v>30.641999999999999</v>
      </c>
      <c r="J188" s="492" t="s">
        <v>72</v>
      </c>
    </row>
    <row r="189" spans="1:10" s="50" customFormat="1" ht="15.6" x14ac:dyDescent="0.3">
      <c r="A189" s="68" t="s">
        <v>114</v>
      </c>
      <c r="B189" s="47"/>
      <c r="C189" s="48"/>
      <c r="D189" s="138"/>
      <c r="E189" s="54">
        <v>53.712000000000003</v>
      </c>
      <c r="F189" s="45">
        <v>-4.2690000000000001</v>
      </c>
      <c r="G189" s="45"/>
      <c r="H189" s="45"/>
      <c r="I189" s="55">
        <f>SUM(E189:H189)</f>
        <v>49.443000000000005</v>
      </c>
      <c r="J189" s="492" t="s">
        <v>72</v>
      </c>
    </row>
    <row r="190" spans="1:10" s="50" customFormat="1" ht="15.6" x14ac:dyDescent="0.3">
      <c r="A190" s="68" t="s">
        <v>115</v>
      </c>
      <c r="B190" s="70"/>
      <c r="C190" s="105" t="s">
        <v>116</v>
      </c>
      <c r="D190" s="138"/>
      <c r="E190" s="54">
        <v>99.763000000000005</v>
      </c>
      <c r="F190" s="45">
        <v>-18.649999999999999</v>
      </c>
      <c r="G190" s="45"/>
      <c r="H190" s="45"/>
      <c r="I190" s="55">
        <f>SUM(E190:G190)</f>
        <v>81.113</v>
      </c>
      <c r="J190" s="492" t="s">
        <v>72</v>
      </c>
    </row>
    <row r="191" spans="1:10" s="50" customFormat="1" ht="15.6" x14ac:dyDescent="0.3">
      <c r="A191" s="68" t="s">
        <v>117</v>
      </c>
      <c r="B191" s="52">
        <v>37083</v>
      </c>
      <c r="C191" s="57" t="s">
        <v>118</v>
      </c>
      <c r="D191" s="138">
        <v>1364.808</v>
      </c>
      <c r="E191" s="54">
        <v>251.72800000000001</v>
      </c>
      <c r="F191" s="45">
        <v>-38.664999999999999</v>
      </c>
      <c r="G191" s="45">
        <v>0</v>
      </c>
      <c r="H191" s="45">
        <v>0</v>
      </c>
      <c r="I191" s="55">
        <f t="shared" ref="I191:I199" si="15">SUM(E191:H191)</f>
        <v>213.06300000000002</v>
      </c>
      <c r="J191" s="492" t="s">
        <v>68</v>
      </c>
    </row>
    <row r="192" spans="1:10" s="50" customFormat="1" ht="15.6" x14ac:dyDescent="0.3">
      <c r="A192" s="68" t="s">
        <v>119</v>
      </c>
      <c r="B192" s="52">
        <v>37083</v>
      </c>
      <c r="C192" s="57" t="s">
        <v>120</v>
      </c>
      <c r="D192" s="138">
        <v>2400</v>
      </c>
      <c r="E192" s="54">
        <v>55.939</v>
      </c>
      <c r="F192" s="45">
        <v>-2.5880000000000001</v>
      </c>
      <c r="G192" s="45">
        <v>0</v>
      </c>
      <c r="H192" s="45">
        <v>0</v>
      </c>
      <c r="I192" s="55">
        <f t="shared" si="15"/>
        <v>53.350999999999999</v>
      </c>
      <c r="J192" s="492" t="s">
        <v>72</v>
      </c>
    </row>
    <row r="193" spans="1:255" s="50" customFormat="1" ht="15.6" x14ac:dyDescent="0.3">
      <c r="A193" s="68" t="s">
        <v>121</v>
      </c>
      <c r="B193" s="52">
        <v>37091</v>
      </c>
      <c r="C193" s="57" t="s">
        <v>120</v>
      </c>
      <c r="D193" s="138">
        <v>5616.4260000000004</v>
      </c>
      <c r="E193" s="54">
        <v>450.78500000000003</v>
      </c>
      <c r="F193" s="45">
        <v>-76.2</v>
      </c>
      <c r="G193" s="45">
        <v>0</v>
      </c>
      <c r="H193" s="45">
        <v>0</v>
      </c>
      <c r="I193" s="55">
        <f t="shared" si="15"/>
        <v>374.58500000000004</v>
      </c>
      <c r="J193" s="492" t="s">
        <v>72</v>
      </c>
    </row>
    <row r="194" spans="1:255" s="50" customFormat="1" ht="15.6" x14ac:dyDescent="0.3">
      <c r="A194" s="68" t="s">
        <v>122</v>
      </c>
      <c r="B194" s="52">
        <v>37091</v>
      </c>
      <c r="C194" s="57" t="s">
        <v>120</v>
      </c>
      <c r="D194" s="138">
        <v>7249.2309999999998</v>
      </c>
      <c r="E194" s="54">
        <v>346.23700000000002</v>
      </c>
      <c r="F194" s="45">
        <v>-145.69999999999999</v>
      </c>
      <c r="G194" s="45">
        <v>0</v>
      </c>
      <c r="H194" s="45">
        <v>0</v>
      </c>
      <c r="I194" s="55">
        <f t="shared" si="15"/>
        <v>200.53700000000003</v>
      </c>
      <c r="J194" s="492" t="s">
        <v>21</v>
      </c>
    </row>
    <row r="195" spans="1:255" s="50" customFormat="1" ht="15.6" x14ac:dyDescent="0.3">
      <c r="A195" s="68" t="s">
        <v>123</v>
      </c>
      <c r="B195" s="52">
        <v>37091</v>
      </c>
      <c r="C195" s="57" t="s">
        <v>120</v>
      </c>
      <c r="D195" s="138">
        <v>170</v>
      </c>
      <c r="E195" s="54">
        <v>274.76299999999998</v>
      </c>
      <c r="F195" s="45">
        <v>-33.676000000000002</v>
      </c>
      <c r="G195" s="45">
        <v>0</v>
      </c>
      <c r="H195" s="45">
        <v>0</v>
      </c>
      <c r="I195" s="55">
        <f t="shared" si="15"/>
        <v>241.08699999999999</v>
      </c>
      <c r="J195" s="492" t="s">
        <v>72</v>
      </c>
    </row>
    <row r="196" spans="1:255" s="50" customFormat="1" ht="15.6" x14ac:dyDescent="0.3">
      <c r="A196" s="68" t="s">
        <v>124</v>
      </c>
      <c r="B196" s="52">
        <v>37091</v>
      </c>
      <c r="C196" s="57" t="s">
        <v>120</v>
      </c>
      <c r="D196" s="138">
        <v>674.2</v>
      </c>
      <c r="E196" s="54">
        <v>55.509</v>
      </c>
      <c r="F196" s="45">
        <v>-11.423</v>
      </c>
      <c r="G196" s="45">
        <v>0</v>
      </c>
      <c r="H196" s="45">
        <v>0</v>
      </c>
      <c r="I196" s="55">
        <f t="shared" si="15"/>
        <v>44.085999999999999</v>
      </c>
      <c r="J196" s="492" t="s">
        <v>72</v>
      </c>
    </row>
    <row r="197" spans="1:255" s="50" customFormat="1" ht="15.6" x14ac:dyDescent="0.3">
      <c r="A197" s="68" t="s">
        <v>125</v>
      </c>
      <c r="B197" s="52">
        <v>37091</v>
      </c>
      <c r="C197" s="57" t="s">
        <v>120</v>
      </c>
      <c r="D197" s="138">
        <v>350</v>
      </c>
      <c r="E197" s="54">
        <v>86.87</v>
      </c>
      <c r="F197" s="45">
        <v>-4.0129999999999999</v>
      </c>
      <c r="G197" s="45">
        <v>0</v>
      </c>
      <c r="H197" s="45">
        <v>0</v>
      </c>
      <c r="I197" s="55">
        <f t="shared" si="15"/>
        <v>82.856999999999999</v>
      </c>
      <c r="J197" s="492" t="s">
        <v>72</v>
      </c>
    </row>
    <row r="198" spans="1:255" s="50" customFormat="1" ht="18" customHeight="1" x14ac:dyDescent="0.3">
      <c r="A198" s="68" t="s">
        <v>126</v>
      </c>
      <c r="B198" s="52">
        <v>37091</v>
      </c>
      <c r="C198" s="57" t="s">
        <v>120</v>
      </c>
      <c r="D198" s="138">
        <v>1094.5</v>
      </c>
      <c r="E198" s="54">
        <v>77.313000000000002</v>
      </c>
      <c r="F198" s="45">
        <v>-15.260999999999999</v>
      </c>
      <c r="G198" s="45">
        <v>0</v>
      </c>
      <c r="H198" s="45">
        <v>0</v>
      </c>
      <c r="I198" s="55">
        <f t="shared" si="15"/>
        <v>62.052000000000007</v>
      </c>
      <c r="J198" s="492" t="s">
        <v>72</v>
      </c>
    </row>
    <row r="199" spans="1:255" s="50" customFormat="1" ht="18" customHeight="1" x14ac:dyDescent="0.3">
      <c r="A199" s="68" t="s">
        <v>127</v>
      </c>
      <c r="B199" s="52">
        <v>37091</v>
      </c>
      <c r="C199" s="57" t="s">
        <v>120</v>
      </c>
      <c r="D199" s="138">
        <v>523.70000000000005</v>
      </c>
      <c r="E199" s="54">
        <v>61.771999999999998</v>
      </c>
      <c r="F199" s="45">
        <v>-11.180999999999999</v>
      </c>
      <c r="G199" s="45">
        <v>0</v>
      </c>
      <c r="H199" s="45">
        <v>0</v>
      </c>
      <c r="I199" s="55">
        <f t="shared" si="15"/>
        <v>50.591000000000001</v>
      </c>
      <c r="J199" s="492" t="s">
        <v>72</v>
      </c>
    </row>
    <row r="200" spans="1:255" s="62" customFormat="1" ht="15.6" x14ac:dyDescent="0.3">
      <c r="A200" s="68" t="s">
        <v>128</v>
      </c>
      <c r="B200" s="52">
        <v>37105</v>
      </c>
      <c r="C200" s="57" t="s">
        <v>120</v>
      </c>
      <c r="D200" s="138">
        <v>-524</v>
      </c>
      <c r="E200" s="54">
        <v>-119.336</v>
      </c>
      <c r="F200" s="45">
        <v>11.254</v>
      </c>
      <c r="G200" s="45">
        <v>0</v>
      </c>
      <c r="H200" s="45"/>
      <c r="I200" s="55">
        <v>-108.08199999999999</v>
      </c>
      <c r="J200" s="492" t="s">
        <v>72</v>
      </c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  <c r="DS200" s="50"/>
      <c r="DT200" s="50"/>
      <c r="DU200" s="50"/>
      <c r="DV200" s="50"/>
      <c r="DW200" s="50"/>
      <c r="DX200" s="50"/>
      <c r="DY200" s="50"/>
      <c r="DZ200" s="50"/>
      <c r="EA200" s="50"/>
      <c r="EB200" s="50"/>
      <c r="EC200" s="50"/>
      <c r="ED200" s="50"/>
      <c r="EE200" s="50"/>
      <c r="EF200" s="50"/>
      <c r="EG200" s="50"/>
      <c r="EH200" s="50"/>
      <c r="EI200" s="50"/>
      <c r="EJ200" s="50"/>
      <c r="EK200" s="50"/>
      <c r="EL200" s="50"/>
      <c r="EM200" s="50"/>
      <c r="EN200" s="50"/>
      <c r="EO200" s="50"/>
      <c r="EP200" s="50"/>
      <c r="EQ200" s="50"/>
      <c r="ER200" s="50"/>
      <c r="ES200" s="50"/>
      <c r="ET200" s="50"/>
      <c r="EU200" s="50"/>
      <c r="EV200" s="50"/>
      <c r="EW200" s="50"/>
      <c r="EX200" s="50"/>
      <c r="EY200" s="50"/>
      <c r="EZ200" s="50"/>
      <c r="FA200" s="50"/>
      <c r="FB200" s="50"/>
      <c r="FC200" s="50"/>
      <c r="FD200" s="50"/>
      <c r="FE200" s="50"/>
      <c r="FF200" s="50"/>
      <c r="FG200" s="50"/>
      <c r="FH200" s="50"/>
      <c r="FI200" s="50"/>
      <c r="FJ200" s="50"/>
      <c r="FK200" s="50"/>
      <c r="FL200" s="50"/>
      <c r="FM200" s="50"/>
      <c r="FN200" s="50"/>
      <c r="FO200" s="50"/>
      <c r="FP200" s="50"/>
      <c r="FQ200" s="50"/>
      <c r="FR200" s="50"/>
      <c r="FS200" s="50"/>
      <c r="FT200" s="50"/>
      <c r="FU200" s="50"/>
      <c r="FV200" s="50"/>
      <c r="FW200" s="50"/>
      <c r="FX200" s="50"/>
      <c r="FY200" s="50"/>
      <c r="FZ200" s="50"/>
      <c r="GA200" s="50"/>
      <c r="GB200" s="50"/>
      <c r="GC200" s="50"/>
      <c r="GD200" s="50"/>
      <c r="GE200" s="50"/>
      <c r="GF200" s="50"/>
      <c r="GG200" s="50"/>
      <c r="GH200" s="50"/>
      <c r="GI200" s="50"/>
      <c r="GJ200" s="50"/>
      <c r="GK200" s="50"/>
      <c r="GL200" s="50"/>
      <c r="GM200" s="50"/>
      <c r="GN200" s="50"/>
      <c r="GO200" s="50"/>
      <c r="GP200" s="50"/>
      <c r="GQ200" s="50"/>
      <c r="GR200" s="50"/>
      <c r="GS200" s="50"/>
      <c r="GT200" s="50"/>
      <c r="GU200" s="50"/>
      <c r="GV200" s="50"/>
      <c r="GW200" s="50"/>
      <c r="GX200" s="50"/>
      <c r="GY200" s="50"/>
      <c r="GZ200" s="50"/>
      <c r="HA200" s="50"/>
      <c r="HB200" s="50"/>
      <c r="HC200" s="50"/>
      <c r="HD200" s="50"/>
      <c r="HE200" s="50"/>
      <c r="HF200" s="50"/>
      <c r="HG200" s="50"/>
      <c r="HH200" s="50"/>
      <c r="HI200" s="50"/>
      <c r="HJ200" s="50"/>
      <c r="HK200" s="50"/>
      <c r="HL200" s="50"/>
      <c r="HM200" s="50"/>
      <c r="HN200" s="50"/>
      <c r="HO200" s="50"/>
      <c r="HP200" s="50"/>
      <c r="HQ200" s="50"/>
      <c r="HR200" s="50"/>
      <c r="HS200" s="50"/>
      <c r="HT200" s="50"/>
      <c r="HU200" s="50"/>
      <c r="HV200" s="50"/>
      <c r="HW200" s="50"/>
      <c r="HX200" s="50"/>
      <c r="HY200" s="50"/>
      <c r="HZ200" s="50"/>
      <c r="IA200" s="50"/>
      <c r="IB200" s="50"/>
      <c r="IC200" s="50"/>
      <c r="ID200" s="50"/>
      <c r="IE200" s="50"/>
      <c r="IF200" s="50"/>
      <c r="IG200" s="50"/>
      <c r="IH200" s="50"/>
      <c r="II200" s="50"/>
      <c r="IJ200" s="50"/>
      <c r="IK200" s="50"/>
      <c r="IL200" s="50"/>
      <c r="IM200" s="50"/>
      <c r="IN200" s="50"/>
      <c r="IO200" s="50"/>
      <c r="IP200" s="50"/>
      <c r="IQ200" s="50"/>
      <c r="IR200" s="50"/>
      <c r="IS200" s="50"/>
      <c r="IT200" s="50"/>
      <c r="IU200" s="50"/>
    </row>
    <row r="201" spans="1:255" s="50" customFormat="1" ht="18" customHeight="1" x14ac:dyDescent="0.3">
      <c r="A201" s="68" t="s">
        <v>129</v>
      </c>
      <c r="B201" s="52">
        <v>37091</v>
      </c>
      <c r="C201" s="57" t="s">
        <v>120</v>
      </c>
      <c r="D201" s="417">
        <f>I201/0.015</f>
        <v>24174.666666666668</v>
      </c>
      <c r="E201" s="54">
        <v>410.1</v>
      </c>
      <c r="F201" s="45">
        <v>-47.48</v>
      </c>
      <c r="G201" s="45">
        <v>0</v>
      </c>
      <c r="H201" s="45"/>
      <c r="I201" s="55">
        <f>SUM(E201:H201)</f>
        <v>362.62</v>
      </c>
      <c r="J201" s="492" t="s">
        <v>72</v>
      </c>
    </row>
    <row r="202" spans="1:255" s="50" customFormat="1" ht="18" customHeight="1" x14ac:dyDescent="0.3">
      <c r="A202" s="68" t="s">
        <v>130</v>
      </c>
      <c r="B202" s="52">
        <v>37091</v>
      </c>
      <c r="C202" s="57" t="s">
        <v>118</v>
      </c>
      <c r="D202" s="138">
        <v>6359.6030000000001</v>
      </c>
      <c r="E202" s="54">
        <v>788.65599999999995</v>
      </c>
      <c r="F202" s="45">
        <v>-100.381</v>
      </c>
      <c r="G202" s="45">
        <v>0</v>
      </c>
      <c r="H202" s="45">
        <v>0</v>
      </c>
      <c r="I202" s="55">
        <f>SUM(E202:H202)</f>
        <v>688.27499999999998</v>
      </c>
      <c r="J202" s="492" t="s">
        <v>68</v>
      </c>
    </row>
    <row r="203" spans="1:255" s="50" customFormat="1" ht="15.6" x14ac:dyDescent="0.3">
      <c r="A203" s="68" t="s">
        <v>131</v>
      </c>
      <c r="B203" s="52">
        <v>37098</v>
      </c>
      <c r="C203" s="57" t="s">
        <v>120</v>
      </c>
      <c r="D203" s="417">
        <f>I203/0.03</f>
        <v>-12</v>
      </c>
      <c r="E203" s="54">
        <v>0</v>
      </c>
      <c r="F203" s="45">
        <v>-0.36</v>
      </c>
      <c r="G203" s="45">
        <v>0</v>
      </c>
      <c r="H203" s="45"/>
      <c r="I203" s="55">
        <f>SUM(E203:H203)</f>
        <v>-0.36</v>
      </c>
      <c r="J203" s="492" t="s">
        <v>72</v>
      </c>
    </row>
    <row r="204" spans="1:255" s="50" customFormat="1" ht="15.6" x14ac:dyDescent="0.3">
      <c r="A204" s="68" t="s">
        <v>132</v>
      </c>
      <c r="B204" s="52">
        <v>37098</v>
      </c>
      <c r="C204" s="57" t="s">
        <v>120</v>
      </c>
      <c r="D204" s="417">
        <v>0</v>
      </c>
      <c r="E204" s="54">
        <v>-628.05399999999997</v>
      </c>
      <c r="F204" s="45">
        <v>41.271999999999998</v>
      </c>
      <c r="G204" s="45">
        <v>0</v>
      </c>
      <c r="H204" s="45"/>
      <c r="I204" s="55">
        <f>SUM(E204:H204)</f>
        <v>-586.78199999999993</v>
      </c>
      <c r="J204" s="492" t="s">
        <v>72</v>
      </c>
    </row>
    <row r="205" spans="1:255" s="50" customFormat="1" ht="15.6" x14ac:dyDescent="0.3">
      <c r="A205" s="68" t="s">
        <v>133</v>
      </c>
      <c r="B205" s="52">
        <v>37098</v>
      </c>
      <c r="C205" s="57" t="s">
        <v>120</v>
      </c>
      <c r="D205" s="417">
        <f>I205/0.03</f>
        <v>1109.4333333333334</v>
      </c>
      <c r="E205" s="54">
        <v>36.71</v>
      </c>
      <c r="F205" s="45">
        <v>-3.427</v>
      </c>
      <c r="G205" s="45">
        <v>0</v>
      </c>
      <c r="H205" s="45"/>
      <c r="I205" s="55">
        <f>SUM(E205:H205)</f>
        <v>33.283000000000001</v>
      </c>
      <c r="J205" s="492" t="s">
        <v>72</v>
      </c>
    </row>
    <row r="206" spans="1:255" s="62" customFormat="1" ht="15.6" x14ac:dyDescent="0.3">
      <c r="A206" s="68" t="s">
        <v>134</v>
      </c>
      <c r="B206" s="52">
        <v>37105</v>
      </c>
      <c r="C206" s="57" t="s">
        <v>118</v>
      </c>
      <c r="D206" s="138">
        <f>I206/0.06</f>
        <v>2625.5</v>
      </c>
      <c r="E206" s="54">
        <v>172.54599999999999</v>
      </c>
      <c r="F206" s="45">
        <v>-15.016</v>
      </c>
      <c r="G206" s="45">
        <v>0</v>
      </c>
      <c r="H206" s="45"/>
      <c r="I206" s="55">
        <v>157.53</v>
      </c>
      <c r="J206" s="492" t="s">
        <v>68</v>
      </c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  <c r="DS206" s="50"/>
      <c r="DT206" s="50"/>
      <c r="DU206" s="50"/>
      <c r="DV206" s="50"/>
      <c r="DW206" s="50"/>
      <c r="DX206" s="50"/>
      <c r="DY206" s="50"/>
      <c r="DZ206" s="50"/>
      <c r="EA206" s="50"/>
      <c r="EB206" s="50"/>
      <c r="EC206" s="50"/>
      <c r="ED206" s="50"/>
      <c r="EE206" s="50"/>
      <c r="EF206" s="50"/>
      <c r="EG206" s="50"/>
      <c r="EH206" s="50"/>
      <c r="EI206" s="50"/>
      <c r="EJ206" s="50"/>
      <c r="EK206" s="50"/>
      <c r="EL206" s="50"/>
      <c r="EM206" s="50"/>
      <c r="EN206" s="50"/>
      <c r="EO206" s="50"/>
      <c r="EP206" s="50"/>
      <c r="EQ206" s="50"/>
      <c r="ER206" s="50"/>
      <c r="ES206" s="50"/>
      <c r="ET206" s="50"/>
      <c r="EU206" s="50"/>
      <c r="EV206" s="50"/>
      <c r="EW206" s="50"/>
      <c r="EX206" s="50"/>
      <c r="EY206" s="50"/>
      <c r="EZ206" s="50"/>
      <c r="FA206" s="50"/>
      <c r="FB206" s="50"/>
      <c r="FC206" s="50"/>
      <c r="FD206" s="50"/>
      <c r="FE206" s="50"/>
      <c r="FF206" s="50"/>
      <c r="FG206" s="50"/>
      <c r="FH206" s="50"/>
      <c r="FI206" s="50"/>
      <c r="FJ206" s="50"/>
      <c r="FK206" s="50"/>
      <c r="FL206" s="50"/>
      <c r="FM206" s="50"/>
      <c r="FN206" s="50"/>
      <c r="FO206" s="50"/>
      <c r="FP206" s="50"/>
      <c r="FQ206" s="50"/>
      <c r="FR206" s="50"/>
      <c r="FS206" s="50"/>
      <c r="FT206" s="50"/>
      <c r="FU206" s="50"/>
      <c r="FV206" s="50"/>
      <c r="FW206" s="50"/>
      <c r="FX206" s="50"/>
      <c r="FY206" s="50"/>
      <c r="FZ206" s="50"/>
      <c r="GA206" s="50"/>
      <c r="GB206" s="50"/>
      <c r="GC206" s="50"/>
      <c r="GD206" s="50"/>
      <c r="GE206" s="50"/>
      <c r="GF206" s="50"/>
      <c r="GG206" s="50"/>
      <c r="GH206" s="50"/>
      <c r="GI206" s="50"/>
      <c r="GJ206" s="50"/>
      <c r="GK206" s="50"/>
      <c r="GL206" s="50"/>
      <c r="GM206" s="50"/>
      <c r="GN206" s="50"/>
      <c r="GO206" s="50"/>
      <c r="GP206" s="50"/>
      <c r="GQ206" s="50"/>
      <c r="GR206" s="50"/>
      <c r="GS206" s="50"/>
      <c r="GT206" s="50"/>
      <c r="GU206" s="50"/>
      <c r="GV206" s="50"/>
      <c r="GW206" s="50"/>
      <c r="GX206" s="50"/>
      <c r="GY206" s="50"/>
      <c r="GZ206" s="50"/>
      <c r="HA206" s="50"/>
      <c r="HB206" s="50"/>
      <c r="HC206" s="50"/>
      <c r="HD206" s="50"/>
      <c r="HE206" s="50"/>
      <c r="HF206" s="50"/>
      <c r="HG206" s="50"/>
      <c r="HH206" s="50"/>
      <c r="HI206" s="50"/>
      <c r="HJ206" s="50"/>
      <c r="HK206" s="50"/>
      <c r="HL206" s="50"/>
      <c r="HM206" s="50"/>
      <c r="HN206" s="50"/>
      <c r="HO206" s="50"/>
      <c r="HP206" s="50"/>
      <c r="HQ206" s="50"/>
      <c r="HR206" s="50"/>
      <c r="HS206" s="50"/>
      <c r="HT206" s="50"/>
      <c r="HU206" s="50"/>
      <c r="HV206" s="50"/>
      <c r="HW206" s="50"/>
      <c r="HX206" s="50"/>
      <c r="HY206" s="50"/>
      <c r="HZ206" s="50"/>
      <c r="IA206" s="50"/>
      <c r="IB206" s="50"/>
      <c r="IC206" s="50"/>
      <c r="ID206" s="50"/>
      <c r="IE206" s="50"/>
      <c r="IF206" s="50"/>
      <c r="IG206" s="50"/>
      <c r="IH206" s="50"/>
      <c r="II206" s="50"/>
      <c r="IJ206" s="50"/>
      <c r="IK206" s="50"/>
      <c r="IL206" s="50"/>
      <c r="IM206" s="50"/>
      <c r="IN206" s="50"/>
      <c r="IO206" s="50"/>
      <c r="IP206" s="50"/>
      <c r="IQ206" s="50"/>
      <c r="IR206" s="50"/>
      <c r="IS206" s="50"/>
      <c r="IT206" s="50"/>
      <c r="IU206" s="50"/>
    </row>
    <row r="207" spans="1:255" s="62" customFormat="1" ht="15.6" x14ac:dyDescent="0.3">
      <c r="A207" s="68" t="s">
        <v>135</v>
      </c>
      <c r="B207" s="52">
        <v>37105</v>
      </c>
      <c r="C207" s="57" t="s">
        <v>118</v>
      </c>
      <c r="D207" s="200">
        <v>446.6</v>
      </c>
      <c r="E207" s="54">
        <v>68.593999999999994</v>
      </c>
      <c r="F207" s="45">
        <v>-13.856999999999999</v>
      </c>
      <c r="G207" s="45">
        <v>0</v>
      </c>
      <c r="H207" s="45"/>
      <c r="I207" s="55">
        <v>54.736999999999995</v>
      </c>
      <c r="J207" s="492" t="s">
        <v>68</v>
      </c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  <c r="DS207" s="50"/>
      <c r="DT207" s="50"/>
      <c r="DU207" s="50"/>
      <c r="DV207" s="50"/>
      <c r="DW207" s="50"/>
      <c r="DX207" s="50"/>
      <c r="DY207" s="50"/>
      <c r="DZ207" s="50"/>
      <c r="EA207" s="50"/>
      <c r="EB207" s="50"/>
      <c r="EC207" s="50"/>
      <c r="ED207" s="50"/>
      <c r="EE207" s="50"/>
      <c r="EF207" s="50"/>
      <c r="EG207" s="50"/>
      <c r="EH207" s="50"/>
      <c r="EI207" s="50"/>
      <c r="EJ207" s="50"/>
      <c r="EK207" s="50"/>
      <c r="EL207" s="50"/>
      <c r="EM207" s="50"/>
      <c r="EN207" s="50"/>
      <c r="EO207" s="50"/>
      <c r="EP207" s="50"/>
      <c r="EQ207" s="50"/>
      <c r="ER207" s="50"/>
      <c r="ES207" s="50"/>
      <c r="ET207" s="50"/>
      <c r="EU207" s="50"/>
      <c r="EV207" s="50"/>
      <c r="EW207" s="50"/>
      <c r="EX207" s="50"/>
      <c r="EY207" s="50"/>
      <c r="EZ207" s="50"/>
      <c r="FA207" s="50"/>
      <c r="FB207" s="50"/>
      <c r="FC207" s="50"/>
      <c r="FD207" s="50"/>
      <c r="FE207" s="50"/>
      <c r="FF207" s="50"/>
      <c r="FG207" s="50"/>
      <c r="FH207" s="50"/>
      <c r="FI207" s="50"/>
      <c r="FJ207" s="50"/>
      <c r="FK207" s="50"/>
      <c r="FL207" s="50"/>
      <c r="FM207" s="50"/>
      <c r="FN207" s="50"/>
      <c r="FO207" s="50"/>
      <c r="FP207" s="50"/>
      <c r="FQ207" s="50"/>
      <c r="FR207" s="50"/>
      <c r="FS207" s="50"/>
      <c r="FT207" s="50"/>
      <c r="FU207" s="50"/>
      <c r="FV207" s="50"/>
      <c r="FW207" s="50"/>
      <c r="FX207" s="50"/>
      <c r="FY207" s="50"/>
      <c r="FZ207" s="50"/>
      <c r="GA207" s="50"/>
      <c r="GB207" s="50"/>
      <c r="GC207" s="50"/>
      <c r="GD207" s="50"/>
      <c r="GE207" s="50"/>
      <c r="GF207" s="50"/>
      <c r="GG207" s="50"/>
      <c r="GH207" s="50"/>
      <c r="GI207" s="50"/>
      <c r="GJ207" s="50"/>
      <c r="GK207" s="50"/>
      <c r="GL207" s="50"/>
      <c r="GM207" s="50"/>
      <c r="GN207" s="50"/>
      <c r="GO207" s="50"/>
      <c r="GP207" s="50"/>
      <c r="GQ207" s="50"/>
      <c r="GR207" s="50"/>
      <c r="GS207" s="50"/>
      <c r="GT207" s="50"/>
      <c r="GU207" s="50"/>
      <c r="GV207" s="50"/>
      <c r="GW207" s="50"/>
      <c r="GX207" s="50"/>
      <c r="GY207" s="50"/>
      <c r="GZ207" s="50"/>
      <c r="HA207" s="50"/>
      <c r="HB207" s="50"/>
      <c r="HC207" s="50"/>
      <c r="HD207" s="50"/>
      <c r="HE207" s="50"/>
      <c r="HF207" s="50"/>
      <c r="HG207" s="50"/>
      <c r="HH207" s="50"/>
      <c r="HI207" s="50"/>
      <c r="HJ207" s="50"/>
      <c r="HK207" s="50"/>
      <c r="HL207" s="50"/>
      <c r="HM207" s="50"/>
      <c r="HN207" s="50"/>
      <c r="HO207" s="50"/>
      <c r="HP207" s="50"/>
      <c r="HQ207" s="50"/>
      <c r="HR207" s="50"/>
      <c r="HS207" s="50"/>
      <c r="HT207" s="50"/>
      <c r="HU207" s="50"/>
      <c r="HV207" s="50"/>
      <c r="HW207" s="50"/>
      <c r="HX207" s="50"/>
      <c r="HY207" s="50"/>
      <c r="HZ207" s="50"/>
      <c r="IA207" s="50"/>
      <c r="IB207" s="50"/>
      <c r="IC207" s="50"/>
      <c r="ID207" s="50"/>
      <c r="IE207" s="50"/>
      <c r="IF207" s="50"/>
      <c r="IG207" s="50"/>
      <c r="IH207" s="50"/>
      <c r="II207" s="50"/>
      <c r="IJ207" s="50"/>
      <c r="IK207" s="50"/>
      <c r="IL207" s="50"/>
      <c r="IM207" s="50"/>
      <c r="IN207" s="50"/>
      <c r="IO207" s="50"/>
      <c r="IP207" s="50"/>
      <c r="IQ207" s="50"/>
      <c r="IR207" s="50"/>
      <c r="IS207" s="50"/>
      <c r="IT207" s="50"/>
      <c r="IU207" s="50"/>
    </row>
    <row r="208" spans="1:255" s="62" customFormat="1" ht="15.6" x14ac:dyDescent="0.3">
      <c r="A208" s="68" t="s">
        <v>562</v>
      </c>
      <c r="B208" s="52"/>
      <c r="C208" s="57"/>
      <c r="D208" s="200">
        <f>I208/0.04</f>
        <v>0</v>
      </c>
      <c r="E208" s="54">
        <v>0</v>
      </c>
      <c r="F208" s="45">
        <v>0</v>
      </c>
      <c r="G208" s="45">
        <v>0</v>
      </c>
      <c r="H208" s="45">
        <v>0</v>
      </c>
      <c r="I208" s="55">
        <f>SUM(E208:H208)</f>
        <v>0</v>
      </c>
      <c r="J208" s="492" t="s">
        <v>18</v>
      </c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  <c r="DS208" s="50"/>
      <c r="DT208" s="50"/>
      <c r="DU208" s="50"/>
      <c r="DV208" s="50"/>
      <c r="DW208" s="50"/>
      <c r="DX208" s="50"/>
      <c r="DY208" s="50"/>
      <c r="DZ208" s="50"/>
      <c r="EA208" s="50"/>
      <c r="EB208" s="50"/>
      <c r="EC208" s="50"/>
      <c r="ED208" s="50"/>
      <c r="EE208" s="50"/>
      <c r="EF208" s="50"/>
      <c r="EG208" s="50"/>
      <c r="EH208" s="50"/>
      <c r="EI208" s="50"/>
      <c r="EJ208" s="50"/>
      <c r="EK208" s="50"/>
      <c r="EL208" s="50"/>
      <c r="EM208" s="50"/>
      <c r="EN208" s="50"/>
      <c r="EO208" s="50"/>
      <c r="EP208" s="50"/>
      <c r="EQ208" s="50"/>
      <c r="ER208" s="50"/>
      <c r="ES208" s="50"/>
      <c r="ET208" s="50"/>
      <c r="EU208" s="50"/>
      <c r="EV208" s="50"/>
      <c r="EW208" s="50"/>
      <c r="EX208" s="50"/>
      <c r="EY208" s="50"/>
      <c r="EZ208" s="50"/>
      <c r="FA208" s="50"/>
      <c r="FB208" s="50"/>
      <c r="FC208" s="50"/>
      <c r="FD208" s="50"/>
      <c r="FE208" s="50"/>
      <c r="FF208" s="50"/>
      <c r="FG208" s="50"/>
      <c r="FH208" s="50"/>
      <c r="FI208" s="50"/>
      <c r="FJ208" s="50"/>
      <c r="FK208" s="50"/>
      <c r="FL208" s="50"/>
      <c r="FM208" s="50"/>
      <c r="FN208" s="50"/>
      <c r="FO208" s="50"/>
      <c r="FP208" s="50"/>
      <c r="FQ208" s="50"/>
      <c r="FR208" s="50"/>
      <c r="FS208" s="50"/>
      <c r="FT208" s="50"/>
      <c r="FU208" s="50"/>
      <c r="FV208" s="50"/>
      <c r="FW208" s="50"/>
      <c r="FX208" s="50"/>
      <c r="FY208" s="50"/>
      <c r="FZ208" s="50"/>
      <c r="GA208" s="50"/>
      <c r="GB208" s="50"/>
      <c r="GC208" s="50"/>
      <c r="GD208" s="50"/>
      <c r="GE208" s="50"/>
      <c r="GF208" s="50"/>
      <c r="GG208" s="50"/>
      <c r="GH208" s="50"/>
      <c r="GI208" s="50"/>
      <c r="GJ208" s="50"/>
      <c r="GK208" s="50"/>
      <c r="GL208" s="50"/>
      <c r="GM208" s="50"/>
      <c r="GN208" s="50"/>
      <c r="GO208" s="50"/>
      <c r="GP208" s="50"/>
      <c r="GQ208" s="50"/>
      <c r="GR208" s="50"/>
      <c r="GS208" s="50"/>
      <c r="GT208" s="50"/>
      <c r="GU208" s="50"/>
      <c r="GV208" s="50"/>
      <c r="GW208" s="50"/>
      <c r="GX208" s="50"/>
      <c r="GY208" s="50"/>
      <c r="GZ208" s="50"/>
      <c r="HA208" s="50"/>
      <c r="HB208" s="50"/>
      <c r="HC208" s="50"/>
      <c r="HD208" s="50"/>
      <c r="HE208" s="50"/>
      <c r="HF208" s="50"/>
      <c r="HG208" s="50"/>
      <c r="HH208" s="50"/>
      <c r="HI208" s="50"/>
      <c r="HJ208" s="50"/>
      <c r="HK208" s="50"/>
      <c r="HL208" s="50"/>
      <c r="HM208" s="50"/>
      <c r="HN208" s="50"/>
      <c r="HO208" s="50"/>
      <c r="HP208" s="50"/>
      <c r="HQ208" s="50"/>
      <c r="HR208" s="50"/>
      <c r="HS208" s="50"/>
      <c r="HT208" s="50"/>
      <c r="HU208" s="50"/>
      <c r="HV208" s="50"/>
      <c r="HW208" s="50"/>
      <c r="HX208" s="50"/>
      <c r="HY208" s="50"/>
      <c r="HZ208" s="50"/>
      <c r="IA208" s="50"/>
      <c r="IB208" s="50"/>
      <c r="IC208" s="50"/>
      <c r="ID208" s="50"/>
      <c r="IE208" s="50"/>
      <c r="IF208" s="50"/>
      <c r="IG208" s="50"/>
      <c r="IH208" s="50"/>
      <c r="II208" s="50"/>
      <c r="IJ208" s="50"/>
      <c r="IK208" s="50"/>
      <c r="IL208" s="50"/>
      <c r="IM208" s="50"/>
      <c r="IN208" s="50"/>
      <c r="IO208" s="50"/>
      <c r="IP208" s="50"/>
      <c r="IQ208" s="50"/>
      <c r="IR208" s="50"/>
      <c r="IS208" s="50"/>
      <c r="IT208" s="50"/>
      <c r="IU208" s="50"/>
    </row>
    <row r="209" spans="1:73" s="50" customFormat="1" ht="15.6" x14ac:dyDescent="0.3">
      <c r="A209" s="68" t="s">
        <v>136</v>
      </c>
      <c r="B209" s="52"/>
      <c r="C209" s="53"/>
      <c r="D209" s="138">
        <f>I209/0.08</f>
        <v>-211636.02199999994</v>
      </c>
      <c r="E209" s="49">
        <f>+D793/1000</f>
        <v>-16930.881759999997</v>
      </c>
      <c r="F209" s="45">
        <v>0</v>
      </c>
      <c r="G209" s="45">
        <v>0</v>
      </c>
      <c r="H209" s="45">
        <v>0</v>
      </c>
      <c r="I209" s="55">
        <f>SUM(E209:H209)</f>
        <v>-16930.881759999997</v>
      </c>
      <c r="J209" s="492"/>
    </row>
    <row r="210" spans="1:73" s="50" customFormat="1" ht="15.6" x14ac:dyDescent="0.3">
      <c r="A210" s="445" t="s">
        <v>698</v>
      </c>
      <c r="B210" s="464"/>
      <c r="C210" s="447"/>
      <c r="D210" s="448"/>
      <c r="E210" s="465">
        <v>2.2919999999999998</v>
      </c>
      <c r="F210" s="450">
        <v>0</v>
      </c>
      <c r="G210" s="450">
        <v>0</v>
      </c>
      <c r="H210" s="450">
        <v>0</v>
      </c>
      <c r="I210" s="436">
        <f>SUM(E210:H210)</f>
        <v>2.2919999999999998</v>
      </c>
      <c r="J210" s="492" t="s">
        <v>18</v>
      </c>
    </row>
    <row r="211" spans="1:73" s="50" customFormat="1" ht="15.6" x14ac:dyDescent="0.3">
      <c r="A211" s="68" t="s">
        <v>137</v>
      </c>
      <c r="B211" s="47"/>
      <c r="C211" s="57" t="s">
        <v>118</v>
      </c>
      <c r="D211" s="156">
        <f>I211/0.04</f>
        <v>12147.974999999999</v>
      </c>
      <c r="E211" s="54">
        <v>485.91899999999998</v>
      </c>
      <c r="F211" s="45">
        <v>0</v>
      </c>
      <c r="G211" s="45">
        <v>0</v>
      </c>
      <c r="H211" s="45">
        <v>0</v>
      </c>
      <c r="I211" s="55">
        <f>SUM(E211:H211)</f>
        <v>485.91899999999998</v>
      </c>
      <c r="J211" s="495" t="s">
        <v>18</v>
      </c>
    </row>
    <row r="212" spans="1:73" s="56" customFormat="1" ht="15" x14ac:dyDescent="0.25">
      <c r="A212" s="68" t="s">
        <v>138</v>
      </c>
      <c r="B212" s="47"/>
      <c r="C212" s="57" t="s">
        <v>116</v>
      </c>
      <c r="D212" s="157">
        <f>I212/0.04</f>
        <v>101418.41899999991</v>
      </c>
      <c r="E212" s="505">
        <f>-12874.145-E209</f>
        <v>4056.7367599999961</v>
      </c>
      <c r="F212" s="77">
        <v>0</v>
      </c>
      <c r="G212" s="77">
        <v>0</v>
      </c>
      <c r="H212" s="77">
        <v>0</v>
      </c>
      <c r="I212" s="78">
        <f>SUM(E212:H212)</f>
        <v>4056.7367599999961</v>
      </c>
      <c r="J212" s="492" t="s">
        <v>18</v>
      </c>
    </row>
    <row r="213" spans="1:73" s="56" customFormat="1" ht="15.6" x14ac:dyDescent="0.3">
      <c r="A213" s="114" t="s">
        <v>644</v>
      </c>
      <c r="B213" s="108"/>
      <c r="C213" s="53"/>
      <c r="D213" s="138">
        <f t="shared" ref="D213:I213" si="16">SUM(D149:D212)</f>
        <v>-16481.837333333358</v>
      </c>
      <c r="E213" s="54">
        <f t="shared" si="16"/>
        <v>-4136.3370000000014</v>
      </c>
      <c r="F213" s="45">
        <f t="shared" si="16"/>
        <v>-1694.9199999999994</v>
      </c>
      <c r="G213" s="45">
        <f t="shared" si="16"/>
        <v>0</v>
      </c>
      <c r="H213" s="45">
        <f t="shared" si="16"/>
        <v>0</v>
      </c>
      <c r="I213" s="55">
        <f t="shared" si="16"/>
        <v>-5831.2570000000014</v>
      </c>
      <c r="J213" s="492"/>
    </row>
    <row r="214" spans="1:73" s="56" customFormat="1" ht="15.6" x14ac:dyDescent="0.3">
      <c r="A214" s="107"/>
      <c r="B214" s="108"/>
      <c r="C214" s="53"/>
      <c r="D214" s="138"/>
      <c r="E214" s="54"/>
      <c r="F214" s="45"/>
      <c r="G214" s="45"/>
      <c r="H214" s="45"/>
      <c r="I214" s="55"/>
      <c r="J214" s="492"/>
    </row>
    <row r="215" spans="1:73" s="111" customFormat="1" ht="15.6" x14ac:dyDescent="0.3">
      <c r="A215" s="109" t="s">
        <v>139</v>
      </c>
      <c r="B215" s="110"/>
      <c r="C215" s="53"/>
      <c r="D215" s="138"/>
      <c r="E215" s="54"/>
      <c r="F215" s="45"/>
      <c r="G215" s="45"/>
      <c r="H215" s="45"/>
      <c r="I215" s="55"/>
      <c r="J215" s="492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</row>
    <row r="216" spans="1:73" s="111" customFormat="1" ht="6.75" customHeight="1" x14ac:dyDescent="0.3">
      <c r="A216" s="112"/>
      <c r="B216" s="110"/>
      <c r="C216" s="53"/>
      <c r="D216" s="138"/>
      <c r="E216" s="54"/>
      <c r="F216" s="45"/>
      <c r="G216" s="45"/>
      <c r="H216" s="45"/>
      <c r="I216" s="55"/>
      <c r="J216" s="492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</row>
    <row r="217" spans="1:73" s="482" customFormat="1" ht="17.399999999999999" x14ac:dyDescent="0.3">
      <c r="A217" s="474" t="s">
        <v>787</v>
      </c>
      <c r="B217" s="478"/>
      <c r="C217" s="479"/>
      <c r="D217" s="480"/>
      <c r="E217" s="473">
        <f>114726/1000</f>
        <v>114.726</v>
      </c>
      <c r="F217" s="473">
        <v>-19.100000000000001</v>
      </c>
      <c r="G217" s="473"/>
      <c r="H217" s="473"/>
      <c r="I217" s="481">
        <f t="shared" ref="I217:I231" si="17">SUM(E217:G217)</f>
        <v>95.626000000000005</v>
      </c>
      <c r="J217" s="57" t="s">
        <v>640</v>
      </c>
    </row>
    <row r="218" spans="1:73" s="50" customFormat="1" ht="17.399999999999999" x14ac:dyDescent="0.3">
      <c r="A218" s="474" t="s">
        <v>755</v>
      </c>
      <c r="B218" s="466"/>
      <c r="C218" s="467"/>
      <c r="D218" s="468"/>
      <c r="E218" s="444">
        <f>110805/1000</f>
        <v>110.80500000000001</v>
      </c>
      <c r="F218" s="444">
        <f>-40700/1000</f>
        <v>-40.700000000000003</v>
      </c>
      <c r="G218" s="444"/>
      <c r="H218" s="444"/>
      <c r="I218" s="469">
        <f t="shared" si="17"/>
        <v>70.105000000000004</v>
      </c>
      <c r="J218" s="492" t="s">
        <v>640</v>
      </c>
    </row>
    <row r="219" spans="1:73" s="50" customFormat="1" ht="17.399999999999999" x14ac:dyDescent="0.3">
      <c r="A219" s="474" t="s">
        <v>786</v>
      </c>
      <c r="B219" s="466"/>
      <c r="C219" s="467"/>
      <c r="D219" s="468"/>
      <c r="E219" s="444">
        <f>562615/1000</f>
        <v>562.61500000000001</v>
      </c>
      <c r="F219" s="444">
        <f>-156300/1000</f>
        <v>-156.30000000000001</v>
      </c>
      <c r="G219" s="444"/>
      <c r="H219" s="444"/>
      <c r="I219" s="469">
        <f t="shared" si="17"/>
        <v>406.315</v>
      </c>
      <c r="J219" s="492" t="s">
        <v>640</v>
      </c>
    </row>
    <row r="220" spans="1:73" s="50" customFormat="1" ht="17.399999999999999" x14ac:dyDescent="0.3">
      <c r="A220" s="474" t="s">
        <v>829</v>
      </c>
      <c r="B220" s="466"/>
      <c r="C220" s="467"/>
      <c r="D220" s="468"/>
      <c r="E220" s="444">
        <f>6955/1000</f>
        <v>6.9550000000000001</v>
      </c>
      <c r="F220" s="444">
        <v>-0.66400000000000003</v>
      </c>
      <c r="G220" s="444"/>
      <c r="H220" s="444"/>
      <c r="I220" s="469">
        <f t="shared" si="17"/>
        <v>6.2910000000000004</v>
      </c>
      <c r="J220" s="492" t="s">
        <v>640</v>
      </c>
    </row>
    <row r="221" spans="1:73" s="50" customFormat="1" ht="17.399999999999999" x14ac:dyDescent="0.3">
      <c r="A221" s="474" t="s">
        <v>826</v>
      </c>
      <c r="B221" s="466"/>
      <c r="C221" s="467"/>
      <c r="D221" s="468"/>
      <c r="E221" s="444">
        <f>497701/1000</f>
        <v>497.70100000000002</v>
      </c>
      <c r="F221" s="444">
        <v>-24.571000000000002</v>
      </c>
      <c r="G221" s="444"/>
      <c r="H221" s="444"/>
      <c r="I221" s="469">
        <f t="shared" si="17"/>
        <v>473.13</v>
      </c>
      <c r="J221" s="492" t="s">
        <v>640</v>
      </c>
    </row>
    <row r="222" spans="1:73" s="50" customFormat="1" ht="17.399999999999999" x14ac:dyDescent="0.3">
      <c r="A222" s="474" t="s">
        <v>827</v>
      </c>
      <c r="B222" s="466"/>
      <c r="C222" s="467"/>
      <c r="D222" s="468"/>
      <c r="E222" s="444">
        <f>12408/1000</f>
        <v>12.407999999999999</v>
      </c>
      <c r="F222" s="444">
        <v>-0.93400000000000005</v>
      </c>
      <c r="G222" s="444"/>
      <c r="H222" s="444"/>
      <c r="I222" s="469">
        <f t="shared" si="17"/>
        <v>11.474</v>
      </c>
      <c r="J222" s="492" t="s">
        <v>640</v>
      </c>
    </row>
    <row r="223" spans="1:73" s="50" customFormat="1" ht="17.399999999999999" x14ac:dyDescent="0.3">
      <c r="A223" s="474" t="s">
        <v>828</v>
      </c>
      <c r="B223" s="466"/>
      <c r="C223" s="467"/>
      <c r="D223" s="468"/>
      <c r="E223" s="444">
        <f>3060/1000</f>
        <v>3.06</v>
      </c>
      <c r="F223" s="444">
        <v>-0.34399999999999997</v>
      </c>
      <c r="G223" s="444"/>
      <c r="H223" s="444"/>
      <c r="I223" s="469">
        <f t="shared" si="17"/>
        <v>2.7160000000000002</v>
      </c>
      <c r="J223" s="492" t="s">
        <v>640</v>
      </c>
    </row>
    <row r="224" spans="1:73" s="50" customFormat="1" ht="17.399999999999999" x14ac:dyDescent="0.3">
      <c r="A224" s="474" t="s">
        <v>818</v>
      </c>
      <c r="B224" s="466"/>
      <c r="C224" s="467"/>
      <c r="D224" s="468"/>
      <c r="E224" s="444">
        <f>559949/1000</f>
        <v>559.94899999999996</v>
      </c>
      <c r="F224" s="444">
        <f>-90780/1000</f>
        <v>-90.78</v>
      </c>
      <c r="G224" s="444"/>
      <c r="H224" s="444"/>
      <c r="I224" s="469">
        <f t="shared" si="17"/>
        <v>469.16899999999998</v>
      </c>
      <c r="J224" s="492" t="s">
        <v>68</v>
      </c>
    </row>
    <row r="225" spans="1:10" s="50" customFormat="1" ht="17.399999999999999" x14ac:dyDescent="0.3">
      <c r="A225" s="474" t="s">
        <v>819</v>
      </c>
      <c r="B225" s="466"/>
      <c r="C225" s="467"/>
      <c r="D225" s="468"/>
      <c r="E225" s="444">
        <f>2231116/1000</f>
        <v>2231.116</v>
      </c>
      <c r="F225" s="444">
        <f>-279000/1000</f>
        <v>-279</v>
      </c>
      <c r="G225" s="444"/>
      <c r="H225" s="444"/>
      <c r="I225" s="469">
        <f t="shared" si="17"/>
        <v>1952.116</v>
      </c>
      <c r="J225" s="492" t="s">
        <v>68</v>
      </c>
    </row>
    <row r="226" spans="1:10" s="50" customFormat="1" ht="17.399999999999999" x14ac:dyDescent="0.3">
      <c r="A226" s="474" t="s">
        <v>820</v>
      </c>
      <c r="B226" s="466"/>
      <c r="C226" s="467"/>
      <c r="D226" s="468"/>
      <c r="E226" s="444">
        <f>191548/1000</f>
        <v>191.548</v>
      </c>
      <c r="F226" s="444">
        <v>-24.625</v>
      </c>
      <c r="G226" s="444"/>
      <c r="H226" s="444"/>
      <c r="I226" s="469">
        <f t="shared" si="17"/>
        <v>166.923</v>
      </c>
      <c r="J226" s="492" t="s">
        <v>68</v>
      </c>
    </row>
    <row r="227" spans="1:10" s="50" customFormat="1" ht="17.399999999999999" x14ac:dyDescent="0.3">
      <c r="A227" s="474" t="s">
        <v>821</v>
      </c>
      <c r="B227" s="466"/>
      <c r="C227" s="467"/>
      <c r="D227" s="468"/>
      <c r="E227" s="444">
        <f>88944/1000</f>
        <v>88.944000000000003</v>
      </c>
      <c r="F227" s="444">
        <v>-8.1549999999999994</v>
      </c>
      <c r="G227" s="444"/>
      <c r="H227" s="444"/>
      <c r="I227" s="469">
        <f t="shared" si="17"/>
        <v>80.789000000000001</v>
      </c>
      <c r="J227" s="492" t="s">
        <v>68</v>
      </c>
    </row>
    <row r="228" spans="1:10" s="50" customFormat="1" ht="17.399999999999999" x14ac:dyDescent="0.3">
      <c r="A228" s="474" t="s">
        <v>761</v>
      </c>
      <c r="B228" s="466"/>
      <c r="C228" s="467"/>
      <c r="D228" s="468"/>
      <c r="E228" s="444">
        <f>33319/1000</f>
        <v>33.319000000000003</v>
      </c>
      <c r="F228" s="444">
        <v>-10.5</v>
      </c>
      <c r="G228" s="444"/>
      <c r="H228" s="444"/>
      <c r="I228" s="469">
        <f t="shared" si="17"/>
        <v>22.819000000000003</v>
      </c>
      <c r="J228" s="492" t="s">
        <v>68</v>
      </c>
    </row>
    <row r="229" spans="1:10" s="50" customFormat="1" ht="17.399999999999999" x14ac:dyDescent="0.3">
      <c r="A229" s="474" t="s">
        <v>788</v>
      </c>
      <c r="B229" s="466"/>
      <c r="C229" s="467"/>
      <c r="D229" s="468"/>
      <c r="E229" s="444">
        <f>41416/1000</f>
        <v>41.415999999999997</v>
      </c>
      <c r="F229" s="444">
        <v>-10</v>
      </c>
      <c r="G229" s="444"/>
      <c r="H229" s="444"/>
      <c r="I229" s="469">
        <f t="shared" si="17"/>
        <v>31.415999999999997</v>
      </c>
      <c r="J229" s="492" t="s">
        <v>68</v>
      </c>
    </row>
    <row r="230" spans="1:10" s="50" customFormat="1" ht="17.399999999999999" x14ac:dyDescent="0.3">
      <c r="A230" s="474" t="s">
        <v>823</v>
      </c>
      <c r="B230" s="466"/>
      <c r="C230" s="467"/>
      <c r="D230" s="468"/>
      <c r="E230" s="444">
        <f>54892/1000</f>
        <v>54.892000000000003</v>
      </c>
      <c r="F230" s="444">
        <v>-13.4</v>
      </c>
      <c r="G230" s="444"/>
      <c r="H230" s="444"/>
      <c r="I230" s="469">
        <f t="shared" si="17"/>
        <v>41.492000000000004</v>
      </c>
      <c r="J230" s="492" t="s">
        <v>141</v>
      </c>
    </row>
    <row r="231" spans="1:10" s="50" customFormat="1" ht="17.399999999999999" x14ac:dyDescent="0.3">
      <c r="A231" s="474" t="s">
        <v>822</v>
      </c>
      <c r="B231" s="466"/>
      <c r="C231" s="467"/>
      <c r="D231" s="468"/>
      <c r="E231" s="444">
        <f>59633/1000</f>
        <v>59.633000000000003</v>
      </c>
      <c r="F231" s="444">
        <v>-9.0749999999999993</v>
      </c>
      <c r="G231" s="444"/>
      <c r="H231" s="444"/>
      <c r="I231" s="469">
        <f t="shared" si="17"/>
        <v>50.558000000000007</v>
      </c>
      <c r="J231" s="492" t="s">
        <v>141</v>
      </c>
    </row>
    <row r="232" spans="1:10" s="50" customFormat="1" ht="17.399999999999999" x14ac:dyDescent="0.3">
      <c r="A232" s="428" t="s">
        <v>824</v>
      </c>
      <c r="B232" s="154"/>
      <c r="C232" s="48"/>
      <c r="D232" s="138"/>
      <c r="E232" s="54">
        <f>296592/1000</f>
        <v>296.59199999999998</v>
      </c>
      <c r="F232" s="45">
        <v>-12.159000000000001</v>
      </c>
      <c r="G232" s="45"/>
      <c r="H232" s="45"/>
      <c r="I232" s="55">
        <f>F232+E232</f>
        <v>284.43299999999999</v>
      </c>
      <c r="J232" s="492" t="s">
        <v>61</v>
      </c>
    </row>
    <row r="233" spans="1:10" s="50" customFormat="1" ht="17.399999999999999" x14ac:dyDescent="0.3">
      <c r="A233" s="428" t="s">
        <v>825</v>
      </c>
      <c r="B233" s="154"/>
      <c r="C233" s="48"/>
      <c r="D233" s="138"/>
      <c r="E233" s="54">
        <f>110029/1000</f>
        <v>110.029</v>
      </c>
      <c r="F233" s="45">
        <v>-2.8340000000000001</v>
      </c>
      <c r="G233" s="45"/>
      <c r="H233" s="45"/>
      <c r="I233" s="55">
        <f>F233+E233</f>
        <v>107.19499999999999</v>
      </c>
      <c r="J233" s="492" t="s">
        <v>61</v>
      </c>
    </row>
    <row r="234" spans="1:10" s="50" customFormat="1" ht="17.399999999999999" x14ac:dyDescent="0.3">
      <c r="A234" s="428" t="s">
        <v>610</v>
      </c>
      <c r="B234" s="154"/>
      <c r="C234" s="48"/>
      <c r="D234" s="138"/>
      <c r="E234" s="54">
        <f>95730/1000</f>
        <v>95.73</v>
      </c>
      <c r="F234" s="45">
        <v>-29.5</v>
      </c>
      <c r="G234" s="45"/>
      <c r="H234" s="45"/>
      <c r="I234" s="55">
        <f>F234+E234</f>
        <v>66.23</v>
      </c>
      <c r="J234" s="492" t="s">
        <v>640</v>
      </c>
    </row>
    <row r="235" spans="1:10" s="50" customFormat="1" ht="15.6" x14ac:dyDescent="0.3">
      <c r="A235" s="68" t="s">
        <v>542</v>
      </c>
      <c r="B235" s="47"/>
      <c r="C235" s="48"/>
      <c r="D235" s="138">
        <f>I235/0.015</f>
        <v>12989.466666666665</v>
      </c>
      <c r="E235" s="54">
        <v>200.21199999999999</v>
      </c>
      <c r="F235" s="45">
        <v>-5.37</v>
      </c>
      <c r="G235" s="45"/>
      <c r="H235" s="45"/>
      <c r="I235" s="55">
        <f>SUM(E235:H235)</f>
        <v>194.84199999999998</v>
      </c>
      <c r="J235" s="492" t="s">
        <v>61</v>
      </c>
    </row>
    <row r="236" spans="1:10" s="50" customFormat="1" ht="15.6" x14ac:dyDescent="0.3">
      <c r="A236" s="68" t="s">
        <v>140</v>
      </c>
      <c r="B236" s="47"/>
      <c r="C236" s="48"/>
      <c r="D236" s="138">
        <v>330</v>
      </c>
      <c r="E236" s="54">
        <v>28.908999999999999</v>
      </c>
      <c r="F236" s="45">
        <v>-9</v>
      </c>
      <c r="G236" s="45"/>
      <c r="H236" s="45"/>
      <c r="I236" s="55">
        <f t="shared" ref="I236:I242" si="18">SUM(E236:G236)</f>
        <v>19.908999999999999</v>
      </c>
      <c r="J236" s="492" t="s">
        <v>141</v>
      </c>
    </row>
    <row r="237" spans="1:10" s="50" customFormat="1" ht="15.6" x14ac:dyDescent="0.3">
      <c r="A237" s="68" t="s">
        <v>142</v>
      </c>
      <c r="B237" s="47"/>
      <c r="C237" s="48"/>
      <c r="D237" s="138"/>
      <c r="E237" s="54">
        <v>536.33399999999995</v>
      </c>
      <c r="F237" s="45">
        <v>-14.257</v>
      </c>
      <c r="G237" s="45"/>
      <c r="H237" s="45"/>
      <c r="I237" s="55">
        <f t="shared" si="18"/>
        <v>522.077</v>
      </c>
      <c r="J237" s="492" t="s">
        <v>61</v>
      </c>
    </row>
    <row r="238" spans="1:10" s="50" customFormat="1" ht="15.6" x14ac:dyDescent="0.3">
      <c r="A238" s="68" t="s">
        <v>143</v>
      </c>
      <c r="B238" s="47"/>
      <c r="C238" s="48"/>
      <c r="D238" s="138">
        <v>191</v>
      </c>
      <c r="E238" s="54">
        <v>28.93</v>
      </c>
      <c r="F238" s="45">
        <v>-3.2</v>
      </c>
      <c r="G238" s="45"/>
      <c r="H238" s="45"/>
      <c r="I238" s="55">
        <f t="shared" si="18"/>
        <v>25.73</v>
      </c>
      <c r="J238" s="492" t="s">
        <v>640</v>
      </c>
    </row>
    <row r="239" spans="1:10" s="50" customFormat="1" ht="15.6" x14ac:dyDescent="0.3">
      <c r="A239" s="68" t="s">
        <v>144</v>
      </c>
      <c r="B239" s="47"/>
      <c r="C239" s="48"/>
      <c r="D239" s="138"/>
      <c r="E239" s="54">
        <v>82.863</v>
      </c>
      <c r="F239" s="45">
        <v>-1.4810000000000001</v>
      </c>
      <c r="G239" s="45"/>
      <c r="H239" s="45"/>
      <c r="I239" s="55">
        <f t="shared" si="18"/>
        <v>81.382000000000005</v>
      </c>
      <c r="J239" s="492" t="s">
        <v>61</v>
      </c>
    </row>
    <row r="240" spans="1:10" s="50" customFormat="1" ht="15.6" x14ac:dyDescent="0.3">
      <c r="A240" s="68" t="s">
        <v>145</v>
      </c>
      <c r="B240" s="47"/>
      <c r="C240" s="48"/>
      <c r="D240" s="138"/>
      <c r="E240" s="54">
        <v>23.408999999999999</v>
      </c>
      <c r="F240" s="45">
        <v>-0.50700000000000001</v>
      </c>
      <c r="G240" s="45"/>
      <c r="H240" s="45"/>
      <c r="I240" s="55">
        <f t="shared" si="18"/>
        <v>22.901999999999997</v>
      </c>
      <c r="J240" s="492" t="s">
        <v>61</v>
      </c>
    </row>
    <row r="241" spans="1:255" s="50" customFormat="1" ht="15.6" x14ac:dyDescent="0.3">
      <c r="A241" s="68" t="s">
        <v>146</v>
      </c>
      <c r="B241" s="70"/>
      <c r="C241" s="75" t="s">
        <v>63</v>
      </c>
      <c r="D241" s="138"/>
      <c r="E241" s="54">
        <v>1302.6610000000001</v>
      </c>
      <c r="F241" s="45">
        <v>-210.5</v>
      </c>
      <c r="G241" s="45"/>
      <c r="H241" s="45"/>
      <c r="I241" s="55">
        <f t="shared" si="18"/>
        <v>1092.1610000000001</v>
      </c>
      <c r="J241" s="492" t="s">
        <v>61</v>
      </c>
    </row>
    <row r="242" spans="1:255" s="50" customFormat="1" ht="15.6" x14ac:dyDescent="0.3">
      <c r="A242" s="68" t="s">
        <v>147</v>
      </c>
      <c r="B242" s="113"/>
      <c r="C242" s="75" t="s">
        <v>148</v>
      </c>
      <c r="D242" s="200">
        <f>I242/0.04</f>
        <v>39986.224999999999</v>
      </c>
      <c r="E242" s="54">
        <v>1599.4490000000001</v>
      </c>
      <c r="F242" s="45">
        <v>0</v>
      </c>
      <c r="G242" s="45"/>
      <c r="H242" s="45"/>
      <c r="I242" s="55">
        <f t="shared" si="18"/>
        <v>1599.4490000000001</v>
      </c>
      <c r="J242" s="492" t="s">
        <v>18</v>
      </c>
    </row>
    <row r="243" spans="1:255" s="50" customFormat="1" ht="15.6" x14ac:dyDescent="0.3">
      <c r="A243" s="68" t="s">
        <v>149</v>
      </c>
      <c r="B243" s="52">
        <v>37083</v>
      </c>
      <c r="C243" s="53" t="s">
        <v>63</v>
      </c>
      <c r="D243" s="138">
        <v>1700</v>
      </c>
      <c r="E243" s="54">
        <v>411.80700000000002</v>
      </c>
      <c r="F243" s="45">
        <v>-10.647</v>
      </c>
      <c r="G243" s="45">
        <v>0</v>
      </c>
      <c r="H243" s="45">
        <v>0</v>
      </c>
      <c r="I243" s="55">
        <f>SUM(E243:H243)</f>
        <v>401.16</v>
      </c>
      <c r="J243" s="492" t="s">
        <v>61</v>
      </c>
    </row>
    <row r="244" spans="1:255" s="50" customFormat="1" ht="15.6" x14ac:dyDescent="0.3">
      <c r="A244" s="68" t="s">
        <v>151</v>
      </c>
      <c r="B244" s="52">
        <v>37083</v>
      </c>
      <c r="C244" s="57" t="s">
        <v>152</v>
      </c>
      <c r="D244" s="138">
        <v>15000</v>
      </c>
      <c r="E244" s="54">
        <v>1730.6690000000001</v>
      </c>
      <c r="F244" s="45">
        <v>-150</v>
      </c>
      <c r="G244" s="45">
        <v>0</v>
      </c>
      <c r="H244" s="45">
        <v>0</v>
      </c>
      <c r="I244" s="55">
        <f>SUM(E244:H244)</f>
        <v>1580.6690000000001</v>
      </c>
      <c r="J244" s="492" t="s">
        <v>150</v>
      </c>
    </row>
    <row r="245" spans="1:255" s="50" customFormat="1" ht="15.6" x14ac:dyDescent="0.3">
      <c r="A245" s="68" t="s">
        <v>153</v>
      </c>
      <c r="B245" s="52">
        <v>37083</v>
      </c>
      <c r="C245" s="57" t="s">
        <v>152</v>
      </c>
      <c r="D245" s="138">
        <f>I245/0.015</f>
        <v>7050.4666666666672</v>
      </c>
      <c r="E245" s="54">
        <v>118.589</v>
      </c>
      <c r="F245" s="45">
        <v>-12.832000000000001</v>
      </c>
      <c r="G245" s="45">
        <v>0</v>
      </c>
      <c r="H245" s="45">
        <v>0</v>
      </c>
      <c r="I245" s="55">
        <f>SUM(E245:H245)</f>
        <v>105.75700000000001</v>
      </c>
      <c r="J245" s="492" t="s">
        <v>150</v>
      </c>
    </row>
    <row r="246" spans="1:255" s="62" customFormat="1" ht="15.6" x14ac:dyDescent="0.3">
      <c r="A246" s="68" t="s">
        <v>641</v>
      </c>
      <c r="B246" s="52">
        <v>37105</v>
      </c>
      <c r="C246" s="57" t="s">
        <v>148</v>
      </c>
      <c r="D246" s="138"/>
      <c r="E246" s="54">
        <v>191.85400000000001</v>
      </c>
      <c r="F246" s="45">
        <v>-3.1419999999999999</v>
      </c>
      <c r="G246" s="45">
        <v>0</v>
      </c>
      <c r="H246" s="45"/>
      <c r="I246" s="55">
        <v>188.71200000000002</v>
      </c>
      <c r="J246" s="492" t="s">
        <v>61</v>
      </c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  <c r="DS246" s="50"/>
      <c r="DT246" s="50"/>
      <c r="DU246" s="50"/>
      <c r="DV246" s="50"/>
      <c r="DW246" s="50"/>
      <c r="DX246" s="50"/>
      <c r="DY246" s="50"/>
      <c r="DZ246" s="50"/>
      <c r="EA246" s="50"/>
      <c r="EB246" s="50"/>
      <c r="EC246" s="50"/>
      <c r="ED246" s="50"/>
      <c r="EE246" s="50"/>
      <c r="EF246" s="50"/>
      <c r="EG246" s="50"/>
      <c r="EH246" s="50"/>
      <c r="EI246" s="50"/>
      <c r="EJ246" s="50"/>
      <c r="EK246" s="50"/>
      <c r="EL246" s="50"/>
      <c r="EM246" s="50"/>
      <c r="EN246" s="50"/>
      <c r="EO246" s="50"/>
      <c r="EP246" s="50"/>
      <c r="EQ246" s="50"/>
      <c r="ER246" s="50"/>
      <c r="ES246" s="50"/>
      <c r="ET246" s="50"/>
      <c r="EU246" s="50"/>
      <c r="EV246" s="50"/>
      <c r="EW246" s="50"/>
      <c r="EX246" s="50"/>
      <c r="EY246" s="50"/>
      <c r="EZ246" s="50"/>
      <c r="FA246" s="50"/>
      <c r="FB246" s="50"/>
      <c r="FC246" s="50"/>
      <c r="FD246" s="50"/>
      <c r="FE246" s="50"/>
      <c r="FF246" s="50"/>
      <c r="FG246" s="50"/>
      <c r="FH246" s="50"/>
      <c r="FI246" s="50"/>
      <c r="FJ246" s="50"/>
      <c r="FK246" s="50"/>
      <c r="FL246" s="50"/>
      <c r="FM246" s="50"/>
      <c r="FN246" s="50"/>
      <c r="FO246" s="50"/>
      <c r="FP246" s="50"/>
      <c r="FQ246" s="50"/>
      <c r="FR246" s="50"/>
      <c r="FS246" s="50"/>
      <c r="FT246" s="50"/>
      <c r="FU246" s="50"/>
      <c r="FV246" s="50"/>
      <c r="FW246" s="50"/>
      <c r="FX246" s="50"/>
      <c r="FY246" s="50"/>
      <c r="FZ246" s="50"/>
      <c r="GA246" s="50"/>
      <c r="GB246" s="50"/>
      <c r="GC246" s="50"/>
      <c r="GD246" s="50"/>
      <c r="GE246" s="50"/>
      <c r="GF246" s="50"/>
      <c r="GG246" s="50"/>
      <c r="GH246" s="50"/>
      <c r="GI246" s="50"/>
      <c r="GJ246" s="50"/>
      <c r="GK246" s="50"/>
      <c r="GL246" s="50"/>
      <c r="GM246" s="50"/>
      <c r="GN246" s="50"/>
      <c r="GO246" s="50"/>
      <c r="GP246" s="50"/>
      <c r="GQ246" s="50"/>
      <c r="GR246" s="50"/>
      <c r="GS246" s="50"/>
      <c r="GT246" s="50"/>
      <c r="GU246" s="50"/>
      <c r="GV246" s="50"/>
      <c r="GW246" s="50"/>
      <c r="GX246" s="50"/>
      <c r="GY246" s="50"/>
      <c r="GZ246" s="50"/>
      <c r="HA246" s="50"/>
      <c r="HB246" s="50"/>
      <c r="HC246" s="50"/>
      <c r="HD246" s="50"/>
      <c r="HE246" s="50"/>
      <c r="HF246" s="50"/>
      <c r="HG246" s="50"/>
      <c r="HH246" s="50"/>
      <c r="HI246" s="50"/>
      <c r="HJ246" s="50"/>
      <c r="HK246" s="50"/>
      <c r="HL246" s="50"/>
      <c r="HM246" s="50"/>
      <c r="HN246" s="50"/>
      <c r="HO246" s="50"/>
      <c r="HP246" s="50"/>
      <c r="HQ246" s="50"/>
      <c r="HR246" s="50"/>
      <c r="HS246" s="50"/>
      <c r="HT246" s="50"/>
      <c r="HU246" s="50"/>
      <c r="HV246" s="50"/>
      <c r="HW246" s="50"/>
      <c r="HX246" s="50"/>
      <c r="HY246" s="50"/>
      <c r="HZ246" s="50"/>
      <c r="IA246" s="50"/>
      <c r="IB246" s="50"/>
      <c r="IC246" s="50"/>
      <c r="ID246" s="50"/>
      <c r="IE246" s="50"/>
      <c r="IF246" s="50"/>
      <c r="IG246" s="50"/>
      <c r="IH246" s="50"/>
      <c r="II246" s="50"/>
      <c r="IJ246" s="50"/>
      <c r="IK246" s="50"/>
      <c r="IL246" s="50"/>
      <c r="IM246" s="50"/>
      <c r="IN246" s="50"/>
      <c r="IO246" s="50"/>
      <c r="IP246" s="50"/>
      <c r="IQ246" s="50"/>
      <c r="IR246" s="50"/>
      <c r="IS246" s="50"/>
      <c r="IT246" s="50"/>
      <c r="IU246" s="50"/>
    </row>
    <row r="247" spans="1:255" s="62" customFormat="1" ht="15.6" x14ac:dyDescent="0.3">
      <c r="A247" s="68" t="s">
        <v>154</v>
      </c>
      <c r="B247" s="52">
        <v>37105</v>
      </c>
      <c r="C247" s="57" t="s">
        <v>148</v>
      </c>
      <c r="D247" s="200">
        <v>2000</v>
      </c>
      <c r="E247" s="54">
        <v>109.925</v>
      </c>
      <c r="F247" s="45">
        <v>-3.56</v>
      </c>
      <c r="G247" s="45">
        <v>0</v>
      </c>
      <c r="H247" s="45"/>
      <c r="I247" s="55">
        <v>106.36499999999999</v>
      </c>
      <c r="J247" s="492" t="s">
        <v>640</v>
      </c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  <c r="DS247" s="50"/>
      <c r="DT247" s="50"/>
      <c r="DU247" s="50"/>
      <c r="DV247" s="50"/>
      <c r="DW247" s="50"/>
      <c r="DX247" s="50"/>
      <c r="DY247" s="50"/>
      <c r="DZ247" s="50"/>
      <c r="EA247" s="50"/>
      <c r="EB247" s="50"/>
      <c r="EC247" s="50"/>
      <c r="ED247" s="50"/>
      <c r="EE247" s="50"/>
      <c r="EF247" s="50"/>
      <c r="EG247" s="50"/>
      <c r="EH247" s="50"/>
      <c r="EI247" s="50"/>
      <c r="EJ247" s="50"/>
      <c r="EK247" s="50"/>
      <c r="EL247" s="50"/>
      <c r="EM247" s="50"/>
      <c r="EN247" s="50"/>
      <c r="EO247" s="50"/>
      <c r="EP247" s="50"/>
      <c r="EQ247" s="50"/>
      <c r="ER247" s="50"/>
      <c r="ES247" s="50"/>
      <c r="ET247" s="50"/>
      <c r="EU247" s="50"/>
      <c r="EV247" s="50"/>
      <c r="EW247" s="50"/>
      <c r="EX247" s="50"/>
      <c r="EY247" s="50"/>
      <c r="EZ247" s="50"/>
      <c r="FA247" s="50"/>
      <c r="FB247" s="50"/>
      <c r="FC247" s="50"/>
      <c r="FD247" s="50"/>
      <c r="FE247" s="50"/>
      <c r="FF247" s="50"/>
      <c r="FG247" s="50"/>
      <c r="FH247" s="50"/>
      <c r="FI247" s="50"/>
      <c r="FJ247" s="50"/>
      <c r="FK247" s="50"/>
      <c r="FL247" s="50"/>
      <c r="FM247" s="50"/>
      <c r="FN247" s="50"/>
      <c r="FO247" s="50"/>
      <c r="FP247" s="50"/>
      <c r="FQ247" s="50"/>
      <c r="FR247" s="50"/>
      <c r="FS247" s="50"/>
      <c r="FT247" s="50"/>
      <c r="FU247" s="50"/>
      <c r="FV247" s="50"/>
      <c r="FW247" s="50"/>
      <c r="FX247" s="50"/>
      <c r="FY247" s="50"/>
      <c r="FZ247" s="50"/>
      <c r="GA247" s="50"/>
      <c r="GB247" s="50"/>
      <c r="GC247" s="50"/>
      <c r="GD247" s="50"/>
      <c r="GE247" s="50"/>
      <c r="GF247" s="50"/>
      <c r="GG247" s="50"/>
      <c r="GH247" s="50"/>
      <c r="GI247" s="50"/>
      <c r="GJ247" s="50"/>
      <c r="GK247" s="50"/>
      <c r="GL247" s="50"/>
      <c r="GM247" s="50"/>
      <c r="GN247" s="50"/>
      <c r="GO247" s="50"/>
      <c r="GP247" s="50"/>
      <c r="GQ247" s="50"/>
      <c r="GR247" s="50"/>
      <c r="GS247" s="50"/>
      <c r="GT247" s="50"/>
      <c r="GU247" s="50"/>
      <c r="GV247" s="50"/>
      <c r="GW247" s="50"/>
      <c r="GX247" s="50"/>
      <c r="GY247" s="50"/>
      <c r="GZ247" s="50"/>
      <c r="HA247" s="50"/>
      <c r="HB247" s="50"/>
      <c r="HC247" s="50"/>
      <c r="HD247" s="50"/>
      <c r="HE247" s="50"/>
      <c r="HF247" s="50"/>
      <c r="HG247" s="50"/>
      <c r="HH247" s="50"/>
      <c r="HI247" s="50"/>
      <c r="HJ247" s="50"/>
      <c r="HK247" s="50"/>
      <c r="HL247" s="50"/>
      <c r="HM247" s="50"/>
      <c r="HN247" s="50"/>
      <c r="HO247" s="50"/>
      <c r="HP247" s="50"/>
      <c r="HQ247" s="50"/>
      <c r="HR247" s="50"/>
      <c r="HS247" s="50"/>
      <c r="HT247" s="50"/>
      <c r="HU247" s="50"/>
      <c r="HV247" s="50"/>
      <c r="HW247" s="50"/>
      <c r="HX247" s="50"/>
      <c r="HY247" s="50"/>
      <c r="HZ247" s="50"/>
      <c r="IA247" s="50"/>
      <c r="IB247" s="50"/>
      <c r="IC247" s="50"/>
      <c r="ID247" s="50"/>
      <c r="IE247" s="50"/>
      <c r="IF247" s="50"/>
      <c r="IG247" s="50"/>
      <c r="IH247" s="50"/>
      <c r="II247" s="50"/>
      <c r="IJ247" s="50"/>
      <c r="IK247" s="50"/>
      <c r="IL247" s="50"/>
      <c r="IM247" s="50"/>
      <c r="IN247" s="50"/>
      <c r="IO247" s="50"/>
      <c r="IP247" s="50"/>
      <c r="IQ247" s="50"/>
      <c r="IR247" s="50"/>
      <c r="IS247" s="50"/>
      <c r="IT247" s="50"/>
      <c r="IU247" s="50"/>
    </row>
    <row r="248" spans="1:255" s="62" customFormat="1" ht="15.6" x14ac:dyDescent="0.3">
      <c r="A248" s="68" t="s">
        <v>563</v>
      </c>
      <c r="B248" s="52"/>
      <c r="C248" s="57"/>
      <c r="D248" s="200">
        <f>I248/0.04</f>
        <v>71.575000000000003</v>
      </c>
      <c r="E248" s="54">
        <v>2.863</v>
      </c>
      <c r="F248" s="45">
        <v>0</v>
      </c>
      <c r="G248" s="45">
        <v>0</v>
      </c>
      <c r="H248" s="45">
        <v>0</v>
      </c>
      <c r="I248" s="55">
        <f>SUM(E248:H248)</f>
        <v>2.863</v>
      </c>
      <c r="J248" s="492" t="s">
        <v>18</v>
      </c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  <c r="DS248" s="50"/>
      <c r="DT248" s="50"/>
      <c r="DU248" s="50"/>
      <c r="DV248" s="50"/>
      <c r="DW248" s="50"/>
      <c r="DX248" s="50"/>
      <c r="DY248" s="50"/>
      <c r="DZ248" s="50"/>
      <c r="EA248" s="50"/>
      <c r="EB248" s="50"/>
      <c r="EC248" s="50"/>
      <c r="ED248" s="50"/>
      <c r="EE248" s="50"/>
      <c r="EF248" s="50"/>
      <c r="EG248" s="50"/>
      <c r="EH248" s="50"/>
      <c r="EI248" s="50"/>
      <c r="EJ248" s="50"/>
      <c r="EK248" s="50"/>
      <c r="EL248" s="50"/>
      <c r="EM248" s="50"/>
      <c r="EN248" s="50"/>
      <c r="EO248" s="50"/>
      <c r="EP248" s="50"/>
      <c r="EQ248" s="50"/>
      <c r="ER248" s="50"/>
      <c r="ES248" s="50"/>
      <c r="ET248" s="50"/>
      <c r="EU248" s="50"/>
      <c r="EV248" s="50"/>
      <c r="EW248" s="50"/>
      <c r="EX248" s="50"/>
      <c r="EY248" s="50"/>
      <c r="EZ248" s="50"/>
      <c r="FA248" s="50"/>
      <c r="FB248" s="50"/>
      <c r="FC248" s="50"/>
      <c r="FD248" s="50"/>
      <c r="FE248" s="50"/>
      <c r="FF248" s="50"/>
      <c r="FG248" s="50"/>
      <c r="FH248" s="50"/>
      <c r="FI248" s="50"/>
      <c r="FJ248" s="50"/>
      <c r="FK248" s="50"/>
      <c r="FL248" s="50"/>
      <c r="FM248" s="50"/>
      <c r="FN248" s="50"/>
      <c r="FO248" s="50"/>
      <c r="FP248" s="50"/>
      <c r="FQ248" s="50"/>
      <c r="FR248" s="50"/>
      <c r="FS248" s="50"/>
      <c r="FT248" s="50"/>
      <c r="FU248" s="50"/>
      <c r="FV248" s="50"/>
      <c r="FW248" s="50"/>
      <c r="FX248" s="50"/>
      <c r="FY248" s="50"/>
      <c r="FZ248" s="50"/>
      <c r="GA248" s="50"/>
      <c r="GB248" s="50"/>
      <c r="GC248" s="50"/>
      <c r="GD248" s="50"/>
      <c r="GE248" s="50"/>
      <c r="GF248" s="50"/>
      <c r="GG248" s="50"/>
      <c r="GH248" s="50"/>
      <c r="GI248" s="50"/>
      <c r="GJ248" s="50"/>
      <c r="GK248" s="50"/>
      <c r="GL248" s="50"/>
      <c r="GM248" s="50"/>
      <c r="GN248" s="50"/>
      <c r="GO248" s="50"/>
      <c r="GP248" s="50"/>
      <c r="GQ248" s="50"/>
      <c r="GR248" s="50"/>
      <c r="GS248" s="50"/>
      <c r="GT248" s="50"/>
      <c r="GU248" s="50"/>
      <c r="GV248" s="50"/>
      <c r="GW248" s="50"/>
      <c r="GX248" s="50"/>
      <c r="GY248" s="50"/>
      <c r="GZ248" s="50"/>
      <c r="HA248" s="50"/>
      <c r="HB248" s="50"/>
      <c r="HC248" s="50"/>
      <c r="HD248" s="50"/>
      <c r="HE248" s="50"/>
      <c r="HF248" s="50"/>
      <c r="HG248" s="50"/>
      <c r="HH248" s="50"/>
      <c r="HI248" s="50"/>
      <c r="HJ248" s="50"/>
      <c r="HK248" s="50"/>
      <c r="HL248" s="50"/>
      <c r="HM248" s="50"/>
      <c r="HN248" s="50"/>
      <c r="HO248" s="50"/>
      <c r="HP248" s="50"/>
      <c r="HQ248" s="50"/>
      <c r="HR248" s="50"/>
      <c r="HS248" s="50"/>
      <c r="HT248" s="50"/>
      <c r="HU248" s="50"/>
      <c r="HV248" s="50"/>
      <c r="HW248" s="50"/>
      <c r="HX248" s="50"/>
      <c r="HY248" s="50"/>
      <c r="HZ248" s="50"/>
      <c r="IA248" s="50"/>
      <c r="IB248" s="50"/>
      <c r="IC248" s="50"/>
      <c r="ID248" s="50"/>
      <c r="IE248" s="50"/>
      <c r="IF248" s="50"/>
      <c r="IG248" s="50"/>
      <c r="IH248" s="50"/>
      <c r="II248" s="50"/>
      <c r="IJ248" s="50"/>
      <c r="IK248" s="50"/>
      <c r="IL248" s="50"/>
      <c r="IM248" s="50"/>
      <c r="IN248" s="50"/>
      <c r="IO248" s="50"/>
      <c r="IP248" s="50"/>
      <c r="IQ248" s="50"/>
      <c r="IR248" s="50"/>
      <c r="IS248" s="50"/>
      <c r="IT248" s="50"/>
      <c r="IU248" s="50"/>
    </row>
    <row r="249" spans="1:255" ht="15" x14ac:dyDescent="0.25">
      <c r="A249" s="68" t="s">
        <v>155</v>
      </c>
      <c r="B249" s="47"/>
      <c r="C249" s="57" t="s">
        <v>152</v>
      </c>
      <c r="D249" s="200">
        <f>I249/0.04</f>
        <v>60951.475000000006</v>
      </c>
      <c r="E249" s="54">
        <v>2438.0590000000002</v>
      </c>
      <c r="F249" s="45">
        <v>0</v>
      </c>
      <c r="G249" s="45">
        <v>0</v>
      </c>
      <c r="H249" s="45">
        <v>0</v>
      </c>
      <c r="I249" s="55">
        <f>SUM(E249:H249)</f>
        <v>2438.0590000000002</v>
      </c>
      <c r="J249" s="492" t="s">
        <v>18</v>
      </c>
    </row>
    <row r="250" spans="1:255" s="56" customFormat="1" ht="15" x14ac:dyDescent="0.25">
      <c r="A250" s="68" t="s">
        <v>156</v>
      </c>
      <c r="B250" s="47"/>
      <c r="C250" s="53" t="s">
        <v>63</v>
      </c>
      <c r="D250" s="157">
        <f>I250/0.04</f>
        <v>41212.9</v>
      </c>
      <c r="E250" s="505">
        <v>1648.5160000000001</v>
      </c>
      <c r="F250" s="77">
        <v>0</v>
      </c>
      <c r="G250" s="77">
        <v>0</v>
      </c>
      <c r="H250" s="77">
        <v>0</v>
      </c>
      <c r="I250" s="78">
        <f>SUM(E250:H250)</f>
        <v>1648.5160000000001</v>
      </c>
      <c r="J250" s="492" t="s">
        <v>18</v>
      </c>
    </row>
    <row r="251" spans="1:255" s="56" customFormat="1" ht="15.6" x14ac:dyDescent="0.3">
      <c r="A251" s="114" t="s">
        <v>643</v>
      </c>
      <c r="B251" s="108"/>
      <c r="C251" s="53"/>
      <c r="D251" s="138">
        <f t="shared" ref="D251:I251" si="19">SUM(D216:D250)</f>
        <v>181483.10833333331</v>
      </c>
      <c r="E251" s="115">
        <f t="shared" si="19"/>
        <v>15526.486999999997</v>
      </c>
      <c r="F251" s="116">
        <f t="shared" si="19"/>
        <v>-1157.1370000000002</v>
      </c>
      <c r="G251" s="116">
        <f t="shared" si="19"/>
        <v>0</v>
      </c>
      <c r="H251" s="116">
        <f t="shared" si="19"/>
        <v>0</v>
      </c>
      <c r="I251" s="117">
        <f t="shared" si="19"/>
        <v>14369.349999999995</v>
      </c>
      <c r="J251" s="496"/>
    </row>
    <row r="252" spans="1:255" s="56" customFormat="1" ht="15" x14ac:dyDescent="0.25">
      <c r="A252" s="118"/>
      <c r="B252" s="119"/>
      <c r="C252" s="53"/>
      <c r="D252" s="138"/>
      <c r="E252" s="54"/>
      <c r="F252" s="45"/>
      <c r="G252" s="45"/>
      <c r="H252" s="45"/>
      <c r="I252" s="55"/>
      <c r="J252" s="492"/>
    </row>
    <row r="253" spans="1:255" s="56" customFormat="1" ht="15.6" x14ac:dyDescent="0.3">
      <c r="A253" s="109" t="s">
        <v>676</v>
      </c>
      <c r="B253" s="120"/>
      <c r="C253" s="53"/>
      <c r="D253" s="138"/>
      <c r="E253" s="54"/>
      <c r="F253" s="45"/>
      <c r="G253" s="45"/>
      <c r="H253" s="45"/>
      <c r="I253" s="55"/>
      <c r="J253" s="492"/>
    </row>
    <row r="254" spans="1:255" s="56" customFormat="1" ht="4.5" customHeight="1" x14ac:dyDescent="0.3">
      <c r="A254" s="121"/>
      <c r="B254" s="120"/>
      <c r="C254" s="53"/>
      <c r="D254" s="138"/>
      <c r="E254" s="54"/>
      <c r="F254" s="45"/>
      <c r="G254" s="45"/>
      <c r="H254" s="45"/>
      <c r="I254" s="55"/>
      <c r="J254" s="492"/>
    </row>
    <row r="255" spans="1:255" s="56" customFormat="1" ht="15.6" x14ac:dyDescent="0.3">
      <c r="A255" s="68" t="s">
        <v>566</v>
      </c>
      <c r="B255" s="108"/>
      <c r="C255" s="53"/>
      <c r="D255" s="138">
        <f>SUM(D256:D270)</f>
        <v>17188.916666666668</v>
      </c>
      <c r="E255" s="54">
        <f>SUM(E256:E270)</f>
        <v>1144.42</v>
      </c>
      <c r="F255" s="45">
        <f>SUM(F256:F270)</f>
        <v>-113.08500000000001</v>
      </c>
      <c r="G255" s="45">
        <f>SUM(G256:G270)</f>
        <v>0</v>
      </c>
      <c r="H255" s="45">
        <f>SUM(H257:H270)</f>
        <v>0</v>
      </c>
      <c r="I255" s="55">
        <f>SUM(I257:I270)</f>
        <v>1031.335</v>
      </c>
      <c r="J255" s="492" t="s">
        <v>72</v>
      </c>
    </row>
    <row r="256" spans="1:255" s="56" customFormat="1" ht="5.0999999999999996" hidden="1" customHeight="1" x14ac:dyDescent="0.3">
      <c r="A256" s="122"/>
      <c r="B256" s="427"/>
      <c r="C256" s="124"/>
      <c r="D256" s="423"/>
      <c r="E256" s="125"/>
      <c r="F256" s="126"/>
      <c r="G256" s="126"/>
      <c r="H256" s="126"/>
      <c r="I256" s="127">
        <f>SUM(E256:G256)</f>
        <v>0</v>
      </c>
      <c r="J256" s="492"/>
    </row>
    <row r="257" spans="1:10" s="50" customFormat="1" ht="15.6" hidden="1" x14ac:dyDescent="0.3">
      <c r="A257" s="133" t="s">
        <v>87</v>
      </c>
      <c r="B257" s="47"/>
      <c r="C257" s="48"/>
      <c r="D257" s="138">
        <f>I257/0.06</f>
        <v>825.26666666666665</v>
      </c>
      <c r="E257" s="54">
        <v>55.933999999999997</v>
      </c>
      <c r="F257" s="45">
        <v>-6.4180000000000001</v>
      </c>
      <c r="G257" s="45"/>
      <c r="H257" s="45"/>
      <c r="I257" s="55">
        <f t="shared" ref="I257:I270" si="20">SUM(E257:G257)</f>
        <v>49.515999999999998</v>
      </c>
      <c r="J257" s="492" t="s">
        <v>72</v>
      </c>
    </row>
    <row r="258" spans="1:10" s="50" customFormat="1" ht="15.6" hidden="1" x14ac:dyDescent="0.3">
      <c r="A258" s="133" t="s">
        <v>88</v>
      </c>
      <c r="B258" s="47"/>
      <c r="C258" s="48"/>
      <c r="D258" s="138">
        <f t="shared" ref="D258:D270" si="21">I258/0.06</f>
        <v>631.80000000000007</v>
      </c>
      <c r="E258" s="54">
        <v>42.005000000000003</v>
      </c>
      <c r="F258" s="45">
        <v>-4.0970000000000004</v>
      </c>
      <c r="G258" s="45"/>
      <c r="H258" s="45"/>
      <c r="I258" s="55">
        <f t="shared" si="20"/>
        <v>37.908000000000001</v>
      </c>
      <c r="J258" s="492" t="s">
        <v>72</v>
      </c>
    </row>
    <row r="259" spans="1:10" s="50" customFormat="1" ht="15.6" hidden="1" x14ac:dyDescent="0.3">
      <c r="A259" s="133" t="s">
        <v>89</v>
      </c>
      <c r="B259" s="47"/>
      <c r="C259" s="48"/>
      <c r="D259" s="138">
        <f t="shared" si="21"/>
        <v>955.06666666666672</v>
      </c>
      <c r="E259" s="54">
        <v>64.307000000000002</v>
      </c>
      <c r="F259" s="45">
        <v>-7.0030000000000001</v>
      </c>
      <c r="G259" s="45"/>
      <c r="H259" s="45"/>
      <c r="I259" s="55">
        <f t="shared" si="20"/>
        <v>57.304000000000002</v>
      </c>
      <c r="J259" s="492" t="s">
        <v>72</v>
      </c>
    </row>
    <row r="260" spans="1:10" s="50" customFormat="1" ht="15.6" hidden="1" x14ac:dyDescent="0.3">
      <c r="A260" s="133" t="s">
        <v>90</v>
      </c>
      <c r="B260" s="47"/>
      <c r="C260" s="48"/>
      <c r="D260" s="138">
        <f t="shared" si="21"/>
        <v>1339.05</v>
      </c>
      <c r="E260" s="54">
        <v>95.88</v>
      </c>
      <c r="F260" s="45">
        <v>-15.537000000000001</v>
      </c>
      <c r="G260" s="45"/>
      <c r="H260" s="45"/>
      <c r="I260" s="55">
        <f t="shared" si="20"/>
        <v>80.342999999999989</v>
      </c>
      <c r="J260" s="492" t="s">
        <v>72</v>
      </c>
    </row>
    <row r="261" spans="1:10" s="50" customFormat="1" ht="15.6" hidden="1" x14ac:dyDescent="0.3">
      <c r="A261" s="133" t="s">
        <v>93</v>
      </c>
      <c r="B261" s="47"/>
      <c r="C261" s="48"/>
      <c r="D261" s="138">
        <f t="shared" si="21"/>
        <v>449.91666666666669</v>
      </c>
      <c r="E261" s="54">
        <v>30.23</v>
      </c>
      <c r="F261" s="45">
        <v>-3.2349999999999999</v>
      </c>
      <c r="G261" s="45"/>
      <c r="H261" s="45"/>
      <c r="I261" s="55">
        <f t="shared" si="20"/>
        <v>26.995000000000001</v>
      </c>
      <c r="J261" s="492" t="s">
        <v>72</v>
      </c>
    </row>
    <row r="262" spans="1:10" s="50" customFormat="1" ht="15.6" hidden="1" x14ac:dyDescent="0.3">
      <c r="A262" s="133" t="s">
        <v>94</v>
      </c>
      <c r="B262" s="47"/>
      <c r="C262" s="48"/>
      <c r="D262" s="138">
        <f t="shared" si="21"/>
        <v>5647.4500000000007</v>
      </c>
      <c r="E262" s="54">
        <v>365.07100000000003</v>
      </c>
      <c r="F262" s="45">
        <v>-26.224</v>
      </c>
      <c r="G262" s="45"/>
      <c r="H262" s="45"/>
      <c r="I262" s="55">
        <f t="shared" si="20"/>
        <v>338.84700000000004</v>
      </c>
      <c r="J262" s="492" t="s">
        <v>72</v>
      </c>
    </row>
    <row r="263" spans="1:10" s="50" customFormat="1" ht="15.6" hidden="1" x14ac:dyDescent="0.3">
      <c r="A263" s="133" t="s">
        <v>95</v>
      </c>
      <c r="B263" s="47"/>
      <c r="C263" s="48"/>
      <c r="D263" s="138">
        <f t="shared" si="21"/>
        <v>153.71666666666667</v>
      </c>
      <c r="E263" s="54">
        <v>10.571</v>
      </c>
      <c r="F263" s="45">
        <v>-1.3480000000000001</v>
      </c>
      <c r="G263" s="45"/>
      <c r="H263" s="45"/>
      <c r="I263" s="55">
        <f t="shared" si="20"/>
        <v>9.222999999999999</v>
      </c>
      <c r="J263" s="492" t="s">
        <v>72</v>
      </c>
    </row>
    <row r="264" spans="1:10" s="50" customFormat="1" ht="15.6" hidden="1" x14ac:dyDescent="0.3">
      <c r="A264" s="133" t="s">
        <v>96</v>
      </c>
      <c r="B264" s="47"/>
      <c r="C264" s="48"/>
      <c r="D264" s="138">
        <f t="shared" si="21"/>
        <v>55.31666666666667</v>
      </c>
      <c r="E264" s="54">
        <v>3.8769999999999998</v>
      </c>
      <c r="F264" s="45">
        <v>-0.55800000000000005</v>
      </c>
      <c r="G264" s="45"/>
      <c r="H264" s="45"/>
      <c r="I264" s="55">
        <f t="shared" si="20"/>
        <v>3.319</v>
      </c>
      <c r="J264" s="492" t="s">
        <v>72</v>
      </c>
    </row>
    <row r="265" spans="1:10" s="50" customFormat="1" ht="15.6" hidden="1" x14ac:dyDescent="0.3">
      <c r="A265" s="133" t="s">
        <v>98</v>
      </c>
      <c r="B265" s="47"/>
      <c r="C265" s="48"/>
      <c r="D265" s="138">
        <f t="shared" si="21"/>
        <v>104.93333333333334</v>
      </c>
      <c r="E265" s="54">
        <v>7.202</v>
      </c>
      <c r="F265" s="45">
        <v>-0.90600000000000003</v>
      </c>
      <c r="G265" s="45"/>
      <c r="H265" s="45"/>
      <c r="I265" s="55">
        <f t="shared" si="20"/>
        <v>6.2960000000000003</v>
      </c>
      <c r="J265" s="492" t="s">
        <v>72</v>
      </c>
    </row>
    <row r="266" spans="1:10" s="50" customFormat="1" ht="15.6" hidden="1" x14ac:dyDescent="0.3">
      <c r="A266" s="133" t="s">
        <v>100</v>
      </c>
      <c r="B266" s="47"/>
      <c r="C266" s="48"/>
      <c r="D266" s="138">
        <f t="shared" si="21"/>
        <v>1168.6000000000001</v>
      </c>
      <c r="E266" s="54">
        <v>80.325000000000003</v>
      </c>
      <c r="F266" s="45">
        <v>-10.209</v>
      </c>
      <c r="G266" s="45"/>
      <c r="H266" s="45"/>
      <c r="I266" s="55">
        <f t="shared" si="20"/>
        <v>70.116</v>
      </c>
      <c r="J266" s="492" t="s">
        <v>72</v>
      </c>
    </row>
    <row r="267" spans="1:10" s="50" customFormat="1" ht="15.6" hidden="1" x14ac:dyDescent="0.3">
      <c r="A267" s="133" t="s">
        <v>102</v>
      </c>
      <c r="B267" s="47"/>
      <c r="C267" s="48"/>
      <c r="D267" s="138">
        <f t="shared" si="21"/>
        <v>568.58333333333337</v>
      </c>
      <c r="E267" s="54">
        <v>38.561</v>
      </c>
      <c r="F267" s="45">
        <v>-4.4459999999999997</v>
      </c>
      <c r="G267" s="45"/>
      <c r="H267" s="45"/>
      <c r="I267" s="55">
        <f t="shared" si="20"/>
        <v>34.115000000000002</v>
      </c>
      <c r="J267" s="492" t="s">
        <v>72</v>
      </c>
    </row>
    <row r="268" spans="1:10" s="50" customFormat="1" ht="15.6" hidden="1" x14ac:dyDescent="0.3">
      <c r="A268" s="133" t="s">
        <v>103</v>
      </c>
      <c r="B268" s="47"/>
      <c r="C268" s="48"/>
      <c r="D268" s="138">
        <f t="shared" si="21"/>
        <v>844.38333333333344</v>
      </c>
      <c r="E268" s="54">
        <v>56.801000000000002</v>
      </c>
      <c r="F268" s="45">
        <v>-6.1379999999999999</v>
      </c>
      <c r="G268" s="45"/>
      <c r="H268" s="45"/>
      <c r="I268" s="55">
        <f t="shared" si="20"/>
        <v>50.663000000000004</v>
      </c>
      <c r="J268" s="492" t="s">
        <v>72</v>
      </c>
    </row>
    <row r="269" spans="1:10" s="50" customFormat="1" ht="15.6" hidden="1" x14ac:dyDescent="0.3">
      <c r="A269" s="133" t="s">
        <v>104</v>
      </c>
      <c r="B269" s="47"/>
      <c r="C269" s="48"/>
      <c r="D269" s="138">
        <f t="shared" si="21"/>
        <v>2457.2833333333338</v>
      </c>
      <c r="E269" s="54">
        <v>162.446</v>
      </c>
      <c r="F269" s="45">
        <v>-15.009</v>
      </c>
      <c r="G269" s="45"/>
      <c r="H269" s="45"/>
      <c r="I269" s="55">
        <f t="shared" si="20"/>
        <v>147.43700000000001</v>
      </c>
      <c r="J269" s="492" t="s">
        <v>72</v>
      </c>
    </row>
    <row r="270" spans="1:10" s="50" customFormat="1" ht="15.6" hidden="1" x14ac:dyDescent="0.3">
      <c r="A270" s="133" t="s">
        <v>105</v>
      </c>
      <c r="B270" s="47"/>
      <c r="C270" s="48"/>
      <c r="D270" s="138">
        <f t="shared" si="21"/>
        <v>1987.5500000000004</v>
      </c>
      <c r="E270" s="54">
        <v>131.21</v>
      </c>
      <c r="F270" s="45">
        <v>-11.957000000000001</v>
      </c>
      <c r="G270" s="45"/>
      <c r="H270" s="45"/>
      <c r="I270" s="55">
        <f t="shared" si="20"/>
        <v>119.25300000000001</v>
      </c>
      <c r="J270" s="492" t="s">
        <v>72</v>
      </c>
    </row>
    <row r="271" spans="1:10" s="50" customFormat="1" ht="5.0999999999999996" hidden="1" customHeight="1" x14ac:dyDescent="0.3">
      <c r="A271" s="122"/>
      <c r="B271" s="123"/>
      <c r="C271" s="403"/>
      <c r="D271" s="423"/>
      <c r="E271" s="125"/>
      <c r="F271" s="126"/>
      <c r="G271" s="126"/>
      <c r="H271" s="126"/>
      <c r="I271" s="127"/>
      <c r="J271" s="492"/>
    </row>
    <row r="272" spans="1:10" s="50" customFormat="1" ht="15.6" x14ac:dyDescent="0.3">
      <c r="A272" s="68" t="s">
        <v>157</v>
      </c>
      <c r="B272" s="47"/>
      <c r="C272" s="48"/>
      <c r="D272" s="138"/>
      <c r="E272" s="54">
        <v>9.5950000000000006</v>
      </c>
      <c r="F272" s="45">
        <v>-0.379</v>
      </c>
      <c r="G272" s="45"/>
      <c r="H272" s="45"/>
      <c r="I272" s="55">
        <f>SUM(E272:G272)</f>
        <v>9.2160000000000011</v>
      </c>
      <c r="J272" s="492" t="s">
        <v>61</v>
      </c>
    </row>
    <row r="273" spans="1:255" s="50" customFormat="1" ht="15.6" x14ac:dyDescent="0.3">
      <c r="A273" s="68" t="s">
        <v>158</v>
      </c>
      <c r="B273" s="47"/>
      <c r="C273" s="48"/>
      <c r="D273" s="138">
        <v>8517.8880000000008</v>
      </c>
      <c r="E273" s="54">
        <v>312.79000000000002</v>
      </c>
      <c r="F273" s="45">
        <v>-110.15</v>
      </c>
      <c r="G273" s="45"/>
      <c r="H273" s="45"/>
      <c r="I273" s="55">
        <f>SUM(E273:H273)</f>
        <v>202.64000000000001</v>
      </c>
      <c r="J273" s="492" t="s">
        <v>141</v>
      </c>
    </row>
    <row r="274" spans="1:255" s="62" customFormat="1" ht="15.6" x14ac:dyDescent="0.3">
      <c r="A274" s="68" t="s">
        <v>159</v>
      </c>
      <c r="B274" s="52">
        <v>37105</v>
      </c>
      <c r="C274" s="53" t="s">
        <v>160</v>
      </c>
      <c r="D274" s="138">
        <f>I274/0.06</f>
        <v>266.61666666666667</v>
      </c>
      <c r="E274" s="54">
        <v>24.311</v>
      </c>
      <c r="F274" s="45">
        <v>-8.3140000000000001</v>
      </c>
      <c r="G274" s="45">
        <v>0</v>
      </c>
      <c r="H274" s="45"/>
      <c r="I274" s="55">
        <v>15.997</v>
      </c>
      <c r="J274" s="492" t="s">
        <v>141</v>
      </c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  <c r="DS274" s="50"/>
      <c r="DT274" s="50"/>
      <c r="DU274" s="50"/>
      <c r="DV274" s="50"/>
      <c r="DW274" s="50"/>
      <c r="DX274" s="50"/>
      <c r="DY274" s="50"/>
      <c r="DZ274" s="50"/>
      <c r="EA274" s="50"/>
      <c r="EB274" s="50"/>
      <c r="EC274" s="50"/>
      <c r="ED274" s="50"/>
      <c r="EE274" s="50"/>
      <c r="EF274" s="50"/>
      <c r="EG274" s="50"/>
      <c r="EH274" s="50"/>
      <c r="EI274" s="50"/>
      <c r="EJ274" s="50"/>
      <c r="EK274" s="50"/>
      <c r="EL274" s="50"/>
      <c r="EM274" s="50"/>
      <c r="EN274" s="50"/>
      <c r="EO274" s="50"/>
      <c r="EP274" s="50"/>
      <c r="EQ274" s="50"/>
      <c r="ER274" s="50"/>
      <c r="ES274" s="50"/>
      <c r="ET274" s="50"/>
      <c r="EU274" s="50"/>
      <c r="EV274" s="50"/>
      <c r="EW274" s="50"/>
      <c r="EX274" s="50"/>
      <c r="EY274" s="50"/>
      <c r="EZ274" s="50"/>
      <c r="FA274" s="50"/>
      <c r="FB274" s="50"/>
      <c r="FC274" s="50"/>
      <c r="FD274" s="50"/>
      <c r="FE274" s="50"/>
      <c r="FF274" s="50"/>
      <c r="FG274" s="50"/>
      <c r="FH274" s="50"/>
      <c r="FI274" s="50"/>
      <c r="FJ274" s="50"/>
      <c r="FK274" s="50"/>
      <c r="FL274" s="50"/>
      <c r="FM274" s="50"/>
      <c r="FN274" s="50"/>
      <c r="FO274" s="50"/>
      <c r="FP274" s="50"/>
      <c r="FQ274" s="50"/>
      <c r="FR274" s="50"/>
      <c r="FS274" s="50"/>
      <c r="FT274" s="50"/>
      <c r="FU274" s="50"/>
      <c r="FV274" s="50"/>
      <c r="FW274" s="50"/>
      <c r="FX274" s="50"/>
      <c r="FY274" s="50"/>
      <c r="FZ274" s="50"/>
      <c r="GA274" s="50"/>
      <c r="GB274" s="50"/>
      <c r="GC274" s="50"/>
      <c r="GD274" s="50"/>
      <c r="GE274" s="50"/>
      <c r="GF274" s="50"/>
      <c r="GG274" s="50"/>
      <c r="GH274" s="50"/>
      <c r="GI274" s="50"/>
      <c r="GJ274" s="50"/>
      <c r="GK274" s="50"/>
      <c r="GL274" s="50"/>
      <c r="GM274" s="50"/>
      <c r="GN274" s="50"/>
      <c r="GO274" s="50"/>
      <c r="GP274" s="50"/>
      <c r="GQ274" s="50"/>
      <c r="GR274" s="50"/>
      <c r="GS274" s="50"/>
      <c r="GT274" s="50"/>
      <c r="GU274" s="50"/>
      <c r="GV274" s="50"/>
      <c r="GW274" s="50"/>
      <c r="GX274" s="50"/>
      <c r="GY274" s="50"/>
      <c r="GZ274" s="50"/>
      <c r="HA274" s="50"/>
      <c r="HB274" s="50"/>
      <c r="HC274" s="50"/>
      <c r="HD274" s="50"/>
      <c r="HE274" s="50"/>
      <c r="HF274" s="50"/>
      <c r="HG274" s="50"/>
      <c r="HH274" s="50"/>
      <c r="HI274" s="50"/>
      <c r="HJ274" s="50"/>
      <c r="HK274" s="50"/>
      <c r="HL274" s="50"/>
      <c r="HM274" s="50"/>
      <c r="HN274" s="50"/>
      <c r="HO274" s="50"/>
      <c r="HP274" s="50"/>
      <c r="HQ274" s="50"/>
      <c r="HR274" s="50"/>
      <c r="HS274" s="50"/>
      <c r="HT274" s="50"/>
      <c r="HU274" s="50"/>
      <c r="HV274" s="50"/>
      <c r="HW274" s="50"/>
      <c r="HX274" s="50"/>
      <c r="HY274" s="50"/>
      <c r="HZ274" s="50"/>
      <c r="IA274" s="50"/>
      <c r="IB274" s="50"/>
      <c r="IC274" s="50"/>
      <c r="ID274" s="50"/>
      <c r="IE274" s="50"/>
      <c r="IF274" s="50"/>
      <c r="IG274" s="50"/>
      <c r="IH274" s="50"/>
      <c r="II274" s="50"/>
      <c r="IJ274" s="50"/>
      <c r="IK274" s="50"/>
      <c r="IL274" s="50"/>
      <c r="IM274" s="50"/>
      <c r="IN274" s="50"/>
      <c r="IO274" s="50"/>
      <c r="IP274" s="50"/>
      <c r="IQ274" s="50"/>
      <c r="IR274" s="50"/>
      <c r="IS274" s="50"/>
      <c r="IT274" s="50"/>
      <c r="IU274" s="50"/>
    </row>
    <row r="275" spans="1:255" s="62" customFormat="1" ht="15.6" x14ac:dyDescent="0.3">
      <c r="A275" s="68" t="s">
        <v>161</v>
      </c>
      <c r="B275" s="52">
        <v>37105</v>
      </c>
      <c r="C275" s="57" t="s">
        <v>148</v>
      </c>
      <c r="D275" s="138"/>
      <c r="E275" s="54">
        <v>31.05</v>
      </c>
      <c r="F275" s="45">
        <v>-11.343</v>
      </c>
      <c r="G275" s="45">
        <v>0</v>
      </c>
      <c r="H275" s="45"/>
      <c r="I275" s="55">
        <v>19.707000000000001</v>
      </c>
      <c r="J275" s="492" t="s">
        <v>141</v>
      </c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  <c r="DS275" s="50"/>
      <c r="DT275" s="50"/>
      <c r="DU275" s="50"/>
      <c r="DV275" s="50"/>
      <c r="DW275" s="50"/>
      <c r="DX275" s="50"/>
      <c r="DY275" s="50"/>
      <c r="DZ275" s="50"/>
      <c r="EA275" s="50"/>
      <c r="EB275" s="50"/>
      <c r="EC275" s="50"/>
      <c r="ED275" s="50"/>
      <c r="EE275" s="50"/>
      <c r="EF275" s="50"/>
      <c r="EG275" s="50"/>
      <c r="EH275" s="50"/>
      <c r="EI275" s="50"/>
      <c r="EJ275" s="50"/>
      <c r="EK275" s="50"/>
      <c r="EL275" s="50"/>
      <c r="EM275" s="50"/>
      <c r="EN275" s="50"/>
      <c r="EO275" s="50"/>
      <c r="EP275" s="50"/>
      <c r="EQ275" s="50"/>
      <c r="ER275" s="50"/>
      <c r="ES275" s="50"/>
      <c r="ET275" s="50"/>
      <c r="EU275" s="50"/>
      <c r="EV275" s="50"/>
      <c r="EW275" s="50"/>
      <c r="EX275" s="50"/>
      <c r="EY275" s="50"/>
      <c r="EZ275" s="50"/>
      <c r="FA275" s="50"/>
      <c r="FB275" s="50"/>
      <c r="FC275" s="50"/>
      <c r="FD275" s="50"/>
      <c r="FE275" s="50"/>
      <c r="FF275" s="50"/>
      <c r="FG275" s="50"/>
      <c r="FH275" s="50"/>
      <c r="FI275" s="50"/>
      <c r="FJ275" s="50"/>
      <c r="FK275" s="50"/>
      <c r="FL275" s="50"/>
      <c r="FM275" s="50"/>
      <c r="FN275" s="50"/>
      <c r="FO275" s="50"/>
      <c r="FP275" s="50"/>
      <c r="FQ275" s="50"/>
      <c r="FR275" s="50"/>
      <c r="FS275" s="50"/>
      <c r="FT275" s="50"/>
      <c r="FU275" s="50"/>
      <c r="FV275" s="50"/>
      <c r="FW275" s="50"/>
      <c r="FX275" s="50"/>
      <c r="FY275" s="50"/>
      <c r="FZ275" s="50"/>
      <c r="GA275" s="50"/>
      <c r="GB275" s="50"/>
      <c r="GC275" s="50"/>
      <c r="GD275" s="50"/>
      <c r="GE275" s="50"/>
      <c r="GF275" s="50"/>
      <c r="GG275" s="50"/>
      <c r="GH275" s="50"/>
      <c r="GI275" s="50"/>
      <c r="GJ275" s="50"/>
      <c r="GK275" s="50"/>
      <c r="GL275" s="50"/>
      <c r="GM275" s="50"/>
      <c r="GN275" s="50"/>
      <c r="GO275" s="50"/>
      <c r="GP275" s="50"/>
      <c r="GQ275" s="50"/>
      <c r="GR275" s="50"/>
      <c r="GS275" s="50"/>
      <c r="GT275" s="50"/>
      <c r="GU275" s="50"/>
      <c r="GV275" s="50"/>
      <c r="GW275" s="50"/>
      <c r="GX275" s="50"/>
      <c r="GY275" s="50"/>
      <c r="GZ275" s="50"/>
      <c r="HA275" s="50"/>
      <c r="HB275" s="50"/>
      <c r="HC275" s="50"/>
      <c r="HD275" s="50"/>
      <c r="HE275" s="50"/>
      <c r="HF275" s="50"/>
      <c r="HG275" s="50"/>
      <c r="HH275" s="50"/>
      <c r="HI275" s="50"/>
      <c r="HJ275" s="50"/>
      <c r="HK275" s="50"/>
      <c r="HL275" s="50"/>
      <c r="HM275" s="50"/>
      <c r="HN275" s="50"/>
      <c r="HO275" s="50"/>
      <c r="HP275" s="50"/>
      <c r="HQ275" s="50"/>
      <c r="HR275" s="50"/>
      <c r="HS275" s="50"/>
      <c r="HT275" s="50"/>
      <c r="HU275" s="50"/>
      <c r="HV275" s="50"/>
      <c r="HW275" s="50"/>
      <c r="HX275" s="50"/>
      <c r="HY275" s="50"/>
      <c r="HZ275" s="50"/>
      <c r="IA275" s="50"/>
      <c r="IB275" s="50"/>
      <c r="IC275" s="50"/>
      <c r="ID275" s="50"/>
      <c r="IE275" s="50"/>
      <c r="IF275" s="50"/>
      <c r="IG275" s="50"/>
      <c r="IH275" s="50"/>
      <c r="II275" s="50"/>
      <c r="IJ275" s="50"/>
      <c r="IK275" s="50"/>
      <c r="IL275" s="50"/>
      <c r="IM275" s="50"/>
      <c r="IN275" s="50"/>
      <c r="IO275" s="50"/>
      <c r="IP275" s="50"/>
      <c r="IQ275" s="50"/>
      <c r="IR275" s="50"/>
      <c r="IS275" s="50"/>
      <c r="IT275" s="50"/>
      <c r="IU275" s="50"/>
    </row>
    <row r="276" spans="1:255" s="50" customFormat="1" ht="15.6" x14ac:dyDescent="0.3">
      <c r="A276" s="68" t="s">
        <v>162</v>
      </c>
      <c r="B276" s="52">
        <v>37083</v>
      </c>
      <c r="C276" s="53" t="s">
        <v>163</v>
      </c>
      <c r="D276" s="138">
        <v>0</v>
      </c>
      <c r="E276" s="54">
        <v>-35.098999999999997</v>
      </c>
      <c r="F276" s="45">
        <v>0.501</v>
      </c>
      <c r="G276" s="45">
        <v>0</v>
      </c>
      <c r="H276" s="45">
        <v>0</v>
      </c>
      <c r="I276" s="55">
        <f>SUM(E276:H276)</f>
        <v>-34.597999999999999</v>
      </c>
      <c r="J276" s="492" t="s">
        <v>61</v>
      </c>
    </row>
    <row r="277" spans="1:255" s="50" customFormat="1" ht="15.6" x14ac:dyDescent="0.3">
      <c r="A277" s="68" t="s">
        <v>164</v>
      </c>
      <c r="B277" s="52">
        <v>37083</v>
      </c>
      <c r="C277" s="53" t="s">
        <v>163</v>
      </c>
      <c r="D277" s="138">
        <v>0</v>
      </c>
      <c r="E277" s="54">
        <v>-25.67</v>
      </c>
      <c r="F277" s="45">
        <v>0.45900000000000002</v>
      </c>
      <c r="G277" s="45">
        <v>0</v>
      </c>
      <c r="H277" s="45">
        <v>0</v>
      </c>
      <c r="I277" s="55">
        <f>SUM(E277:H277)</f>
        <v>-25.211000000000002</v>
      </c>
      <c r="J277" s="492" t="s">
        <v>61</v>
      </c>
    </row>
    <row r="278" spans="1:255" s="50" customFormat="1" ht="15.6" x14ac:dyDescent="0.3">
      <c r="A278" s="68" t="s">
        <v>200</v>
      </c>
      <c r="B278" s="47"/>
      <c r="C278" s="48"/>
      <c r="D278" s="138"/>
      <c r="E278" s="54">
        <v>10.795</v>
      </c>
      <c r="F278" s="45">
        <v>-0.28299999999999997</v>
      </c>
      <c r="G278" s="45">
        <v>0</v>
      </c>
      <c r="H278" s="45"/>
      <c r="I278" s="55">
        <f>SUM(E278:G278)</f>
        <v>10.512</v>
      </c>
      <c r="J278" s="492" t="s">
        <v>61</v>
      </c>
    </row>
    <row r="279" spans="1:255" s="50" customFormat="1" ht="18" customHeight="1" x14ac:dyDescent="0.3">
      <c r="A279" s="68" t="s">
        <v>165</v>
      </c>
      <c r="B279" s="52">
        <v>37083</v>
      </c>
      <c r="C279" s="53" t="s">
        <v>163</v>
      </c>
      <c r="D279" s="138">
        <v>0</v>
      </c>
      <c r="E279" s="54">
        <v>-59.41</v>
      </c>
      <c r="F279" s="45">
        <v>2.2850000000000001</v>
      </c>
      <c r="G279" s="45">
        <v>0</v>
      </c>
      <c r="H279" s="45">
        <v>0</v>
      </c>
      <c r="I279" s="55">
        <f>SUM(E279:H279)</f>
        <v>-57.125</v>
      </c>
      <c r="J279" s="492" t="s">
        <v>141</v>
      </c>
    </row>
    <row r="280" spans="1:255" s="56" customFormat="1" ht="4.5" hidden="1" customHeight="1" x14ac:dyDescent="0.25">
      <c r="A280" s="122"/>
      <c r="B280" s="123"/>
      <c r="C280" s="124"/>
      <c r="D280" s="423"/>
      <c r="E280" s="125"/>
      <c r="F280" s="126"/>
      <c r="G280" s="126"/>
      <c r="H280" s="126"/>
      <c r="I280" s="127"/>
      <c r="J280" s="492"/>
    </row>
    <row r="281" spans="1:255" s="50" customFormat="1" ht="18" hidden="1" customHeight="1" x14ac:dyDescent="0.3">
      <c r="A281" s="133" t="s">
        <v>166</v>
      </c>
      <c r="B281" s="52">
        <v>37091</v>
      </c>
      <c r="C281" s="53" t="s">
        <v>163</v>
      </c>
      <c r="D281" s="138">
        <f t="shared" ref="D281:D292" si="22">I281/0.015</f>
        <v>-4615.5999999999995</v>
      </c>
      <c r="E281" s="54">
        <v>-70.337999999999994</v>
      </c>
      <c r="F281" s="45">
        <v>1.1040000000000001</v>
      </c>
      <c r="G281" s="45">
        <v>0</v>
      </c>
      <c r="H281" s="45">
        <v>0</v>
      </c>
      <c r="I281" s="55">
        <f t="shared" ref="I281:I292" si="23">SUM(E281:H281)</f>
        <v>-69.233999999999995</v>
      </c>
      <c r="J281" s="492" t="s">
        <v>61</v>
      </c>
    </row>
    <row r="282" spans="1:255" s="50" customFormat="1" ht="18" hidden="1" customHeight="1" x14ac:dyDescent="0.3">
      <c r="A282" s="133" t="s">
        <v>167</v>
      </c>
      <c r="B282" s="52">
        <v>37091</v>
      </c>
      <c r="C282" s="53" t="s">
        <v>163</v>
      </c>
      <c r="D282" s="138">
        <f t="shared" si="22"/>
        <v>-1268</v>
      </c>
      <c r="E282" s="54">
        <v>-19.651</v>
      </c>
      <c r="F282" s="45">
        <v>0.63100000000000001</v>
      </c>
      <c r="G282" s="45">
        <v>0</v>
      </c>
      <c r="H282" s="45">
        <v>0</v>
      </c>
      <c r="I282" s="55">
        <f t="shared" si="23"/>
        <v>-19.02</v>
      </c>
      <c r="J282" s="492" t="s">
        <v>61</v>
      </c>
    </row>
    <row r="283" spans="1:255" s="50" customFormat="1" ht="18" hidden="1" customHeight="1" x14ac:dyDescent="0.3">
      <c r="A283" s="133" t="s">
        <v>168</v>
      </c>
      <c r="B283" s="52">
        <v>37091</v>
      </c>
      <c r="C283" s="53" t="s">
        <v>163</v>
      </c>
      <c r="D283" s="138">
        <f t="shared" si="22"/>
        <v>-1358.9333333333334</v>
      </c>
      <c r="E283" s="54">
        <v>-20.827999999999999</v>
      </c>
      <c r="F283" s="45">
        <v>0.44400000000000001</v>
      </c>
      <c r="G283" s="45">
        <v>0</v>
      </c>
      <c r="H283" s="45">
        <v>0</v>
      </c>
      <c r="I283" s="55">
        <f t="shared" si="23"/>
        <v>-20.384</v>
      </c>
      <c r="J283" s="492" t="s">
        <v>61</v>
      </c>
    </row>
    <row r="284" spans="1:255" s="50" customFormat="1" ht="18" hidden="1" customHeight="1" x14ac:dyDescent="0.3">
      <c r="A284" s="133" t="s">
        <v>169</v>
      </c>
      <c r="B284" s="52">
        <v>37091</v>
      </c>
      <c r="C284" s="53" t="s">
        <v>163</v>
      </c>
      <c r="D284" s="138">
        <f t="shared" si="22"/>
        <v>-1358.9333333333334</v>
      </c>
      <c r="E284" s="54">
        <v>-20.827999999999999</v>
      </c>
      <c r="F284" s="45">
        <v>0.44400000000000001</v>
      </c>
      <c r="G284" s="45">
        <v>0</v>
      </c>
      <c r="H284" s="45">
        <v>0</v>
      </c>
      <c r="I284" s="55">
        <f t="shared" si="23"/>
        <v>-20.384</v>
      </c>
      <c r="J284" s="492" t="s">
        <v>61</v>
      </c>
    </row>
    <row r="285" spans="1:255" s="50" customFormat="1" ht="18" hidden="1" customHeight="1" x14ac:dyDescent="0.3">
      <c r="A285" s="133" t="s">
        <v>170</v>
      </c>
      <c r="B285" s="52">
        <v>37091</v>
      </c>
      <c r="C285" s="53" t="s">
        <v>163</v>
      </c>
      <c r="D285" s="138">
        <f t="shared" si="22"/>
        <v>-1329.3333333333335</v>
      </c>
      <c r="E285" s="54">
        <v>-20.384</v>
      </c>
      <c r="F285" s="45">
        <v>0.44400000000000001</v>
      </c>
      <c r="G285" s="45">
        <v>0</v>
      </c>
      <c r="H285" s="45">
        <v>0</v>
      </c>
      <c r="I285" s="55">
        <f t="shared" si="23"/>
        <v>-19.940000000000001</v>
      </c>
      <c r="J285" s="492" t="s">
        <v>61</v>
      </c>
    </row>
    <row r="286" spans="1:255" s="50" customFormat="1" ht="18" hidden="1" customHeight="1" x14ac:dyDescent="0.3">
      <c r="A286" s="133" t="s">
        <v>171</v>
      </c>
      <c r="B286" s="52">
        <v>37091</v>
      </c>
      <c r="C286" s="53" t="s">
        <v>163</v>
      </c>
      <c r="D286" s="138">
        <f t="shared" si="22"/>
        <v>-8646.5999999999985</v>
      </c>
      <c r="E286" s="54">
        <v>-131.95699999999999</v>
      </c>
      <c r="F286" s="45">
        <v>2.258</v>
      </c>
      <c r="G286" s="45">
        <v>0</v>
      </c>
      <c r="H286" s="45">
        <v>0</v>
      </c>
      <c r="I286" s="55">
        <f t="shared" si="23"/>
        <v>-129.69899999999998</v>
      </c>
      <c r="J286" s="492" t="s">
        <v>61</v>
      </c>
    </row>
    <row r="287" spans="1:255" s="50" customFormat="1" ht="18" hidden="1" customHeight="1" x14ac:dyDescent="0.3">
      <c r="A287" s="133" t="s">
        <v>172</v>
      </c>
      <c r="B287" s="52">
        <v>37091</v>
      </c>
      <c r="C287" s="53" t="s">
        <v>163</v>
      </c>
      <c r="D287" s="138">
        <f t="shared" si="22"/>
        <v>-2059.7333333333336</v>
      </c>
      <c r="E287" s="54">
        <v>-31.369</v>
      </c>
      <c r="F287" s="45">
        <v>0.47299999999999998</v>
      </c>
      <c r="G287" s="45">
        <v>0</v>
      </c>
      <c r="H287" s="45">
        <v>0</v>
      </c>
      <c r="I287" s="55">
        <f t="shared" si="23"/>
        <v>-30.896000000000001</v>
      </c>
      <c r="J287" s="492" t="s">
        <v>61</v>
      </c>
    </row>
    <row r="288" spans="1:255" s="50" customFormat="1" ht="18" hidden="1" customHeight="1" x14ac:dyDescent="0.3">
      <c r="A288" s="133" t="s">
        <v>173</v>
      </c>
      <c r="B288" s="52">
        <v>37091</v>
      </c>
      <c r="C288" s="53" t="s">
        <v>163</v>
      </c>
      <c r="D288" s="138">
        <f t="shared" si="22"/>
        <v>-5875</v>
      </c>
      <c r="E288" s="54">
        <v>-89.585999999999999</v>
      </c>
      <c r="F288" s="45">
        <v>1.4610000000000001</v>
      </c>
      <c r="G288" s="45">
        <v>0</v>
      </c>
      <c r="H288" s="45">
        <v>0</v>
      </c>
      <c r="I288" s="55">
        <f t="shared" si="23"/>
        <v>-88.125</v>
      </c>
      <c r="J288" s="492" t="s">
        <v>61</v>
      </c>
    </row>
    <row r="289" spans="1:10" s="50" customFormat="1" ht="18" hidden="1" customHeight="1" x14ac:dyDescent="0.3">
      <c r="A289" s="133" t="s">
        <v>174</v>
      </c>
      <c r="B289" s="52">
        <v>37091</v>
      </c>
      <c r="C289" s="53" t="s">
        <v>163</v>
      </c>
      <c r="D289" s="138">
        <f t="shared" si="22"/>
        <v>-2039.9333333333334</v>
      </c>
      <c r="E289" s="54">
        <v>-31.120999999999999</v>
      </c>
      <c r="F289" s="45">
        <v>0.52200000000000002</v>
      </c>
      <c r="G289" s="45">
        <v>0</v>
      </c>
      <c r="H289" s="45">
        <v>0</v>
      </c>
      <c r="I289" s="55">
        <f t="shared" si="23"/>
        <v>-30.599</v>
      </c>
      <c r="J289" s="492" t="s">
        <v>61</v>
      </c>
    </row>
    <row r="290" spans="1:10" s="50" customFormat="1" ht="18" hidden="1" customHeight="1" x14ac:dyDescent="0.3">
      <c r="A290" s="133" t="s">
        <v>175</v>
      </c>
      <c r="B290" s="52">
        <v>37091</v>
      </c>
      <c r="C290" s="53" t="s">
        <v>163</v>
      </c>
      <c r="D290" s="138">
        <f t="shared" si="22"/>
        <v>-1329.3333333333335</v>
      </c>
      <c r="E290" s="54">
        <v>-20.384</v>
      </c>
      <c r="F290" s="45">
        <v>0.44400000000000001</v>
      </c>
      <c r="G290" s="45">
        <v>0</v>
      </c>
      <c r="H290" s="45">
        <v>0</v>
      </c>
      <c r="I290" s="55">
        <f t="shared" si="23"/>
        <v>-19.940000000000001</v>
      </c>
      <c r="J290" s="492" t="s">
        <v>61</v>
      </c>
    </row>
    <row r="291" spans="1:10" s="50" customFormat="1" ht="18" hidden="1" customHeight="1" x14ac:dyDescent="0.3">
      <c r="A291" s="133" t="s">
        <v>176</v>
      </c>
      <c r="B291" s="52">
        <v>37091</v>
      </c>
      <c r="C291" s="53" t="s">
        <v>163</v>
      </c>
      <c r="D291" s="138">
        <f t="shared" si="22"/>
        <v>-1329.3333333333335</v>
      </c>
      <c r="E291" s="54">
        <v>-20.384</v>
      </c>
      <c r="F291" s="45">
        <v>0.44400000000000001</v>
      </c>
      <c r="G291" s="45">
        <v>0</v>
      </c>
      <c r="H291" s="45">
        <v>0</v>
      </c>
      <c r="I291" s="55">
        <f t="shared" si="23"/>
        <v>-19.940000000000001</v>
      </c>
      <c r="J291" s="492" t="s">
        <v>61</v>
      </c>
    </row>
    <row r="292" spans="1:10" s="50" customFormat="1" ht="18" hidden="1" customHeight="1" x14ac:dyDescent="0.3">
      <c r="A292" s="133" t="s">
        <v>177</v>
      </c>
      <c r="B292" s="52">
        <v>37091</v>
      </c>
      <c r="C292" s="53" t="s">
        <v>163</v>
      </c>
      <c r="D292" s="138">
        <f t="shared" si="22"/>
        <v>-732.8</v>
      </c>
      <c r="E292" s="54">
        <v>-11.196</v>
      </c>
      <c r="F292" s="45">
        <v>0.20399999999999999</v>
      </c>
      <c r="G292" s="45">
        <v>0</v>
      </c>
      <c r="H292" s="45">
        <v>0</v>
      </c>
      <c r="I292" s="55">
        <f t="shared" si="23"/>
        <v>-10.991999999999999</v>
      </c>
      <c r="J292" s="492" t="s">
        <v>61</v>
      </c>
    </row>
    <row r="293" spans="1:10" s="50" customFormat="1" ht="5.0999999999999996" hidden="1" customHeight="1" x14ac:dyDescent="0.3">
      <c r="A293" s="122"/>
      <c r="B293" s="128"/>
      <c r="C293" s="124"/>
      <c r="D293" s="423"/>
      <c r="E293" s="125"/>
      <c r="F293" s="126"/>
      <c r="G293" s="126"/>
      <c r="H293" s="126"/>
      <c r="I293" s="127"/>
      <c r="J293" s="492"/>
    </row>
    <row r="294" spans="1:10" s="50" customFormat="1" ht="18" customHeight="1" x14ac:dyDescent="0.3">
      <c r="A294" s="68" t="s">
        <v>204</v>
      </c>
      <c r="B294" s="52">
        <v>37091</v>
      </c>
      <c r="C294" s="53" t="s">
        <v>160</v>
      </c>
      <c r="D294" s="138">
        <f>SUM(D295:D378)</f>
        <v>8783.2333333333354</v>
      </c>
      <c r="E294" s="54">
        <f>SUM(E295:E378)</f>
        <v>557.09099999999978</v>
      </c>
      <c r="F294" s="45">
        <f>SUM(F295:F378)</f>
        <v>-108.13799999999998</v>
      </c>
      <c r="G294" s="45">
        <f>SUM(G295:G378)</f>
        <v>0</v>
      </c>
      <c r="H294" s="45">
        <f>SUM(H305:H378)</f>
        <v>0</v>
      </c>
      <c r="I294" s="55">
        <f>SUM(I295:I378)</f>
        <v>448.95299999999992</v>
      </c>
      <c r="J294" s="492" t="s">
        <v>141</v>
      </c>
    </row>
    <row r="295" spans="1:10" s="50" customFormat="1" ht="5.0999999999999996" hidden="1" customHeight="1" x14ac:dyDescent="0.3">
      <c r="A295" s="122"/>
      <c r="B295" s="128"/>
      <c r="C295" s="132"/>
      <c r="D295" s="423"/>
      <c r="E295" s="125"/>
      <c r="F295" s="126"/>
      <c r="G295" s="126"/>
      <c r="H295" s="126"/>
      <c r="I295" s="127"/>
      <c r="J295" s="492"/>
    </row>
    <row r="296" spans="1:10" s="50" customFormat="1" ht="17.399999999999999" hidden="1" x14ac:dyDescent="0.3">
      <c r="A296" s="477" t="s">
        <v>746</v>
      </c>
      <c r="B296" s="466"/>
      <c r="C296" s="467"/>
      <c r="D296" s="468">
        <f t="shared" ref="D296:D343" si="24">I296/0.06</f>
        <v>-412.06666666666666</v>
      </c>
      <c r="E296" s="444">
        <v>-26.702000000000002</v>
      </c>
      <c r="F296" s="444">
        <f>1978/1000</f>
        <v>1.978</v>
      </c>
      <c r="G296" s="444"/>
      <c r="H296" s="444"/>
      <c r="I296" s="469">
        <f t="shared" ref="I296:I304" si="25">SUM(E296:G296)</f>
        <v>-24.724</v>
      </c>
      <c r="J296" s="492" t="s">
        <v>141</v>
      </c>
    </row>
    <row r="297" spans="1:10" s="50" customFormat="1" ht="17.399999999999999" hidden="1" x14ac:dyDescent="0.3">
      <c r="A297" s="477" t="s">
        <v>745</v>
      </c>
      <c r="B297" s="466"/>
      <c r="C297" s="467"/>
      <c r="D297" s="468">
        <f t="shared" si="24"/>
        <v>-40.56666666666667</v>
      </c>
      <c r="E297" s="444">
        <v>-2.9279999999999999</v>
      </c>
      <c r="F297" s="444">
        <f>494/1000</f>
        <v>0.49399999999999999</v>
      </c>
      <c r="G297" s="444"/>
      <c r="H297" s="444"/>
      <c r="I297" s="469">
        <f t="shared" si="25"/>
        <v>-2.4340000000000002</v>
      </c>
      <c r="J297" s="492" t="s">
        <v>141</v>
      </c>
    </row>
    <row r="298" spans="1:10" s="50" customFormat="1" ht="17.399999999999999" hidden="1" x14ac:dyDescent="0.3">
      <c r="A298" s="477" t="s">
        <v>700</v>
      </c>
      <c r="B298" s="466"/>
      <c r="C298" s="467"/>
      <c r="D298" s="468">
        <f t="shared" si="24"/>
        <v>6.4833333333333334</v>
      </c>
      <c r="E298" s="444">
        <v>0.76500000000000001</v>
      </c>
      <c r="F298" s="444">
        <v>-0.376</v>
      </c>
      <c r="G298" s="444"/>
      <c r="H298" s="444"/>
      <c r="I298" s="469">
        <f t="shared" si="25"/>
        <v>0.38900000000000001</v>
      </c>
      <c r="J298" s="492" t="s">
        <v>141</v>
      </c>
    </row>
    <row r="299" spans="1:10" s="50" customFormat="1" ht="17.399999999999999" hidden="1" x14ac:dyDescent="0.3">
      <c r="A299" s="477" t="s">
        <v>798</v>
      </c>
      <c r="B299" s="466"/>
      <c r="C299" s="467"/>
      <c r="D299" s="468">
        <f t="shared" si="24"/>
        <v>31.566666666666666</v>
      </c>
      <c r="E299" s="444">
        <f>2206/1000</f>
        <v>2.206</v>
      </c>
      <c r="F299" s="444">
        <v>-0.312</v>
      </c>
      <c r="G299" s="444"/>
      <c r="H299" s="444"/>
      <c r="I299" s="469">
        <f t="shared" si="25"/>
        <v>1.8939999999999999</v>
      </c>
      <c r="J299" s="492" t="s">
        <v>141</v>
      </c>
    </row>
    <row r="300" spans="1:10" s="50" customFormat="1" ht="17.399999999999999" hidden="1" x14ac:dyDescent="0.3">
      <c r="A300" s="477" t="s">
        <v>762</v>
      </c>
      <c r="B300" s="466"/>
      <c r="C300" s="467"/>
      <c r="D300" s="468">
        <f t="shared" si="24"/>
        <v>115.66666666666666</v>
      </c>
      <c r="E300" s="444">
        <f>9064/1000</f>
        <v>9.0640000000000001</v>
      </c>
      <c r="F300" s="444">
        <v>-2.1240000000000001</v>
      </c>
      <c r="G300" s="444"/>
      <c r="H300" s="444"/>
      <c r="I300" s="469">
        <f t="shared" si="25"/>
        <v>6.9399999999999995</v>
      </c>
      <c r="J300" s="492" t="s">
        <v>141</v>
      </c>
    </row>
    <row r="301" spans="1:10" s="50" customFormat="1" ht="17.399999999999999" hidden="1" x14ac:dyDescent="0.3">
      <c r="A301" s="477" t="s">
        <v>805</v>
      </c>
      <c r="B301" s="466"/>
      <c r="C301" s="467"/>
      <c r="D301" s="468">
        <f t="shared" si="24"/>
        <v>52.383333333333333</v>
      </c>
      <c r="E301" s="444">
        <f>3702/1000</f>
        <v>3.702</v>
      </c>
      <c r="F301" s="444">
        <v>-0.55900000000000005</v>
      </c>
      <c r="G301" s="444"/>
      <c r="H301" s="444"/>
      <c r="I301" s="469">
        <f t="shared" si="25"/>
        <v>3.1429999999999998</v>
      </c>
      <c r="J301" s="492" t="s">
        <v>141</v>
      </c>
    </row>
    <row r="302" spans="1:10" s="50" customFormat="1" ht="17.399999999999999" hidden="1" x14ac:dyDescent="0.3">
      <c r="A302" s="477" t="s">
        <v>806</v>
      </c>
      <c r="B302" s="466"/>
      <c r="C302" s="467"/>
      <c r="D302" s="468">
        <f t="shared" si="24"/>
        <v>88.550000000000011</v>
      </c>
      <c r="E302" s="444">
        <f>6995/1000</f>
        <v>6.9950000000000001</v>
      </c>
      <c r="F302" s="444">
        <v>-1.6819999999999999</v>
      </c>
      <c r="G302" s="444"/>
      <c r="H302" s="444"/>
      <c r="I302" s="469">
        <f t="shared" si="25"/>
        <v>5.3130000000000006</v>
      </c>
      <c r="J302" s="492" t="s">
        <v>141</v>
      </c>
    </row>
    <row r="303" spans="1:10" s="50" customFormat="1" ht="17.399999999999999" hidden="1" x14ac:dyDescent="0.3">
      <c r="A303" s="477" t="s">
        <v>804</v>
      </c>
      <c r="B303" s="466"/>
      <c r="C303" s="467"/>
      <c r="D303" s="468">
        <f t="shared" si="24"/>
        <v>301.90000000000003</v>
      </c>
      <c r="E303" s="444">
        <f>24265/1000</f>
        <v>24.265000000000001</v>
      </c>
      <c r="F303" s="444">
        <v>-6.1509999999999998</v>
      </c>
      <c r="G303" s="444"/>
      <c r="H303" s="444"/>
      <c r="I303" s="469">
        <f t="shared" si="25"/>
        <v>18.114000000000001</v>
      </c>
      <c r="J303" s="492" t="s">
        <v>141</v>
      </c>
    </row>
    <row r="304" spans="1:10" s="50" customFormat="1" ht="17.399999999999999" hidden="1" x14ac:dyDescent="0.3">
      <c r="A304" s="477" t="s">
        <v>803</v>
      </c>
      <c r="B304" s="466"/>
      <c r="C304" s="467"/>
      <c r="D304" s="468">
        <f t="shared" si="24"/>
        <v>19.233333333333334</v>
      </c>
      <c r="E304" s="444">
        <f>1636/1000</f>
        <v>1.6359999999999999</v>
      </c>
      <c r="F304" s="444">
        <v>-0.48199999999999998</v>
      </c>
      <c r="G304" s="444"/>
      <c r="H304" s="444"/>
      <c r="I304" s="469">
        <f t="shared" si="25"/>
        <v>1.1539999999999999</v>
      </c>
      <c r="J304" s="492" t="s">
        <v>141</v>
      </c>
    </row>
    <row r="305" spans="1:10" s="50" customFormat="1" ht="18" hidden="1" customHeight="1" x14ac:dyDescent="0.3">
      <c r="A305" s="429" t="s">
        <v>608</v>
      </c>
      <c r="B305" s="154"/>
      <c r="C305" s="48"/>
      <c r="D305" s="138">
        <f t="shared" si="24"/>
        <v>288.43333333333334</v>
      </c>
      <c r="E305" s="54">
        <f>19669/1000</f>
        <v>19.669</v>
      </c>
      <c r="F305" s="45">
        <v>-2.363</v>
      </c>
      <c r="G305" s="45"/>
      <c r="H305" s="45"/>
      <c r="I305" s="55">
        <f>F305+E305</f>
        <v>17.306000000000001</v>
      </c>
      <c r="J305" s="492" t="s">
        <v>141</v>
      </c>
    </row>
    <row r="306" spans="1:10" s="50" customFormat="1" ht="18" hidden="1" customHeight="1" x14ac:dyDescent="0.3">
      <c r="A306" s="429" t="s">
        <v>609</v>
      </c>
      <c r="B306" s="154"/>
      <c r="C306" s="48"/>
      <c r="D306" s="138">
        <f t="shared" si="24"/>
        <v>159.73333333333332</v>
      </c>
      <c r="E306" s="54">
        <f>10609/1000</f>
        <v>10.609</v>
      </c>
      <c r="F306" s="45">
        <v>-1.0249999999999999</v>
      </c>
      <c r="G306" s="45"/>
      <c r="H306" s="45"/>
      <c r="I306" s="55">
        <f>F306+E306</f>
        <v>9.5839999999999996</v>
      </c>
      <c r="J306" s="492" t="s">
        <v>141</v>
      </c>
    </row>
    <row r="307" spans="1:10" s="50" customFormat="1" ht="15.75" hidden="1" customHeight="1" x14ac:dyDescent="0.3">
      <c r="A307" s="133" t="s">
        <v>206</v>
      </c>
      <c r="B307" s="47"/>
      <c r="C307" s="48"/>
      <c r="D307" s="138">
        <f t="shared" si="24"/>
        <v>24.666666666666668</v>
      </c>
      <c r="E307" s="54">
        <v>1.748</v>
      </c>
      <c r="F307" s="45">
        <v>-0.26800000000000002</v>
      </c>
      <c r="G307" s="45"/>
      <c r="H307" s="45"/>
      <c r="I307" s="55">
        <f t="shared" ref="I307:I317" si="26">SUM(E307:G307)</f>
        <v>1.48</v>
      </c>
      <c r="J307" s="492" t="s">
        <v>141</v>
      </c>
    </row>
    <row r="308" spans="1:10" s="50" customFormat="1" ht="15.75" hidden="1" customHeight="1" x14ac:dyDescent="0.3">
      <c r="A308" s="133" t="s">
        <v>207</v>
      </c>
      <c r="B308" s="47"/>
      <c r="C308" s="48"/>
      <c r="D308" s="138">
        <f t="shared" si="24"/>
        <v>8.1</v>
      </c>
      <c r="E308" s="54">
        <v>0.60899999999999999</v>
      </c>
      <c r="F308" s="45">
        <v>-0.123</v>
      </c>
      <c r="G308" s="45"/>
      <c r="H308" s="45"/>
      <c r="I308" s="55">
        <f t="shared" si="26"/>
        <v>0.48599999999999999</v>
      </c>
      <c r="J308" s="492" t="s">
        <v>141</v>
      </c>
    </row>
    <row r="309" spans="1:10" s="50" customFormat="1" ht="15.75" hidden="1" customHeight="1" x14ac:dyDescent="0.3">
      <c r="A309" s="133" t="s">
        <v>208</v>
      </c>
      <c r="B309" s="47"/>
      <c r="C309" s="48"/>
      <c r="D309" s="138">
        <f t="shared" si="24"/>
        <v>47.5</v>
      </c>
      <c r="E309" s="54">
        <v>3.3130000000000002</v>
      </c>
      <c r="F309" s="45">
        <v>-0.46300000000000002</v>
      </c>
      <c r="G309" s="45"/>
      <c r="H309" s="45"/>
      <c r="I309" s="55">
        <f t="shared" si="26"/>
        <v>2.85</v>
      </c>
      <c r="J309" s="492" t="s">
        <v>141</v>
      </c>
    </row>
    <row r="310" spans="1:10" s="50" customFormat="1" ht="15.75" hidden="1" customHeight="1" x14ac:dyDescent="0.3">
      <c r="A310" s="133" t="s">
        <v>209</v>
      </c>
      <c r="B310" s="47"/>
      <c r="C310" s="48"/>
      <c r="D310" s="138">
        <f t="shared" si="24"/>
        <v>363.18333333333328</v>
      </c>
      <c r="E310" s="54">
        <v>23.777999999999999</v>
      </c>
      <c r="F310" s="45">
        <v>-1.9870000000000001</v>
      </c>
      <c r="G310" s="45"/>
      <c r="H310" s="45"/>
      <c r="I310" s="55">
        <f t="shared" si="26"/>
        <v>21.790999999999997</v>
      </c>
      <c r="J310" s="492" t="s">
        <v>141</v>
      </c>
    </row>
    <row r="311" spans="1:10" s="50" customFormat="1" ht="15.75" hidden="1" customHeight="1" x14ac:dyDescent="0.3">
      <c r="A311" s="133" t="s">
        <v>210</v>
      </c>
      <c r="B311" s="47"/>
      <c r="C311" s="48"/>
      <c r="D311" s="138">
        <f t="shared" si="24"/>
        <v>59.366666666666674</v>
      </c>
      <c r="E311" s="54">
        <v>4.181</v>
      </c>
      <c r="F311" s="45">
        <v>-0.61899999999999999</v>
      </c>
      <c r="G311" s="45"/>
      <c r="H311" s="45"/>
      <c r="I311" s="55">
        <f t="shared" si="26"/>
        <v>3.5620000000000003</v>
      </c>
      <c r="J311" s="492" t="s">
        <v>141</v>
      </c>
    </row>
    <row r="312" spans="1:10" s="50" customFormat="1" ht="15.75" hidden="1" customHeight="1" x14ac:dyDescent="0.3">
      <c r="A312" s="133" t="s">
        <v>211</v>
      </c>
      <c r="B312" s="47"/>
      <c r="C312" s="48"/>
      <c r="D312" s="138">
        <f t="shared" si="24"/>
        <v>119.05000000000001</v>
      </c>
      <c r="E312" s="54">
        <v>8.4730000000000008</v>
      </c>
      <c r="F312" s="45">
        <v>-1.33</v>
      </c>
      <c r="G312" s="45"/>
      <c r="H312" s="45"/>
      <c r="I312" s="55">
        <f t="shared" si="26"/>
        <v>7.1430000000000007</v>
      </c>
      <c r="J312" s="492" t="s">
        <v>141</v>
      </c>
    </row>
    <row r="313" spans="1:10" s="50" customFormat="1" ht="15.75" hidden="1" customHeight="1" x14ac:dyDescent="0.3">
      <c r="A313" s="133" t="s">
        <v>212</v>
      </c>
      <c r="B313" s="47"/>
      <c r="C313" s="48"/>
      <c r="D313" s="138">
        <f t="shared" si="24"/>
        <v>82.683333333333337</v>
      </c>
      <c r="E313" s="54">
        <v>5.6219999999999999</v>
      </c>
      <c r="F313" s="45">
        <v>-0.66100000000000003</v>
      </c>
      <c r="G313" s="45"/>
      <c r="H313" s="45"/>
      <c r="I313" s="55">
        <f t="shared" si="26"/>
        <v>4.9610000000000003</v>
      </c>
      <c r="J313" s="492" t="s">
        <v>141</v>
      </c>
    </row>
    <row r="314" spans="1:10" s="50" customFormat="1" ht="15.75" hidden="1" customHeight="1" x14ac:dyDescent="0.3">
      <c r="A314" s="133" t="s">
        <v>213</v>
      </c>
      <c r="B314" s="47"/>
      <c r="C314" s="48"/>
      <c r="D314" s="138">
        <f t="shared" si="24"/>
        <v>40.466666666666669</v>
      </c>
      <c r="E314" s="54">
        <v>2.9220000000000002</v>
      </c>
      <c r="F314" s="45">
        <v>-0.49399999999999999</v>
      </c>
      <c r="G314" s="45"/>
      <c r="H314" s="45"/>
      <c r="I314" s="55">
        <f t="shared" si="26"/>
        <v>2.4279999999999999</v>
      </c>
      <c r="J314" s="492" t="s">
        <v>141</v>
      </c>
    </row>
    <row r="315" spans="1:10" s="50" customFormat="1" ht="15.75" hidden="1" customHeight="1" x14ac:dyDescent="0.3">
      <c r="A315" s="133" t="s">
        <v>214</v>
      </c>
      <c r="B315" s="47"/>
      <c r="C315" s="48"/>
      <c r="D315" s="138">
        <f t="shared" si="24"/>
        <v>1282.4166666666667</v>
      </c>
      <c r="E315" s="54">
        <v>89.679000000000002</v>
      </c>
      <c r="F315" s="45">
        <v>-12.734</v>
      </c>
      <c r="G315" s="45"/>
      <c r="H315" s="45"/>
      <c r="I315" s="55">
        <f t="shared" si="26"/>
        <v>76.945000000000007</v>
      </c>
      <c r="J315" s="492" t="s">
        <v>141</v>
      </c>
    </row>
    <row r="316" spans="1:10" s="50" customFormat="1" ht="15.75" hidden="1" customHeight="1" x14ac:dyDescent="0.3">
      <c r="A316" s="133" t="s">
        <v>215</v>
      </c>
      <c r="B316" s="47"/>
      <c r="C316" s="48"/>
      <c r="D316" s="138">
        <f t="shared" si="24"/>
        <v>-46.233333333333334</v>
      </c>
      <c r="E316" s="54">
        <v>-3.1920000000000002</v>
      </c>
      <c r="F316" s="45">
        <v>0.41799999999999998</v>
      </c>
      <c r="G316" s="45"/>
      <c r="H316" s="45"/>
      <c r="I316" s="55">
        <f t="shared" si="26"/>
        <v>-2.774</v>
      </c>
      <c r="J316" s="492" t="s">
        <v>141</v>
      </c>
    </row>
    <row r="317" spans="1:10" s="50" customFormat="1" ht="15.75" hidden="1" customHeight="1" x14ac:dyDescent="0.3">
      <c r="A317" s="133" t="s">
        <v>216</v>
      </c>
      <c r="B317" s="47"/>
      <c r="C317" s="48"/>
      <c r="D317" s="138">
        <f t="shared" si="24"/>
        <v>-9.9500000000000011</v>
      </c>
      <c r="E317" s="54">
        <v>-0.68300000000000005</v>
      </c>
      <c r="F317" s="45">
        <v>8.5999999999999993E-2</v>
      </c>
      <c r="G317" s="45"/>
      <c r="H317" s="45"/>
      <c r="I317" s="55">
        <f t="shared" si="26"/>
        <v>-0.59700000000000009</v>
      </c>
      <c r="J317" s="492" t="s">
        <v>141</v>
      </c>
    </row>
    <row r="318" spans="1:10" s="50" customFormat="1" ht="15.75" hidden="1" customHeight="1" x14ac:dyDescent="0.3">
      <c r="A318" s="133" t="s">
        <v>217</v>
      </c>
      <c r="B318" s="47"/>
      <c r="C318" s="48"/>
      <c r="D318" s="138">
        <f t="shared" si="24"/>
        <v>2.6500000000000004</v>
      </c>
      <c r="E318" s="54">
        <v>0.186</v>
      </c>
      <c r="F318" s="45">
        <v>-2.7E-2</v>
      </c>
      <c r="G318" s="45"/>
      <c r="H318" s="45"/>
      <c r="I318" s="55">
        <v>0.159</v>
      </c>
      <c r="J318" s="492" t="s">
        <v>141</v>
      </c>
    </row>
    <row r="319" spans="1:10" s="50" customFormat="1" ht="15.75" hidden="1" customHeight="1" x14ac:dyDescent="0.3">
      <c r="A319" s="133" t="s">
        <v>218</v>
      </c>
      <c r="B319" s="47"/>
      <c r="C319" s="48"/>
      <c r="D319" s="138">
        <f t="shared" si="24"/>
        <v>4.3500000000000005</v>
      </c>
      <c r="E319" s="54">
        <v>0.314</v>
      </c>
      <c r="F319" s="45">
        <v>-5.2999999999999999E-2</v>
      </c>
      <c r="G319" s="45"/>
      <c r="H319" s="45"/>
      <c r="I319" s="55">
        <v>0.26100000000000001</v>
      </c>
      <c r="J319" s="492" t="s">
        <v>141</v>
      </c>
    </row>
    <row r="320" spans="1:10" s="50" customFormat="1" ht="15.75" hidden="1" customHeight="1" x14ac:dyDescent="0.3">
      <c r="A320" s="133" t="s">
        <v>219</v>
      </c>
      <c r="B320" s="47"/>
      <c r="C320" s="48"/>
      <c r="D320" s="138">
        <f t="shared" si="24"/>
        <v>20.400000000000006</v>
      </c>
      <c r="E320" s="54">
        <v>1.8560000000000001</v>
      </c>
      <c r="F320" s="45">
        <v>-0.63200000000000001</v>
      </c>
      <c r="G320" s="45"/>
      <c r="H320" s="45"/>
      <c r="I320" s="55">
        <v>1.2240000000000002</v>
      </c>
      <c r="J320" s="492" t="s">
        <v>141</v>
      </c>
    </row>
    <row r="321" spans="1:10" s="50" customFormat="1" ht="15.75" hidden="1" customHeight="1" x14ac:dyDescent="0.3">
      <c r="A321" s="133" t="s">
        <v>220</v>
      </c>
      <c r="B321" s="47"/>
      <c r="C321" s="48"/>
      <c r="D321" s="138">
        <f t="shared" si="24"/>
        <v>74.766666666666666</v>
      </c>
      <c r="E321" s="54">
        <v>6.149</v>
      </c>
      <c r="F321" s="45">
        <v>-1.663</v>
      </c>
      <c r="G321" s="45"/>
      <c r="H321" s="45"/>
      <c r="I321" s="55">
        <v>4.4859999999999998</v>
      </c>
      <c r="J321" s="492" t="s">
        <v>141</v>
      </c>
    </row>
    <row r="322" spans="1:10" s="50" customFormat="1" ht="15.75" hidden="1" customHeight="1" x14ac:dyDescent="0.3">
      <c r="A322" s="133" t="s">
        <v>221</v>
      </c>
      <c r="B322" s="47"/>
      <c r="C322" s="48"/>
      <c r="D322" s="138">
        <f t="shared" si="24"/>
        <v>25.55</v>
      </c>
      <c r="E322" s="54">
        <v>2.1389999999999998</v>
      </c>
      <c r="F322" s="45">
        <v>-0.60599999999999998</v>
      </c>
      <c r="G322" s="45"/>
      <c r="H322" s="45"/>
      <c r="I322" s="55">
        <v>1.5329999999999999</v>
      </c>
      <c r="J322" s="492" t="s">
        <v>141</v>
      </c>
    </row>
    <row r="323" spans="1:10" s="50" customFormat="1" ht="15.75" hidden="1" customHeight="1" x14ac:dyDescent="0.3">
      <c r="A323" s="133" t="s">
        <v>222</v>
      </c>
      <c r="B323" s="47"/>
      <c r="C323" s="48"/>
      <c r="D323" s="138">
        <f t="shared" si="24"/>
        <v>37.166666666666664</v>
      </c>
      <c r="E323" s="54">
        <v>2.677</v>
      </c>
      <c r="F323" s="45">
        <v>-0.44700000000000001</v>
      </c>
      <c r="G323" s="45"/>
      <c r="H323" s="45"/>
      <c r="I323" s="55">
        <v>2.23</v>
      </c>
      <c r="J323" s="492" t="s">
        <v>141</v>
      </c>
    </row>
    <row r="324" spans="1:10" s="50" customFormat="1" ht="15.75" hidden="1" customHeight="1" x14ac:dyDescent="0.3">
      <c r="A324" s="133" t="s">
        <v>223</v>
      </c>
      <c r="B324" s="47"/>
      <c r="C324" s="48"/>
      <c r="D324" s="138">
        <f t="shared" si="24"/>
        <v>122.06666666666668</v>
      </c>
      <c r="E324" s="54">
        <v>8.5950000000000006</v>
      </c>
      <c r="F324" s="45">
        <v>-1.2709999999999999</v>
      </c>
      <c r="G324" s="45"/>
      <c r="H324" s="45"/>
      <c r="I324" s="55">
        <v>7.3240000000000007</v>
      </c>
      <c r="J324" s="492" t="s">
        <v>141</v>
      </c>
    </row>
    <row r="325" spans="1:10" s="50" customFormat="1" ht="15.75" hidden="1" customHeight="1" x14ac:dyDescent="0.3">
      <c r="A325" s="133" t="s">
        <v>224</v>
      </c>
      <c r="B325" s="47"/>
      <c r="C325" s="48"/>
      <c r="D325" s="138">
        <f t="shared" si="24"/>
        <v>20.250000000000004</v>
      </c>
      <c r="E325" s="54">
        <v>1.4339999999999999</v>
      </c>
      <c r="F325" s="45">
        <v>-0.219</v>
      </c>
      <c r="G325" s="45"/>
      <c r="H325" s="45"/>
      <c r="I325" s="55">
        <v>1.2150000000000001</v>
      </c>
      <c r="J325" s="492" t="s">
        <v>141</v>
      </c>
    </row>
    <row r="326" spans="1:10" s="50" customFormat="1" ht="15.75" hidden="1" customHeight="1" x14ac:dyDescent="0.3">
      <c r="A326" s="133" t="s">
        <v>225</v>
      </c>
      <c r="B326" s="47"/>
      <c r="C326" s="48"/>
      <c r="D326" s="138">
        <f t="shared" si="24"/>
        <v>23.183333333333334</v>
      </c>
      <c r="E326" s="54">
        <v>1.8480000000000001</v>
      </c>
      <c r="F326" s="45">
        <v>-0.45700000000000002</v>
      </c>
      <c r="G326" s="45"/>
      <c r="H326" s="45"/>
      <c r="I326" s="55">
        <f>SUM(E326:H326)</f>
        <v>1.391</v>
      </c>
      <c r="J326" s="492" t="s">
        <v>141</v>
      </c>
    </row>
    <row r="327" spans="1:10" s="50" customFormat="1" ht="15.75" hidden="1" customHeight="1" x14ac:dyDescent="0.3">
      <c r="A327" s="133" t="s">
        <v>226</v>
      </c>
      <c r="B327" s="47"/>
      <c r="C327" s="48"/>
      <c r="D327" s="138">
        <f t="shared" si="24"/>
        <v>68.100000000000009</v>
      </c>
      <c r="E327" s="54">
        <v>5.4009999999999998</v>
      </c>
      <c r="F327" s="45">
        <v>-1.3149999999999999</v>
      </c>
      <c r="G327" s="45"/>
      <c r="H327" s="45"/>
      <c r="I327" s="55">
        <v>4.0860000000000003</v>
      </c>
      <c r="J327" s="492" t="s">
        <v>141</v>
      </c>
    </row>
    <row r="328" spans="1:10" s="50" customFormat="1" ht="15.75" hidden="1" customHeight="1" x14ac:dyDescent="0.3">
      <c r="A328" s="133" t="s">
        <v>227</v>
      </c>
      <c r="B328" s="47"/>
      <c r="C328" s="48"/>
      <c r="D328" s="138">
        <f t="shared" si="24"/>
        <v>30.85</v>
      </c>
      <c r="E328" s="54">
        <v>2.4529999999999998</v>
      </c>
      <c r="F328" s="45">
        <v>-0.60199999999999998</v>
      </c>
      <c r="G328" s="45"/>
      <c r="H328" s="45"/>
      <c r="I328" s="55">
        <v>1.851</v>
      </c>
      <c r="J328" s="492" t="s">
        <v>141</v>
      </c>
    </row>
    <row r="329" spans="1:10" s="50" customFormat="1" ht="15.75" hidden="1" customHeight="1" x14ac:dyDescent="0.3">
      <c r="A329" s="133" t="s">
        <v>228</v>
      </c>
      <c r="B329" s="47"/>
      <c r="C329" s="48"/>
      <c r="D329" s="138">
        <f t="shared" si="24"/>
        <v>37.06666666666667</v>
      </c>
      <c r="E329" s="54">
        <v>3.4820000000000002</v>
      </c>
      <c r="F329" s="45">
        <v>-1.258</v>
      </c>
      <c r="G329" s="45"/>
      <c r="H329" s="45"/>
      <c r="I329" s="55">
        <v>2.2240000000000002</v>
      </c>
      <c r="J329" s="492" t="s">
        <v>141</v>
      </c>
    </row>
    <row r="330" spans="1:10" s="50" customFormat="1" ht="18" hidden="1" customHeight="1" x14ac:dyDescent="0.3">
      <c r="A330" s="133" t="s">
        <v>205</v>
      </c>
      <c r="B330" s="134"/>
      <c r="C330" s="75" t="s">
        <v>160</v>
      </c>
      <c r="D330" s="138">
        <f t="shared" si="24"/>
        <v>77.466666666666669</v>
      </c>
      <c r="E330" s="54">
        <v>5.6760000000000002</v>
      </c>
      <c r="F330" s="45">
        <v>-1.028</v>
      </c>
      <c r="G330" s="45"/>
      <c r="H330" s="45"/>
      <c r="I330" s="55">
        <f>SUM(E330:G330)</f>
        <v>4.6479999999999997</v>
      </c>
      <c r="J330" s="492" t="s">
        <v>141</v>
      </c>
    </row>
    <row r="331" spans="1:10" s="50" customFormat="1" ht="18" hidden="1" customHeight="1" x14ac:dyDescent="0.3">
      <c r="A331" s="133" t="s">
        <v>229</v>
      </c>
      <c r="B331" s="134"/>
      <c r="C331" s="75" t="s">
        <v>160</v>
      </c>
      <c r="D331" s="138">
        <f t="shared" si="24"/>
        <v>170.45000000000002</v>
      </c>
      <c r="E331" s="54">
        <v>13.545</v>
      </c>
      <c r="F331" s="45">
        <v>-3.3180000000000001</v>
      </c>
      <c r="G331" s="45"/>
      <c r="H331" s="45"/>
      <c r="I331" s="55">
        <f t="shared" ref="I331:I340" si="27">SUM(E331:G331)</f>
        <v>10.227</v>
      </c>
      <c r="J331" s="492" t="s">
        <v>141</v>
      </c>
    </row>
    <row r="332" spans="1:10" s="50" customFormat="1" ht="18" hidden="1" customHeight="1" x14ac:dyDescent="0.3">
      <c r="A332" s="133" t="s">
        <v>230</v>
      </c>
      <c r="B332" s="134"/>
      <c r="C332" s="75" t="s">
        <v>160</v>
      </c>
      <c r="D332" s="138">
        <f t="shared" si="24"/>
        <v>77.88333333333334</v>
      </c>
      <c r="E332" s="54">
        <v>5.6820000000000004</v>
      </c>
      <c r="F332" s="45">
        <v>-1.0089999999999999</v>
      </c>
      <c r="G332" s="45"/>
      <c r="H332" s="45"/>
      <c r="I332" s="55">
        <f t="shared" si="27"/>
        <v>4.673</v>
      </c>
      <c r="J332" s="492" t="s">
        <v>141</v>
      </c>
    </row>
    <row r="333" spans="1:10" s="50" customFormat="1" ht="18" hidden="1" customHeight="1" x14ac:dyDescent="0.3">
      <c r="A333" s="133" t="s">
        <v>231</v>
      </c>
      <c r="B333" s="134"/>
      <c r="C333" s="75" t="s">
        <v>160</v>
      </c>
      <c r="D333" s="138">
        <f t="shared" si="24"/>
        <v>133.5</v>
      </c>
      <c r="E333" s="54">
        <v>10.789</v>
      </c>
      <c r="F333" s="45">
        <v>-2.7789999999999999</v>
      </c>
      <c r="G333" s="45"/>
      <c r="H333" s="45"/>
      <c r="I333" s="55">
        <f t="shared" si="27"/>
        <v>8.01</v>
      </c>
      <c r="J333" s="492" t="s">
        <v>141</v>
      </c>
    </row>
    <row r="334" spans="1:10" s="50" customFormat="1" ht="18" hidden="1" customHeight="1" x14ac:dyDescent="0.3">
      <c r="A334" s="133" t="s">
        <v>232</v>
      </c>
      <c r="B334" s="134"/>
      <c r="C334" s="75" t="s">
        <v>160</v>
      </c>
      <c r="D334" s="138">
        <f t="shared" si="24"/>
        <v>89.316666666666663</v>
      </c>
      <c r="E334" s="54">
        <v>7.2649999999999997</v>
      </c>
      <c r="F334" s="45">
        <v>-1.9059999999999999</v>
      </c>
      <c r="G334" s="45"/>
      <c r="H334" s="45"/>
      <c r="I334" s="55">
        <f t="shared" si="27"/>
        <v>5.359</v>
      </c>
      <c r="J334" s="492" t="s">
        <v>141</v>
      </c>
    </row>
    <row r="335" spans="1:10" s="50" customFormat="1" ht="18" hidden="1" customHeight="1" x14ac:dyDescent="0.3">
      <c r="A335" s="133" t="s">
        <v>233</v>
      </c>
      <c r="B335" s="134"/>
      <c r="C335" s="75" t="s">
        <v>160</v>
      </c>
      <c r="D335" s="138">
        <f t="shared" si="24"/>
        <v>223.78333333333333</v>
      </c>
      <c r="E335" s="54">
        <v>15.977</v>
      </c>
      <c r="F335" s="45">
        <v>-2.5499999999999998</v>
      </c>
      <c r="G335" s="45"/>
      <c r="H335" s="45"/>
      <c r="I335" s="55">
        <f t="shared" si="27"/>
        <v>13.427</v>
      </c>
      <c r="J335" s="492" t="s">
        <v>141</v>
      </c>
    </row>
    <row r="336" spans="1:10" s="50" customFormat="1" ht="18" hidden="1" customHeight="1" x14ac:dyDescent="0.3">
      <c r="A336" s="133" t="s">
        <v>234</v>
      </c>
      <c r="B336" s="134"/>
      <c r="C336" s="75" t="s">
        <v>160</v>
      </c>
      <c r="D336" s="138">
        <f t="shared" si="24"/>
        <v>9.1833333333333318</v>
      </c>
      <c r="E336" s="54">
        <v>0.84799999999999998</v>
      </c>
      <c r="F336" s="45">
        <v>-0.29699999999999999</v>
      </c>
      <c r="G336" s="45"/>
      <c r="H336" s="45"/>
      <c r="I336" s="55">
        <f t="shared" si="27"/>
        <v>0.55099999999999993</v>
      </c>
      <c r="J336" s="492" t="s">
        <v>141</v>
      </c>
    </row>
    <row r="337" spans="1:255" s="50" customFormat="1" ht="18" hidden="1" customHeight="1" x14ac:dyDescent="0.3">
      <c r="A337" s="133" t="s">
        <v>235</v>
      </c>
      <c r="B337" s="134"/>
      <c r="C337" s="75" t="s">
        <v>160</v>
      </c>
      <c r="D337" s="138">
        <f t="shared" si="24"/>
        <v>99.95</v>
      </c>
      <c r="E337" s="54">
        <v>7.2309999999999999</v>
      </c>
      <c r="F337" s="45">
        <v>-1.234</v>
      </c>
      <c r="G337" s="45"/>
      <c r="H337" s="45"/>
      <c r="I337" s="55">
        <f t="shared" si="27"/>
        <v>5.9969999999999999</v>
      </c>
      <c r="J337" s="492" t="s">
        <v>141</v>
      </c>
    </row>
    <row r="338" spans="1:255" s="50" customFormat="1" ht="18" hidden="1" customHeight="1" x14ac:dyDescent="0.3">
      <c r="A338" s="133" t="s">
        <v>236</v>
      </c>
      <c r="B338" s="134"/>
      <c r="C338" s="75" t="s">
        <v>160</v>
      </c>
      <c r="D338" s="138">
        <f t="shared" si="24"/>
        <v>76.533333333333346</v>
      </c>
      <c r="E338" s="54">
        <v>5.798</v>
      </c>
      <c r="F338" s="45">
        <v>-1.206</v>
      </c>
      <c r="G338" s="45"/>
      <c r="H338" s="45"/>
      <c r="I338" s="55">
        <f t="shared" si="27"/>
        <v>4.5920000000000005</v>
      </c>
      <c r="J338" s="492" t="s">
        <v>141</v>
      </c>
    </row>
    <row r="339" spans="1:255" s="50" customFormat="1" ht="18" hidden="1" customHeight="1" x14ac:dyDescent="0.3">
      <c r="A339" s="133" t="s">
        <v>237</v>
      </c>
      <c r="B339" s="134"/>
      <c r="C339" s="75" t="s">
        <v>160</v>
      </c>
      <c r="D339" s="138">
        <f t="shared" si="24"/>
        <v>7.9666666666666677</v>
      </c>
      <c r="E339" s="54">
        <v>0.92400000000000004</v>
      </c>
      <c r="F339" s="45">
        <v>-0.44600000000000001</v>
      </c>
      <c r="G339" s="45"/>
      <c r="H339" s="45"/>
      <c r="I339" s="55">
        <f t="shared" si="27"/>
        <v>0.47800000000000004</v>
      </c>
      <c r="J339" s="492" t="s">
        <v>141</v>
      </c>
    </row>
    <row r="340" spans="1:255" s="50" customFormat="1" ht="18" hidden="1" customHeight="1" x14ac:dyDescent="0.3">
      <c r="A340" s="133" t="s">
        <v>238</v>
      </c>
      <c r="B340" s="134"/>
      <c r="C340" s="75" t="s">
        <v>160</v>
      </c>
      <c r="D340" s="138">
        <f t="shared" si="24"/>
        <v>336.91666666666669</v>
      </c>
      <c r="E340" s="54">
        <v>24.088000000000001</v>
      </c>
      <c r="F340" s="45">
        <v>-3.8730000000000002</v>
      </c>
      <c r="G340" s="45"/>
      <c r="H340" s="45"/>
      <c r="I340" s="55">
        <f t="shared" si="27"/>
        <v>20.215</v>
      </c>
      <c r="J340" s="492" t="s">
        <v>141</v>
      </c>
    </row>
    <row r="341" spans="1:255" s="50" customFormat="1" ht="15.75" hidden="1" customHeight="1" x14ac:dyDescent="0.3">
      <c r="A341" s="133" t="s">
        <v>239</v>
      </c>
      <c r="B341" s="52">
        <v>37083</v>
      </c>
      <c r="C341" s="53" t="s">
        <v>203</v>
      </c>
      <c r="D341" s="138">
        <f t="shared" si="24"/>
        <v>-15.100000000000001</v>
      </c>
      <c r="E341" s="54">
        <v>-0.65500000000000003</v>
      </c>
      <c r="F341" s="45">
        <v>-0.251</v>
      </c>
      <c r="G341" s="45">
        <v>0</v>
      </c>
      <c r="H341" s="45">
        <v>0</v>
      </c>
      <c r="I341" s="55">
        <f>SUM(E341:H341)</f>
        <v>-0.90600000000000003</v>
      </c>
      <c r="J341" s="492" t="s">
        <v>141</v>
      </c>
    </row>
    <row r="342" spans="1:255" s="50" customFormat="1" ht="15.75" hidden="1" customHeight="1" x14ac:dyDescent="0.3">
      <c r="A342" s="133" t="s">
        <v>240</v>
      </c>
      <c r="B342" s="52">
        <v>37083</v>
      </c>
      <c r="C342" s="53" t="s">
        <v>203</v>
      </c>
      <c r="D342" s="138">
        <f t="shared" si="24"/>
        <v>62.550000000000004</v>
      </c>
      <c r="E342" s="54">
        <v>5.0339999999999998</v>
      </c>
      <c r="F342" s="45">
        <v>-1.2809999999999999</v>
      </c>
      <c r="G342" s="45">
        <v>0</v>
      </c>
      <c r="H342" s="45">
        <v>0</v>
      </c>
      <c r="I342" s="55">
        <f>SUM(E342:H342)</f>
        <v>3.7530000000000001</v>
      </c>
      <c r="J342" s="492" t="s">
        <v>141</v>
      </c>
    </row>
    <row r="343" spans="1:255" s="50" customFormat="1" ht="15.75" hidden="1" customHeight="1" x14ac:dyDescent="0.3">
      <c r="A343" s="133" t="s">
        <v>241</v>
      </c>
      <c r="B343" s="52">
        <v>37083</v>
      </c>
      <c r="C343" s="53" t="s">
        <v>203</v>
      </c>
      <c r="D343" s="138">
        <f t="shared" si="24"/>
        <v>305.36666666666667</v>
      </c>
      <c r="E343" s="54">
        <v>21.850999999999999</v>
      </c>
      <c r="F343" s="45">
        <v>-3.5289999999999999</v>
      </c>
      <c r="G343" s="45">
        <v>0</v>
      </c>
      <c r="H343" s="45">
        <v>0</v>
      </c>
      <c r="I343" s="55">
        <f>SUM(E343:H343)</f>
        <v>18.321999999999999</v>
      </c>
      <c r="J343" s="492" t="s">
        <v>141</v>
      </c>
    </row>
    <row r="344" spans="1:255" s="62" customFormat="1" ht="15.75" hidden="1" customHeight="1" x14ac:dyDescent="0.3">
      <c r="A344" s="133" t="s">
        <v>242</v>
      </c>
      <c r="B344" s="52"/>
      <c r="C344" s="53"/>
      <c r="D344" s="138">
        <f t="shared" ref="D344:D362" si="28">I344/0.06</f>
        <v>-454.01666666666665</v>
      </c>
      <c r="E344" s="54">
        <v>-30.815000000000001</v>
      </c>
      <c r="F344" s="45">
        <v>3.5739999999999998</v>
      </c>
      <c r="G344" s="45">
        <v>0</v>
      </c>
      <c r="H344" s="45"/>
      <c r="I344" s="55">
        <v>-27.241</v>
      </c>
      <c r="J344" s="492" t="s">
        <v>141</v>
      </c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  <c r="DR344" s="50"/>
      <c r="DS344" s="50"/>
      <c r="DT344" s="50"/>
      <c r="DU344" s="50"/>
      <c r="DV344" s="50"/>
      <c r="DW344" s="50"/>
      <c r="DX344" s="50"/>
      <c r="DY344" s="50"/>
      <c r="DZ344" s="50"/>
      <c r="EA344" s="50"/>
      <c r="EB344" s="50"/>
      <c r="EC344" s="50"/>
      <c r="ED344" s="50"/>
      <c r="EE344" s="50"/>
      <c r="EF344" s="50"/>
      <c r="EG344" s="50"/>
      <c r="EH344" s="50"/>
      <c r="EI344" s="50"/>
      <c r="EJ344" s="50"/>
      <c r="EK344" s="50"/>
      <c r="EL344" s="50"/>
      <c r="EM344" s="50"/>
      <c r="EN344" s="50"/>
      <c r="EO344" s="50"/>
      <c r="EP344" s="50"/>
      <c r="EQ344" s="50"/>
      <c r="ER344" s="50"/>
      <c r="ES344" s="50"/>
      <c r="ET344" s="50"/>
      <c r="EU344" s="50"/>
      <c r="EV344" s="50"/>
      <c r="EW344" s="50"/>
      <c r="EX344" s="50"/>
      <c r="EY344" s="50"/>
      <c r="EZ344" s="50"/>
      <c r="FA344" s="50"/>
      <c r="FB344" s="50"/>
      <c r="FC344" s="50"/>
      <c r="FD344" s="50"/>
      <c r="FE344" s="50"/>
      <c r="FF344" s="50"/>
      <c r="FG344" s="50"/>
      <c r="FH344" s="50"/>
      <c r="FI344" s="50"/>
      <c r="FJ344" s="50"/>
      <c r="FK344" s="50"/>
      <c r="FL344" s="50"/>
      <c r="FM344" s="50"/>
      <c r="FN344" s="50"/>
      <c r="FO344" s="50"/>
      <c r="FP344" s="50"/>
      <c r="FQ344" s="50"/>
      <c r="FR344" s="50"/>
      <c r="FS344" s="50"/>
      <c r="FT344" s="50"/>
      <c r="FU344" s="50"/>
      <c r="FV344" s="50"/>
      <c r="FW344" s="50"/>
      <c r="FX344" s="50"/>
      <c r="FY344" s="50"/>
      <c r="FZ344" s="50"/>
      <c r="GA344" s="50"/>
      <c r="GB344" s="50"/>
      <c r="GC344" s="50"/>
      <c r="GD344" s="50"/>
      <c r="GE344" s="50"/>
      <c r="GF344" s="50"/>
      <c r="GG344" s="50"/>
      <c r="GH344" s="50"/>
      <c r="GI344" s="50"/>
      <c r="GJ344" s="50"/>
      <c r="GK344" s="50"/>
      <c r="GL344" s="50"/>
      <c r="GM344" s="50"/>
      <c r="GN344" s="50"/>
      <c r="GO344" s="50"/>
      <c r="GP344" s="50"/>
      <c r="GQ344" s="50"/>
      <c r="GR344" s="50"/>
      <c r="GS344" s="50"/>
      <c r="GT344" s="50"/>
      <c r="GU344" s="50"/>
      <c r="GV344" s="50"/>
      <c r="GW344" s="50"/>
      <c r="GX344" s="50"/>
      <c r="GY344" s="50"/>
      <c r="GZ344" s="50"/>
      <c r="HA344" s="50"/>
      <c r="HB344" s="50"/>
      <c r="HC344" s="50"/>
      <c r="HD344" s="50"/>
      <c r="HE344" s="50"/>
      <c r="HF344" s="50"/>
      <c r="HG344" s="50"/>
      <c r="HH344" s="50"/>
      <c r="HI344" s="50"/>
      <c r="HJ344" s="50"/>
      <c r="HK344" s="50"/>
      <c r="HL344" s="50"/>
      <c r="HM344" s="50"/>
      <c r="HN344" s="50"/>
      <c r="HO344" s="50"/>
      <c r="HP344" s="50"/>
      <c r="HQ344" s="50"/>
      <c r="HR344" s="50"/>
      <c r="HS344" s="50"/>
      <c r="HT344" s="50"/>
      <c r="HU344" s="50"/>
      <c r="HV344" s="50"/>
      <c r="HW344" s="50"/>
      <c r="HX344" s="50"/>
      <c r="HY344" s="50"/>
      <c r="HZ344" s="50"/>
      <c r="IA344" s="50"/>
      <c r="IB344" s="50"/>
      <c r="IC344" s="50"/>
      <c r="ID344" s="50"/>
      <c r="IE344" s="50"/>
      <c r="IF344" s="50"/>
      <c r="IG344" s="50"/>
      <c r="IH344" s="50"/>
      <c r="II344" s="50"/>
      <c r="IJ344" s="50"/>
      <c r="IK344" s="50"/>
      <c r="IL344" s="50"/>
      <c r="IM344" s="50"/>
      <c r="IN344" s="50"/>
      <c r="IO344" s="50"/>
      <c r="IP344" s="50"/>
      <c r="IQ344" s="50"/>
      <c r="IR344" s="50"/>
      <c r="IS344" s="50"/>
      <c r="IT344" s="50"/>
      <c r="IU344" s="50"/>
    </row>
    <row r="345" spans="1:255" s="62" customFormat="1" ht="15.75" hidden="1" customHeight="1" x14ac:dyDescent="0.3">
      <c r="A345" s="133" t="s">
        <v>243</v>
      </c>
      <c r="B345" s="52"/>
      <c r="C345" s="53"/>
      <c r="D345" s="138">
        <f t="shared" si="28"/>
        <v>-3.2166666666666677</v>
      </c>
      <c r="E345" s="54">
        <v>-0.89300000000000002</v>
      </c>
      <c r="F345" s="45">
        <v>0.7</v>
      </c>
      <c r="G345" s="45">
        <v>0</v>
      </c>
      <c r="H345" s="45"/>
      <c r="I345" s="55">
        <v>-0.19300000000000006</v>
      </c>
      <c r="J345" s="492" t="s">
        <v>141</v>
      </c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  <c r="DR345" s="50"/>
      <c r="DS345" s="50"/>
      <c r="DT345" s="50"/>
      <c r="DU345" s="50"/>
      <c r="DV345" s="50"/>
      <c r="DW345" s="50"/>
      <c r="DX345" s="50"/>
      <c r="DY345" s="50"/>
      <c r="DZ345" s="50"/>
      <c r="EA345" s="50"/>
      <c r="EB345" s="50"/>
      <c r="EC345" s="50"/>
      <c r="ED345" s="50"/>
      <c r="EE345" s="50"/>
      <c r="EF345" s="50"/>
      <c r="EG345" s="50"/>
      <c r="EH345" s="50"/>
      <c r="EI345" s="50"/>
      <c r="EJ345" s="50"/>
      <c r="EK345" s="50"/>
      <c r="EL345" s="50"/>
      <c r="EM345" s="50"/>
      <c r="EN345" s="50"/>
      <c r="EO345" s="50"/>
      <c r="EP345" s="50"/>
      <c r="EQ345" s="50"/>
      <c r="ER345" s="50"/>
      <c r="ES345" s="50"/>
      <c r="ET345" s="50"/>
      <c r="EU345" s="50"/>
      <c r="EV345" s="50"/>
      <c r="EW345" s="50"/>
      <c r="EX345" s="50"/>
      <c r="EY345" s="50"/>
      <c r="EZ345" s="50"/>
      <c r="FA345" s="50"/>
      <c r="FB345" s="50"/>
      <c r="FC345" s="50"/>
      <c r="FD345" s="50"/>
      <c r="FE345" s="50"/>
      <c r="FF345" s="50"/>
      <c r="FG345" s="50"/>
      <c r="FH345" s="50"/>
      <c r="FI345" s="50"/>
      <c r="FJ345" s="50"/>
      <c r="FK345" s="50"/>
      <c r="FL345" s="50"/>
      <c r="FM345" s="50"/>
      <c r="FN345" s="50"/>
      <c r="FO345" s="50"/>
      <c r="FP345" s="50"/>
      <c r="FQ345" s="50"/>
      <c r="FR345" s="50"/>
      <c r="FS345" s="50"/>
      <c r="FT345" s="50"/>
      <c r="FU345" s="50"/>
      <c r="FV345" s="50"/>
      <c r="FW345" s="50"/>
      <c r="FX345" s="50"/>
      <c r="FY345" s="50"/>
      <c r="FZ345" s="50"/>
      <c r="GA345" s="50"/>
      <c r="GB345" s="50"/>
      <c r="GC345" s="50"/>
      <c r="GD345" s="50"/>
      <c r="GE345" s="50"/>
      <c r="GF345" s="50"/>
      <c r="GG345" s="50"/>
      <c r="GH345" s="50"/>
      <c r="GI345" s="50"/>
      <c r="GJ345" s="50"/>
      <c r="GK345" s="50"/>
      <c r="GL345" s="50"/>
      <c r="GM345" s="50"/>
      <c r="GN345" s="50"/>
      <c r="GO345" s="50"/>
      <c r="GP345" s="50"/>
      <c r="GQ345" s="50"/>
      <c r="GR345" s="50"/>
      <c r="GS345" s="50"/>
      <c r="GT345" s="50"/>
      <c r="GU345" s="50"/>
      <c r="GV345" s="50"/>
      <c r="GW345" s="50"/>
      <c r="GX345" s="50"/>
      <c r="GY345" s="50"/>
      <c r="GZ345" s="50"/>
      <c r="HA345" s="50"/>
      <c r="HB345" s="50"/>
      <c r="HC345" s="50"/>
      <c r="HD345" s="50"/>
      <c r="HE345" s="50"/>
      <c r="HF345" s="50"/>
      <c r="HG345" s="50"/>
      <c r="HH345" s="50"/>
      <c r="HI345" s="50"/>
      <c r="HJ345" s="50"/>
      <c r="HK345" s="50"/>
      <c r="HL345" s="50"/>
      <c r="HM345" s="50"/>
      <c r="HN345" s="50"/>
      <c r="HO345" s="50"/>
      <c r="HP345" s="50"/>
      <c r="HQ345" s="50"/>
      <c r="HR345" s="50"/>
      <c r="HS345" s="50"/>
      <c r="HT345" s="50"/>
      <c r="HU345" s="50"/>
      <c r="HV345" s="50"/>
      <c r="HW345" s="50"/>
      <c r="HX345" s="50"/>
      <c r="HY345" s="50"/>
      <c r="HZ345" s="50"/>
      <c r="IA345" s="50"/>
      <c r="IB345" s="50"/>
      <c r="IC345" s="50"/>
      <c r="ID345" s="50"/>
      <c r="IE345" s="50"/>
      <c r="IF345" s="50"/>
      <c r="IG345" s="50"/>
      <c r="IH345" s="50"/>
      <c r="II345" s="50"/>
      <c r="IJ345" s="50"/>
      <c r="IK345" s="50"/>
      <c r="IL345" s="50"/>
      <c r="IM345" s="50"/>
      <c r="IN345" s="50"/>
      <c r="IO345" s="50"/>
      <c r="IP345" s="50"/>
      <c r="IQ345" s="50"/>
      <c r="IR345" s="50"/>
      <c r="IS345" s="50"/>
      <c r="IT345" s="50"/>
      <c r="IU345" s="50"/>
    </row>
    <row r="346" spans="1:255" s="62" customFormat="1" ht="15.75" hidden="1" customHeight="1" x14ac:dyDescent="0.3">
      <c r="A346" s="133" t="s">
        <v>244</v>
      </c>
      <c r="B346" s="52"/>
      <c r="C346" s="53"/>
      <c r="D346" s="138">
        <f t="shared" si="28"/>
        <v>-224.91666666666666</v>
      </c>
      <c r="E346" s="54">
        <v>-15.071</v>
      </c>
      <c r="F346" s="45">
        <v>1.5760000000000001</v>
      </c>
      <c r="G346" s="45">
        <v>0</v>
      </c>
      <c r="H346" s="45"/>
      <c r="I346" s="55">
        <v>-13.494999999999999</v>
      </c>
      <c r="J346" s="492" t="s">
        <v>141</v>
      </c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  <c r="DJ346" s="50"/>
      <c r="DK346" s="50"/>
      <c r="DL346" s="50"/>
      <c r="DM346" s="50"/>
      <c r="DN346" s="50"/>
      <c r="DO346" s="50"/>
      <c r="DP346" s="50"/>
      <c r="DQ346" s="50"/>
      <c r="DR346" s="50"/>
      <c r="DS346" s="50"/>
      <c r="DT346" s="50"/>
      <c r="DU346" s="50"/>
      <c r="DV346" s="50"/>
      <c r="DW346" s="50"/>
      <c r="DX346" s="50"/>
      <c r="DY346" s="50"/>
      <c r="DZ346" s="50"/>
      <c r="EA346" s="50"/>
      <c r="EB346" s="50"/>
      <c r="EC346" s="50"/>
      <c r="ED346" s="50"/>
      <c r="EE346" s="50"/>
      <c r="EF346" s="50"/>
      <c r="EG346" s="50"/>
      <c r="EH346" s="50"/>
      <c r="EI346" s="50"/>
      <c r="EJ346" s="50"/>
      <c r="EK346" s="50"/>
      <c r="EL346" s="50"/>
      <c r="EM346" s="50"/>
      <c r="EN346" s="50"/>
      <c r="EO346" s="50"/>
      <c r="EP346" s="50"/>
      <c r="EQ346" s="50"/>
      <c r="ER346" s="50"/>
      <c r="ES346" s="50"/>
      <c r="ET346" s="50"/>
      <c r="EU346" s="50"/>
      <c r="EV346" s="50"/>
      <c r="EW346" s="50"/>
      <c r="EX346" s="50"/>
      <c r="EY346" s="50"/>
      <c r="EZ346" s="50"/>
      <c r="FA346" s="50"/>
      <c r="FB346" s="50"/>
      <c r="FC346" s="50"/>
      <c r="FD346" s="50"/>
      <c r="FE346" s="50"/>
      <c r="FF346" s="50"/>
      <c r="FG346" s="50"/>
      <c r="FH346" s="50"/>
      <c r="FI346" s="50"/>
      <c r="FJ346" s="50"/>
      <c r="FK346" s="50"/>
      <c r="FL346" s="50"/>
      <c r="FM346" s="50"/>
      <c r="FN346" s="50"/>
      <c r="FO346" s="50"/>
      <c r="FP346" s="50"/>
      <c r="FQ346" s="50"/>
      <c r="FR346" s="50"/>
      <c r="FS346" s="50"/>
      <c r="FT346" s="50"/>
      <c r="FU346" s="50"/>
      <c r="FV346" s="50"/>
      <c r="FW346" s="50"/>
      <c r="FX346" s="50"/>
      <c r="FY346" s="50"/>
      <c r="FZ346" s="50"/>
      <c r="GA346" s="50"/>
      <c r="GB346" s="50"/>
      <c r="GC346" s="50"/>
      <c r="GD346" s="50"/>
      <c r="GE346" s="50"/>
      <c r="GF346" s="50"/>
      <c r="GG346" s="50"/>
      <c r="GH346" s="50"/>
      <c r="GI346" s="50"/>
      <c r="GJ346" s="50"/>
      <c r="GK346" s="50"/>
      <c r="GL346" s="50"/>
      <c r="GM346" s="50"/>
      <c r="GN346" s="50"/>
      <c r="GO346" s="50"/>
      <c r="GP346" s="50"/>
      <c r="GQ346" s="50"/>
      <c r="GR346" s="50"/>
      <c r="GS346" s="50"/>
      <c r="GT346" s="50"/>
      <c r="GU346" s="50"/>
      <c r="GV346" s="50"/>
      <c r="GW346" s="50"/>
      <c r="GX346" s="50"/>
      <c r="GY346" s="50"/>
      <c r="GZ346" s="50"/>
      <c r="HA346" s="50"/>
      <c r="HB346" s="50"/>
      <c r="HC346" s="50"/>
      <c r="HD346" s="50"/>
      <c r="HE346" s="50"/>
      <c r="HF346" s="50"/>
      <c r="HG346" s="50"/>
      <c r="HH346" s="50"/>
      <c r="HI346" s="50"/>
      <c r="HJ346" s="50"/>
      <c r="HK346" s="50"/>
      <c r="HL346" s="50"/>
      <c r="HM346" s="50"/>
      <c r="HN346" s="50"/>
      <c r="HO346" s="50"/>
      <c r="HP346" s="50"/>
      <c r="HQ346" s="50"/>
      <c r="HR346" s="50"/>
      <c r="HS346" s="50"/>
      <c r="HT346" s="50"/>
      <c r="HU346" s="50"/>
      <c r="HV346" s="50"/>
      <c r="HW346" s="50"/>
      <c r="HX346" s="50"/>
      <c r="HY346" s="50"/>
      <c r="HZ346" s="50"/>
      <c r="IA346" s="50"/>
      <c r="IB346" s="50"/>
      <c r="IC346" s="50"/>
      <c r="ID346" s="50"/>
      <c r="IE346" s="50"/>
      <c r="IF346" s="50"/>
      <c r="IG346" s="50"/>
      <c r="IH346" s="50"/>
      <c r="II346" s="50"/>
      <c r="IJ346" s="50"/>
      <c r="IK346" s="50"/>
      <c r="IL346" s="50"/>
      <c r="IM346" s="50"/>
      <c r="IN346" s="50"/>
      <c r="IO346" s="50"/>
      <c r="IP346" s="50"/>
      <c r="IQ346" s="50"/>
      <c r="IR346" s="50"/>
      <c r="IS346" s="50"/>
      <c r="IT346" s="50"/>
      <c r="IU346" s="50"/>
    </row>
    <row r="347" spans="1:255" s="62" customFormat="1" ht="15.75" hidden="1" customHeight="1" x14ac:dyDescent="0.3">
      <c r="A347" s="133" t="s">
        <v>245</v>
      </c>
      <c r="B347" s="52"/>
      <c r="C347" s="53"/>
      <c r="D347" s="138">
        <f t="shared" si="28"/>
        <v>130.38333333333335</v>
      </c>
      <c r="E347" s="54">
        <v>9.3680000000000003</v>
      </c>
      <c r="F347" s="45">
        <v>-1.5449999999999999</v>
      </c>
      <c r="G347" s="45">
        <v>0</v>
      </c>
      <c r="H347" s="45"/>
      <c r="I347" s="55">
        <v>7.8230000000000004</v>
      </c>
      <c r="J347" s="492" t="s">
        <v>141</v>
      </c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  <c r="DJ347" s="50"/>
      <c r="DK347" s="50"/>
      <c r="DL347" s="50"/>
      <c r="DM347" s="50"/>
      <c r="DN347" s="50"/>
      <c r="DO347" s="50"/>
      <c r="DP347" s="50"/>
      <c r="DQ347" s="50"/>
      <c r="DR347" s="50"/>
      <c r="DS347" s="50"/>
      <c r="DT347" s="50"/>
      <c r="DU347" s="50"/>
      <c r="DV347" s="50"/>
      <c r="DW347" s="50"/>
      <c r="DX347" s="50"/>
      <c r="DY347" s="50"/>
      <c r="DZ347" s="50"/>
      <c r="EA347" s="50"/>
      <c r="EB347" s="50"/>
      <c r="EC347" s="50"/>
      <c r="ED347" s="50"/>
      <c r="EE347" s="50"/>
      <c r="EF347" s="50"/>
      <c r="EG347" s="50"/>
      <c r="EH347" s="50"/>
      <c r="EI347" s="50"/>
      <c r="EJ347" s="50"/>
      <c r="EK347" s="50"/>
      <c r="EL347" s="50"/>
      <c r="EM347" s="50"/>
      <c r="EN347" s="50"/>
      <c r="EO347" s="50"/>
      <c r="EP347" s="50"/>
      <c r="EQ347" s="50"/>
      <c r="ER347" s="50"/>
      <c r="ES347" s="50"/>
      <c r="ET347" s="50"/>
      <c r="EU347" s="50"/>
      <c r="EV347" s="50"/>
      <c r="EW347" s="50"/>
      <c r="EX347" s="50"/>
      <c r="EY347" s="50"/>
      <c r="EZ347" s="50"/>
      <c r="FA347" s="50"/>
      <c r="FB347" s="50"/>
      <c r="FC347" s="50"/>
      <c r="FD347" s="50"/>
      <c r="FE347" s="50"/>
      <c r="FF347" s="50"/>
      <c r="FG347" s="50"/>
      <c r="FH347" s="50"/>
      <c r="FI347" s="50"/>
      <c r="FJ347" s="50"/>
      <c r="FK347" s="50"/>
      <c r="FL347" s="50"/>
      <c r="FM347" s="50"/>
      <c r="FN347" s="50"/>
      <c r="FO347" s="50"/>
      <c r="FP347" s="50"/>
      <c r="FQ347" s="50"/>
      <c r="FR347" s="50"/>
      <c r="FS347" s="50"/>
      <c r="FT347" s="50"/>
      <c r="FU347" s="50"/>
      <c r="FV347" s="50"/>
      <c r="FW347" s="50"/>
      <c r="FX347" s="50"/>
      <c r="FY347" s="50"/>
      <c r="FZ347" s="50"/>
      <c r="GA347" s="50"/>
      <c r="GB347" s="50"/>
      <c r="GC347" s="50"/>
      <c r="GD347" s="50"/>
      <c r="GE347" s="50"/>
      <c r="GF347" s="50"/>
      <c r="GG347" s="50"/>
      <c r="GH347" s="50"/>
      <c r="GI347" s="50"/>
      <c r="GJ347" s="50"/>
      <c r="GK347" s="50"/>
      <c r="GL347" s="50"/>
      <c r="GM347" s="50"/>
      <c r="GN347" s="50"/>
      <c r="GO347" s="50"/>
      <c r="GP347" s="50"/>
      <c r="GQ347" s="50"/>
      <c r="GR347" s="50"/>
      <c r="GS347" s="50"/>
      <c r="GT347" s="50"/>
      <c r="GU347" s="50"/>
      <c r="GV347" s="50"/>
      <c r="GW347" s="50"/>
      <c r="GX347" s="50"/>
      <c r="GY347" s="50"/>
      <c r="GZ347" s="50"/>
      <c r="HA347" s="50"/>
      <c r="HB347" s="50"/>
      <c r="HC347" s="50"/>
      <c r="HD347" s="50"/>
      <c r="HE347" s="50"/>
      <c r="HF347" s="50"/>
      <c r="HG347" s="50"/>
      <c r="HH347" s="50"/>
      <c r="HI347" s="50"/>
      <c r="HJ347" s="50"/>
      <c r="HK347" s="50"/>
      <c r="HL347" s="50"/>
      <c r="HM347" s="50"/>
      <c r="HN347" s="50"/>
      <c r="HO347" s="50"/>
      <c r="HP347" s="50"/>
      <c r="HQ347" s="50"/>
      <c r="HR347" s="50"/>
      <c r="HS347" s="50"/>
      <c r="HT347" s="50"/>
      <c r="HU347" s="50"/>
      <c r="HV347" s="50"/>
      <c r="HW347" s="50"/>
      <c r="HX347" s="50"/>
      <c r="HY347" s="50"/>
      <c r="HZ347" s="50"/>
      <c r="IA347" s="50"/>
      <c r="IB347" s="50"/>
      <c r="IC347" s="50"/>
      <c r="ID347" s="50"/>
      <c r="IE347" s="50"/>
      <c r="IF347" s="50"/>
      <c r="IG347" s="50"/>
      <c r="IH347" s="50"/>
      <c r="II347" s="50"/>
      <c r="IJ347" s="50"/>
      <c r="IK347" s="50"/>
      <c r="IL347" s="50"/>
      <c r="IM347" s="50"/>
      <c r="IN347" s="50"/>
      <c r="IO347" s="50"/>
      <c r="IP347" s="50"/>
      <c r="IQ347" s="50"/>
      <c r="IR347" s="50"/>
      <c r="IS347" s="50"/>
      <c r="IT347" s="50"/>
      <c r="IU347" s="50"/>
    </row>
    <row r="348" spans="1:255" s="62" customFormat="1" ht="15.75" hidden="1" customHeight="1" x14ac:dyDescent="0.3">
      <c r="A348" s="133" t="s">
        <v>246</v>
      </c>
      <c r="B348" s="52"/>
      <c r="C348" s="53"/>
      <c r="D348" s="138">
        <f t="shared" si="28"/>
        <v>140.88333333333335</v>
      </c>
      <c r="E348" s="54">
        <v>10.473000000000001</v>
      </c>
      <c r="F348" s="45">
        <v>-2.02</v>
      </c>
      <c r="G348" s="45">
        <v>0</v>
      </c>
      <c r="H348" s="45"/>
      <c r="I348" s="55">
        <v>8.4530000000000012</v>
      </c>
      <c r="J348" s="492" t="s">
        <v>141</v>
      </c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  <c r="DJ348" s="50"/>
      <c r="DK348" s="50"/>
      <c r="DL348" s="50"/>
      <c r="DM348" s="50"/>
      <c r="DN348" s="50"/>
      <c r="DO348" s="50"/>
      <c r="DP348" s="50"/>
      <c r="DQ348" s="50"/>
      <c r="DR348" s="50"/>
      <c r="DS348" s="50"/>
      <c r="DT348" s="50"/>
      <c r="DU348" s="50"/>
      <c r="DV348" s="50"/>
      <c r="DW348" s="50"/>
      <c r="DX348" s="50"/>
      <c r="DY348" s="50"/>
      <c r="DZ348" s="50"/>
      <c r="EA348" s="50"/>
      <c r="EB348" s="50"/>
      <c r="EC348" s="50"/>
      <c r="ED348" s="50"/>
      <c r="EE348" s="50"/>
      <c r="EF348" s="50"/>
      <c r="EG348" s="50"/>
      <c r="EH348" s="50"/>
      <c r="EI348" s="50"/>
      <c r="EJ348" s="50"/>
      <c r="EK348" s="50"/>
      <c r="EL348" s="50"/>
      <c r="EM348" s="50"/>
      <c r="EN348" s="50"/>
      <c r="EO348" s="50"/>
      <c r="EP348" s="50"/>
      <c r="EQ348" s="50"/>
      <c r="ER348" s="50"/>
      <c r="ES348" s="50"/>
      <c r="ET348" s="50"/>
      <c r="EU348" s="50"/>
      <c r="EV348" s="50"/>
      <c r="EW348" s="50"/>
      <c r="EX348" s="50"/>
      <c r="EY348" s="50"/>
      <c r="EZ348" s="50"/>
      <c r="FA348" s="50"/>
      <c r="FB348" s="50"/>
      <c r="FC348" s="50"/>
      <c r="FD348" s="50"/>
      <c r="FE348" s="50"/>
      <c r="FF348" s="50"/>
      <c r="FG348" s="50"/>
      <c r="FH348" s="50"/>
      <c r="FI348" s="50"/>
      <c r="FJ348" s="50"/>
      <c r="FK348" s="50"/>
      <c r="FL348" s="50"/>
      <c r="FM348" s="50"/>
      <c r="FN348" s="50"/>
      <c r="FO348" s="50"/>
      <c r="FP348" s="50"/>
      <c r="FQ348" s="50"/>
      <c r="FR348" s="50"/>
      <c r="FS348" s="50"/>
      <c r="FT348" s="50"/>
      <c r="FU348" s="50"/>
      <c r="FV348" s="50"/>
      <c r="FW348" s="50"/>
      <c r="FX348" s="50"/>
      <c r="FY348" s="50"/>
      <c r="FZ348" s="50"/>
      <c r="GA348" s="50"/>
      <c r="GB348" s="50"/>
      <c r="GC348" s="50"/>
      <c r="GD348" s="50"/>
      <c r="GE348" s="50"/>
      <c r="GF348" s="50"/>
      <c r="GG348" s="50"/>
      <c r="GH348" s="50"/>
      <c r="GI348" s="50"/>
      <c r="GJ348" s="50"/>
      <c r="GK348" s="50"/>
      <c r="GL348" s="50"/>
      <c r="GM348" s="50"/>
      <c r="GN348" s="50"/>
      <c r="GO348" s="50"/>
      <c r="GP348" s="50"/>
      <c r="GQ348" s="50"/>
      <c r="GR348" s="50"/>
      <c r="GS348" s="50"/>
      <c r="GT348" s="50"/>
      <c r="GU348" s="50"/>
      <c r="GV348" s="50"/>
      <c r="GW348" s="50"/>
      <c r="GX348" s="50"/>
      <c r="GY348" s="50"/>
      <c r="GZ348" s="50"/>
      <c r="HA348" s="50"/>
      <c r="HB348" s="50"/>
      <c r="HC348" s="50"/>
      <c r="HD348" s="50"/>
      <c r="HE348" s="50"/>
      <c r="HF348" s="50"/>
      <c r="HG348" s="50"/>
      <c r="HH348" s="50"/>
      <c r="HI348" s="50"/>
      <c r="HJ348" s="50"/>
      <c r="HK348" s="50"/>
      <c r="HL348" s="50"/>
      <c r="HM348" s="50"/>
      <c r="HN348" s="50"/>
      <c r="HO348" s="50"/>
      <c r="HP348" s="50"/>
      <c r="HQ348" s="50"/>
      <c r="HR348" s="50"/>
      <c r="HS348" s="50"/>
      <c r="HT348" s="50"/>
      <c r="HU348" s="50"/>
      <c r="HV348" s="50"/>
      <c r="HW348" s="50"/>
      <c r="HX348" s="50"/>
      <c r="HY348" s="50"/>
      <c r="HZ348" s="50"/>
      <c r="IA348" s="50"/>
      <c r="IB348" s="50"/>
      <c r="IC348" s="50"/>
      <c r="ID348" s="50"/>
      <c r="IE348" s="50"/>
      <c r="IF348" s="50"/>
      <c r="IG348" s="50"/>
      <c r="IH348" s="50"/>
      <c r="II348" s="50"/>
      <c r="IJ348" s="50"/>
      <c r="IK348" s="50"/>
      <c r="IL348" s="50"/>
      <c r="IM348" s="50"/>
      <c r="IN348" s="50"/>
      <c r="IO348" s="50"/>
      <c r="IP348" s="50"/>
      <c r="IQ348" s="50"/>
      <c r="IR348" s="50"/>
      <c r="IS348" s="50"/>
      <c r="IT348" s="50"/>
      <c r="IU348" s="50"/>
    </row>
    <row r="349" spans="1:255" s="62" customFormat="1" ht="15.75" hidden="1" customHeight="1" x14ac:dyDescent="0.3">
      <c r="A349" s="133" t="s">
        <v>247</v>
      </c>
      <c r="B349" s="52"/>
      <c r="C349" s="53"/>
      <c r="D349" s="138">
        <f t="shared" si="28"/>
        <v>203.18333333333334</v>
      </c>
      <c r="E349" s="54">
        <v>15.087999999999999</v>
      </c>
      <c r="F349" s="45">
        <v>-2.8969999999999998</v>
      </c>
      <c r="G349" s="45">
        <v>0</v>
      </c>
      <c r="H349" s="45"/>
      <c r="I349" s="55">
        <v>12.190999999999999</v>
      </c>
      <c r="J349" s="492" t="s">
        <v>141</v>
      </c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  <c r="DJ349" s="50"/>
      <c r="DK349" s="50"/>
      <c r="DL349" s="50"/>
      <c r="DM349" s="50"/>
      <c r="DN349" s="50"/>
      <c r="DO349" s="50"/>
      <c r="DP349" s="50"/>
      <c r="DQ349" s="50"/>
      <c r="DR349" s="50"/>
      <c r="DS349" s="50"/>
      <c r="DT349" s="50"/>
      <c r="DU349" s="50"/>
      <c r="DV349" s="50"/>
      <c r="DW349" s="50"/>
      <c r="DX349" s="50"/>
      <c r="DY349" s="50"/>
      <c r="DZ349" s="50"/>
      <c r="EA349" s="50"/>
      <c r="EB349" s="50"/>
      <c r="EC349" s="50"/>
      <c r="ED349" s="50"/>
      <c r="EE349" s="50"/>
      <c r="EF349" s="50"/>
      <c r="EG349" s="50"/>
      <c r="EH349" s="50"/>
      <c r="EI349" s="50"/>
      <c r="EJ349" s="50"/>
      <c r="EK349" s="50"/>
      <c r="EL349" s="50"/>
      <c r="EM349" s="50"/>
      <c r="EN349" s="50"/>
      <c r="EO349" s="50"/>
      <c r="EP349" s="50"/>
      <c r="EQ349" s="50"/>
      <c r="ER349" s="50"/>
      <c r="ES349" s="50"/>
      <c r="ET349" s="50"/>
      <c r="EU349" s="50"/>
      <c r="EV349" s="50"/>
      <c r="EW349" s="50"/>
      <c r="EX349" s="50"/>
      <c r="EY349" s="50"/>
      <c r="EZ349" s="50"/>
      <c r="FA349" s="50"/>
      <c r="FB349" s="50"/>
      <c r="FC349" s="50"/>
      <c r="FD349" s="50"/>
      <c r="FE349" s="50"/>
      <c r="FF349" s="50"/>
      <c r="FG349" s="50"/>
      <c r="FH349" s="50"/>
      <c r="FI349" s="50"/>
      <c r="FJ349" s="50"/>
      <c r="FK349" s="50"/>
      <c r="FL349" s="50"/>
      <c r="FM349" s="50"/>
      <c r="FN349" s="50"/>
      <c r="FO349" s="50"/>
      <c r="FP349" s="50"/>
      <c r="FQ349" s="50"/>
      <c r="FR349" s="50"/>
      <c r="FS349" s="50"/>
      <c r="FT349" s="50"/>
      <c r="FU349" s="50"/>
      <c r="FV349" s="50"/>
      <c r="FW349" s="50"/>
      <c r="FX349" s="50"/>
      <c r="FY349" s="50"/>
      <c r="FZ349" s="50"/>
      <c r="GA349" s="50"/>
      <c r="GB349" s="50"/>
      <c r="GC349" s="50"/>
      <c r="GD349" s="50"/>
      <c r="GE349" s="50"/>
      <c r="GF349" s="50"/>
      <c r="GG349" s="50"/>
      <c r="GH349" s="50"/>
      <c r="GI349" s="50"/>
      <c r="GJ349" s="50"/>
      <c r="GK349" s="50"/>
      <c r="GL349" s="50"/>
      <c r="GM349" s="50"/>
      <c r="GN349" s="50"/>
      <c r="GO349" s="50"/>
      <c r="GP349" s="50"/>
      <c r="GQ349" s="50"/>
      <c r="GR349" s="50"/>
      <c r="GS349" s="50"/>
      <c r="GT349" s="50"/>
      <c r="GU349" s="50"/>
      <c r="GV349" s="50"/>
      <c r="GW349" s="50"/>
      <c r="GX349" s="50"/>
      <c r="GY349" s="50"/>
      <c r="GZ349" s="50"/>
      <c r="HA349" s="50"/>
      <c r="HB349" s="50"/>
      <c r="HC349" s="50"/>
      <c r="HD349" s="50"/>
      <c r="HE349" s="50"/>
      <c r="HF349" s="50"/>
      <c r="HG349" s="50"/>
      <c r="HH349" s="50"/>
      <c r="HI349" s="50"/>
      <c r="HJ349" s="50"/>
      <c r="HK349" s="50"/>
      <c r="HL349" s="50"/>
      <c r="HM349" s="50"/>
      <c r="HN349" s="50"/>
      <c r="HO349" s="50"/>
      <c r="HP349" s="50"/>
      <c r="HQ349" s="50"/>
      <c r="HR349" s="50"/>
      <c r="HS349" s="50"/>
      <c r="HT349" s="50"/>
      <c r="HU349" s="50"/>
      <c r="HV349" s="50"/>
      <c r="HW349" s="50"/>
      <c r="HX349" s="50"/>
      <c r="HY349" s="50"/>
      <c r="HZ349" s="50"/>
      <c r="IA349" s="50"/>
      <c r="IB349" s="50"/>
      <c r="IC349" s="50"/>
      <c r="ID349" s="50"/>
      <c r="IE349" s="50"/>
      <c r="IF349" s="50"/>
      <c r="IG349" s="50"/>
      <c r="IH349" s="50"/>
      <c r="II349" s="50"/>
      <c r="IJ349" s="50"/>
      <c r="IK349" s="50"/>
      <c r="IL349" s="50"/>
      <c r="IM349" s="50"/>
      <c r="IN349" s="50"/>
      <c r="IO349" s="50"/>
      <c r="IP349" s="50"/>
      <c r="IQ349" s="50"/>
      <c r="IR349" s="50"/>
      <c r="IS349" s="50"/>
      <c r="IT349" s="50"/>
      <c r="IU349" s="50"/>
    </row>
    <row r="350" spans="1:255" s="62" customFormat="1" ht="15.75" hidden="1" customHeight="1" x14ac:dyDescent="0.3">
      <c r="A350" s="133" t="s">
        <v>248</v>
      </c>
      <c r="B350" s="52"/>
      <c r="C350" s="53"/>
      <c r="D350" s="138">
        <f t="shared" si="28"/>
        <v>518.81666666666661</v>
      </c>
      <c r="E350" s="54">
        <v>36.777999999999999</v>
      </c>
      <c r="F350" s="45">
        <v>-5.649</v>
      </c>
      <c r="G350" s="45">
        <v>0</v>
      </c>
      <c r="H350" s="45"/>
      <c r="I350" s="55">
        <v>31.128999999999998</v>
      </c>
      <c r="J350" s="492" t="s">
        <v>141</v>
      </c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  <c r="DJ350" s="50"/>
      <c r="DK350" s="50"/>
      <c r="DL350" s="50"/>
      <c r="DM350" s="50"/>
      <c r="DN350" s="50"/>
      <c r="DO350" s="50"/>
      <c r="DP350" s="50"/>
      <c r="DQ350" s="50"/>
      <c r="DR350" s="50"/>
      <c r="DS350" s="50"/>
      <c r="DT350" s="50"/>
      <c r="DU350" s="50"/>
      <c r="DV350" s="50"/>
      <c r="DW350" s="50"/>
      <c r="DX350" s="50"/>
      <c r="DY350" s="50"/>
      <c r="DZ350" s="50"/>
      <c r="EA350" s="50"/>
      <c r="EB350" s="50"/>
      <c r="EC350" s="50"/>
      <c r="ED350" s="50"/>
      <c r="EE350" s="50"/>
      <c r="EF350" s="50"/>
      <c r="EG350" s="50"/>
      <c r="EH350" s="50"/>
      <c r="EI350" s="50"/>
      <c r="EJ350" s="50"/>
      <c r="EK350" s="50"/>
      <c r="EL350" s="50"/>
      <c r="EM350" s="50"/>
      <c r="EN350" s="50"/>
      <c r="EO350" s="50"/>
      <c r="EP350" s="50"/>
      <c r="EQ350" s="50"/>
      <c r="ER350" s="50"/>
      <c r="ES350" s="50"/>
      <c r="ET350" s="50"/>
      <c r="EU350" s="50"/>
      <c r="EV350" s="50"/>
      <c r="EW350" s="50"/>
      <c r="EX350" s="50"/>
      <c r="EY350" s="50"/>
      <c r="EZ350" s="50"/>
      <c r="FA350" s="50"/>
      <c r="FB350" s="50"/>
      <c r="FC350" s="50"/>
      <c r="FD350" s="50"/>
      <c r="FE350" s="50"/>
      <c r="FF350" s="50"/>
      <c r="FG350" s="50"/>
      <c r="FH350" s="50"/>
      <c r="FI350" s="50"/>
      <c r="FJ350" s="50"/>
      <c r="FK350" s="50"/>
      <c r="FL350" s="50"/>
      <c r="FM350" s="50"/>
      <c r="FN350" s="50"/>
      <c r="FO350" s="50"/>
      <c r="FP350" s="50"/>
      <c r="FQ350" s="50"/>
      <c r="FR350" s="50"/>
      <c r="FS350" s="50"/>
      <c r="FT350" s="50"/>
      <c r="FU350" s="50"/>
      <c r="FV350" s="50"/>
      <c r="FW350" s="50"/>
      <c r="FX350" s="50"/>
      <c r="FY350" s="50"/>
      <c r="FZ350" s="50"/>
      <c r="GA350" s="50"/>
      <c r="GB350" s="50"/>
      <c r="GC350" s="50"/>
      <c r="GD350" s="50"/>
      <c r="GE350" s="50"/>
      <c r="GF350" s="50"/>
      <c r="GG350" s="50"/>
      <c r="GH350" s="50"/>
      <c r="GI350" s="50"/>
      <c r="GJ350" s="50"/>
      <c r="GK350" s="50"/>
      <c r="GL350" s="50"/>
      <c r="GM350" s="50"/>
      <c r="GN350" s="50"/>
      <c r="GO350" s="50"/>
      <c r="GP350" s="50"/>
      <c r="GQ350" s="50"/>
      <c r="GR350" s="50"/>
      <c r="GS350" s="50"/>
      <c r="GT350" s="50"/>
      <c r="GU350" s="50"/>
      <c r="GV350" s="50"/>
      <c r="GW350" s="50"/>
      <c r="GX350" s="50"/>
      <c r="GY350" s="50"/>
      <c r="GZ350" s="50"/>
      <c r="HA350" s="50"/>
      <c r="HB350" s="50"/>
      <c r="HC350" s="50"/>
      <c r="HD350" s="50"/>
      <c r="HE350" s="50"/>
      <c r="HF350" s="50"/>
      <c r="HG350" s="50"/>
      <c r="HH350" s="50"/>
      <c r="HI350" s="50"/>
      <c r="HJ350" s="50"/>
      <c r="HK350" s="50"/>
      <c r="HL350" s="50"/>
      <c r="HM350" s="50"/>
      <c r="HN350" s="50"/>
      <c r="HO350" s="50"/>
      <c r="HP350" s="50"/>
      <c r="HQ350" s="50"/>
      <c r="HR350" s="50"/>
      <c r="HS350" s="50"/>
      <c r="HT350" s="50"/>
      <c r="HU350" s="50"/>
      <c r="HV350" s="50"/>
      <c r="HW350" s="50"/>
      <c r="HX350" s="50"/>
      <c r="HY350" s="50"/>
      <c r="HZ350" s="50"/>
      <c r="IA350" s="50"/>
      <c r="IB350" s="50"/>
      <c r="IC350" s="50"/>
      <c r="ID350" s="50"/>
      <c r="IE350" s="50"/>
      <c r="IF350" s="50"/>
      <c r="IG350" s="50"/>
      <c r="IH350" s="50"/>
      <c r="II350" s="50"/>
      <c r="IJ350" s="50"/>
      <c r="IK350" s="50"/>
      <c r="IL350" s="50"/>
      <c r="IM350" s="50"/>
      <c r="IN350" s="50"/>
      <c r="IO350" s="50"/>
      <c r="IP350" s="50"/>
      <c r="IQ350" s="50"/>
      <c r="IR350" s="50"/>
      <c r="IS350" s="50"/>
      <c r="IT350" s="50"/>
      <c r="IU350" s="50"/>
    </row>
    <row r="351" spans="1:255" s="62" customFormat="1" ht="15.75" hidden="1" customHeight="1" x14ac:dyDescent="0.3">
      <c r="A351" s="133" t="s">
        <v>249</v>
      </c>
      <c r="B351" s="52"/>
      <c r="C351" s="53"/>
      <c r="D351" s="138">
        <f t="shared" si="28"/>
        <v>-2.9333333333333331</v>
      </c>
      <c r="E351" s="54">
        <v>1E-3</v>
      </c>
      <c r="F351" s="45">
        <v>-0.17699999999999999</v>
      </c>
      <c r="G351" s="45">
        <v>0</v>
      </c>
      <c r="H351" s="45"/>
      <c r="I351" s="55">
        <v>-0.17599999999999999</v>
      </c>
      <c r="J351" s="492" t="s">
        <v>141</v>
      </c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  <c r="DR351" s="50"/>
      <c r="DS351" s="50"/>
      <c r="DT351" s="50"/>
      <c r="DU351" s="50"/>
      <c r="DV351" s="50"/>
      <c r="DW351" s="50"/>
      <c r="DX351" s="50"/>
      <c r="DY351" s="50"/>
      <c r="DZ351" s="50"/>
      <c r="EA351" s="50"/>
      <c r="EB351" s="50"/>
      <c r="EC351" s="50"/>
      <c r="ED351" s="50"/>
      <c r="EE351" s="50"/>
      <c r="EF351" s="50"/>
      <c r="EG351" s="50"/>
      <c r="EH351" s="50"/>
      <c r="EI351" s="50"/>
      <c r="EJ351" s="50"/>
      <c r="EK351" s="50"/>
      <c r="EL351" s="50"/>
      <c r="EM351" s="50"/>
      <c r="EN351" s="50"/>
      <c r="EO351" s="50"/>
      <c r="EP351" s="50"/>
      <c r="EQ351" s="50"/>
      <c r="ER351" s="50"/>
      <c r="ES351" s="50"/>
      <c r="ET351" s="50"/>
      <c r="EU351" s="50"/>
      <c r="EV351" s="50"/>
      <c r="EW351" s="50"/>
      <c r="EX351" s="50"/>
      <c r="EY351" s="50"/>
      <c r="EZ351" s="50"/>
      <c r="FA351" s="50"/>
      <c r="FB351" s="50"/>
      <c r="FC351" s="50"/>
      <c r="FD351" s="50"/>
      <c r="FE351" s="50"/>
      <c r="FF351" s="50"/>
      <c r="FG351" s="50"/>
      <c r="FH351" s="50"/>
      <c r="FI351" s="50"/>
      <c r="FJ351" s="50"/>
      <c r="FK351" s="50"/>
      <c r="FL351" s="50"/>
      <c r="FM351" s="50"/>
      <c r="FN351" s="50"/>
      <c r="FO351" s="50"/>
      <c r="FP351" s="50"/>
      <c r="FQ351" s="50"/>
      <c r="FR351" s="50"/>
      <c r="FS351" s="50"/>
      <c r="FT351" s="50"/>
      <c r="FU351" s="50"/>
      <c r="FV351" s="50"/>
      <c r="FW351" s="50"/>
      <c r="FX351" s="50"/>
      <c r="FY351" s="50"/>
      <c r="FZ351" s="50"/>
      <c r="GA351" s="50"/>
      <c r="GB351" s="50"/>
      <c r="GC351" s="50"/>
      <c r="GD351" s="50"/>
      <c r="GE351" s="50"/>
      <c r="GF351" s="50"/>
      <c r="GG351" s="50"/>
      <c r="GH351" s="50"/>
      <c r="GI351" s="50"/>
      <c r="GJ351" s="50"/>
      <c r="GK351" s="50"/>
      <c r="GL351" s="50"/>
      <c r="GM351" s="50"/>
      <c r="GN351" s="50"/>
      <c r="GO351" s="50"/>
      <c r="GP351" s="50"/>
      <c r="GQ351" s="50"/>
      <c r="GR351" s="50"/>
      <c r="GS351" s="50"/>
      <c r="GT351" s="50"/>
      <c r="GU351" s="50"/>
      <c r="GV351" s="50"/>
      <c r="GW351" s="50"/>
      <c r="GX351" s="50"/>
      <c r="GY351" s="50"/>
      <c r="GZ351" s="50"/>
      <c r="HA351" s="50"/>
      <c r="HB351" s="50"/>
      <c r="HC351" s="50"/>
      <c r="HD351" s="50"/>
      <c r="HE351" s="50"/>
      <c r="HF351" s="50"/>
      <c r="HG351" s="50"/>
      <c r="HH351" s="50"/>
      <c r="HI351" s="50"/>
      <c r="HJ351" s="50"/>
      <c r="HK351" s="50"/>
      <c r="HL351" s="50"/>
      <c r="HM351" s="50"/>
      <c r="HN351" s="50"/>
      <c r="HO351" s="50"/>
      <c r="HP351" s="50"/>
      <c r="HQ351" s="50"/>
      <c r="HR351" s="50"/>
      <c r="HS351" s="50"/>
      <c r="HT351" s="50"/>
      <c r="HU351" s="50"/>
      <c r="HV351" s="50"/>
      <c r="HW351" s="50"/>
      <c r="HX351" s="50"/>
      <c r="HY351" s="50"/>
      <c r="HZ351" s="50"/>
      <c r="IA351" s="50"/>
      <c r="IB351" s="50"/>
      <c r="IC351" s="50"/>
      <c r="ID351" s="50"/>
      <c r="IE351" s="50"/>
      <c r="IF351" s="50"/>
      <c r="IG351" s="50"/>
      <c r="IH351" s="50"/>
      <c r="II351" s="50"/>
      <c r="IJ351" s="50"/>
      <c r="IK351" s="50"/>
      <c r="IL351" s="50"/>
      <c r="IM351" s="50"/>
      <c r="IN351" s="50"/>
      <c r="IO351" s="50"/>
      <c r="IP351" s="50"/>
      <c r="IQ351" s="50"/>
      <c r="IR351" s="50"/>
      <c r="IS351" s="50"/>
      <c r="IT351" s="50"/>
      <c r="IU351" s="50"/>
    </row>
    <row r="352" spans="1:255" s="62" customFormat="1" ht="15.75" hidden="1" customHeight="1" x14ac:dyDescent="0.3">
      <c r="A352" s="133" t="s">
        <v>250</v>
      </c>
      <c r="B352" s="52"/>
      <c r="C352" s="53"/>
      <c r="D352" s="138">
        <f t="shared" si="28"/>
        <v>127.50000000000001</v>
      </c>
      <c r="E352" s="54">
        <v>10.032</v>
      </c>
      <c r="F352" s="45">
        <v>-2.3820000000000001</v>
      </c>
      <c r="G352" s="45">
        <v>0</v>
      </c>
      <c r="H352" s="45"/>
      <c r="I352" s="55">
        <v>7.65</v>
      </c>
      <c r="J352" s="492" t="s">
        <v>141</v>
      </c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  <c r="DR352" s="50"/>
      <c r="DS352" s="50"/>
      <c r="DT352" s="50"/>
      <c r="DU352" s="50"/>
      <c r="DV352" s="50"/>
      <c r="DW352" s="50"/>
      <c r="DX352" s="50"/>
      <c r="DY352" s="50"/>
      <c r="DZ352" s="50"/>
      <c r="EA352" s="50"/>
      <c r="EB352" s="50"/>
      <c r="EC352" s="50"/>
      <c r="ED352" s="50"/>
      <c r="EE352" s="50"/>
      <c r="EF352" s="50"/>
      <c r="EG352" s="50"/>
      <c r="EH352" s="50"/>
      <c r="EI352" s="50"/>
      <c r="EJ352" s="50"/>
      <c r="EK352" s="50"/>
      <c r="EL352" s="50"/>
      <c r="EM352" s="50"/>
      <c r="EN352" s="50"/>
      <c r="EO352" s="50"/>
      <c r="EP352" s="50"/>
      <c r="EQ352" s="50"/>
      <c r="ER352" s="50"/>
      <c r="ES352" s="50"/>
      <c r="ET352" s="50"/>
      <c r="EU352" s="50"/>
      <c r="EV352" s="50"/>
      <c r="EW352" s="50"/>
      <c r="EX352" s="50"/>
      <c r="EY352" s="50"/>
      <c r="EZ352" s="50"/>
      <c r="FA352" s="50"/>
      <c r="FB352" s="50"/>
      <c r="FC352" s="50"/>
      <c r="FD352" s="50"/>
      <c r="FE352" s="50"/>
      <c r="FF352" s="50"/>
      <c r="FG352" s="50"/>
      <c r="FH352" s="50"/>
      <c r="FI352" s="50"/>
      <c r="FJ352" s="50"/>
      <c r="FK352" s="50"/>
      <c r="FL352" s="50"/>
      <c r="FM352" s="50"/>
      <c r="FN352" s="50"/>
      <c r="FO352" s="50"/>
      <c r="FP352" s="50"/>
      <c r="FQ352" s="50"/>
      <c r="FR352" s="50"/>
      <c r="FS352" s="50"/>
      <c r="FT352" s="50"/>
      <c r="FU352" s="50"/>
      <c r="FV352" s="50"/>
      <c r="FW352" s="50"/>
      <c r="FX352" s="50"/>
      <c r="FY352" s="50"/>
      <c r="FZ352" s="50"/>
      <c r="GA352" s="50"/>
      <c r="GB352" s="50"/>
      <c r="GC352" s="50"/>
      <c r="GD352" s="50"/>
      <c r="GE352" s="50"/>
      <c r="GF352" s="50"/>
      <c r="GG352" s="50"/>
      <c r="GH352" s="50"/>
      <c r="GI352" s="50"/>
      <c r="GJ352" s="50"/>
      <c r="GK352" s="50"/>
      <c r="GL352" s="50"/>
      <c r="GM352" s="50"/>
      <c r="GN352" s="50"/>
      <c r="GO352" s="50"/>
      <c r="GP352" s="50"/>
      <c r="GQ352" s="50"/>
      <c r="GR352" s="50"/>
      <c r="GS352" s="50"/>
      <c r="GT352" s="50"/>
      <c r="GU352" s="50"/>
      <c r="GV352" s="50"/>
      <c r="GW352" s="50"/>
      <c r="GX352" s="50"/>
      <c r="GY352" s="50"/>
      <c r="GZ352" s="50"/>
      <c r="HA352" s="50"/>
      <c r="HB352" s="50"/>
      <c r="HC352" s="50"/>
      <c r="HD352" s="50"/>
      <c r="HE352" s="50"/>
      <c r="HF352" s="50"/>
      <c r="HG352" s="50"/>
      <c r="HH352" s="50"/>
      <c r="HI352" s="50"/>
      <c r="HJ352" s="50"/>
      <c r="HK352" s="50"/>
      <c r="HL352" s="50"/>
      <c r="HM352" s="50"/>
      <c r="HN352" s="50"/>
      <c r="HO352" s="50"/>
      <c r="HP352" s="50"/>
      <c r="HQ352" s="50"/>
      <c r="HR352" s="50"/>
      <c r="HS352" s="50"/>
      <c r="HT352" s="50"/>
      <c r="HU352" s="50"/>
      <c r="HV352" s="50"/>
      <c r="HW352" s="50"/>
      <c r="HX352" s="50"/>
      <c r="HY352" s="50"/>
      <c r="HZ352" s="50"/>
      <c r="IA352" s="50"/>
      <c r="IB352" s="50"/>
      <c r="IC352" s="50"/>
      <c r="ID352" s="50"/>
      <c r="IE352" s="50"/>
      <c r="IF352" s="50"/>
      <c r="IG352" s="50"/>
      <c r="IH352" s="50"/>
      <c r="II352" s="50"/>
      <c r="IJ352" s="50"/>
      <c r="IK352" s="50"/>
      <c r="IL352" s="50"/>
      <c r="IM352" s="50"/>
      <c r="IN352" s="50"/>
      <c r="IO352" s="50"/>
      <c r="IP352" s="50"/>
      <c r="IQ352" s="50"/>
      <c r="IR352" s="50"/>
      <c r="IS352" s="50"/>
      <c r="IT352" s="50"/>
      <c r="IU352" s="50"/>
    </row>
    <row r="353" spans="1:255" s="62" customFormat="1" ht="15.75" hidden="1" customHeight="1" x14ac:dyDescent="0.3">
      <c r="A353" s="133" t="s">
        <v>251</v>
      </c>
      <c r="B353" s="52"/>
      <c r="C353" s="53"/>
      <c r="D353" s="138">
        <f t="shared" si="28"/>
        <v>355.48333333333335</v>
      </c>
      <c r="E353" s="54">
        <v>25.178000000000001</v>
      </c>
      <c r="F353" s="45">
        <v>-3.8490000000000002</v>
      </c>
      <c r="G353" s="45">
        <v>0</v>
      </c>
      <c r="H353" s="45"/>
      <c r="I353" s="55">
        <v>21.329000000000001</v>
      </c>
      <c r="J353" s="492" t="s">
        <v>141</v>
      </c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  <c r="DR353" s="50"/>
      <c r="DS353" s="50"/>
      <c r="DT353" s="50"/>
      <c r="DU353" s="50"/>
      <c r="DV353" s="50"/>
      <c r="DW353" s="50"/>
      <c r="DX353" s="50"/>
      <c r="DY353" s="50"/>
      <c r="DZ353" s="50"/>
      <c r="EA353" s="50"/>
      <c r="EB353" s="50"/>
      <c r="EC353" s="50"/>
      <c r="ED353" s="50"/>
      <c r="EE353" s="50"/>
      <c r="EF353" s="50"/>
      <c r="EG353" s="50"/>
      <c r="EH353" s="50"/>
      <c r="EI353" s="50"/>
      <c r="EJ353" s="50"/>
      <c r="EK353" s="50"/>
      <c r="EL353" s="50"/>
      <c r="EM353" s="50"/>
      <c r="EN353" s="50"/>
      <c r="EO353" s="50"/>
      <c r="EP353" s="50"/>
      <c r="EQ353" s="50"/>
      <c r="ER353" s="50"/>
      <c r="ES353" s="50"/>
      <c r="ET353" s="50"/>
      <c r="EU353" s="50"/>
      <c r="EV353" s="50"/>
      <c r="EW353" s="50"/>
      <c r="EX353" s="50"/>
      <c r="EY353" s="50"/>
      <c r="EZ353" s="50"/>
      <c r="FA353" s="50"/>
      <c r="FB353" s="50"/>
      <c r="FC353" s="50"/>
      <c r="FD353" s="50"/>
      <c r="FE353" s="50"/>
      <c r="FF353" s="50"/>
      <c r="FG353" s="50"/>
      <c r="FH353" s="50"/>
      <c r="FI353" s="50"/>
      <c r="FJ353" s="50"/>
      <c r="FK353" s="50"/>
      <c r="FL353" s="50"/>
      <c r="FM353" s="50"/>
      <c r="FN353" s="50"/>
      <c r="FO353" s="50"/>
      <c r="FP353" s="50"/>
      <c r="FQ353" s="50"/>
      <c r="FR353" s="50"/>
      <c r="FS353" s="50"/>
      <c r="FT353" s="50"/>
      <c r="FU353" s="50"/>
      <c r="FV353" s="50"/>
      <c r="FW353" s="50"/>
      <c r="FX353" s="50"/>
      <c r="FY353" s="50"/>
      <c r="FZ353" s="50"/>
      <c r="GA353" s="50"/>
      <c r="GB353" s="50"/>
      <c r="GC353" s="50"/>
      <c r="GD353" s="50"/>
      <c r="GE353" s="50"/>
      <c r="GF353" s="50"/>
      <c r="GG353" s="50"/>
      <c r="GH353" s="50"/>
      <c r="GI353" s="50"/>
      <c r="GJ353" s="50"/>
      <c r="GK353" s="50"/>
      <c r="GL353" s="50"/>
      <c r="GM353" s="50"/>
      <c r="GN353" s="50"/>
      <c r="GO353" s="50"/>
      <c r="GP353" s="50"/>
      <c r="GQ353" s="50"/>
      <c r="GR353" s="50"/>
      <c r="GS353" s="50"/>
      <c r="GT353" s="50"/>
      <c r="GU353" s="50"/>
      <c r="GV353" s="50"/>
      <c r="GW353" s="50"/>
      <c r="GX353" s="50"/>
      <c r="GY353" s="50"/>
      <c r="GZ353" s="50"/>
      <c r="HA353" s="50"/>
      <c r="HB353" s="50"/>
      <c r="HC353" s="50"/>
      <c r="HD353" s="50"/>
      <c r="HE353" s="50"/>
      <c r="HF353" s="50"/>
      <c r="HG353" s="50"/>
      <c r="HH353" s="50"/>
      <c r="HI353" s="50"/>
      <c r="HJ353" s="50"/>
      <c r="HK353" s="50"/>
      <c r="HL353" s="50"/>
      <c r="HM353" s="50"/>
      <c r="HN353" s="50"/>
      <c r="HO353" s="50"/>
      <c r="HP353" s="50"/>
      <c r="HQ353" s="50"/>
      <c r="HR353" s="50"/>
      <c r="HS353" s="50"/>
      <c r="HT353" s="50"/>
      <c r="HU353" s="50"/>
      <c r="HV353" s="50"/>
      <c r="HW353" s="50"/>
      <c r="HX353" s="50"/>
      <c r="HY353" s="50"/>
      <c r="HZ353" s="50"/>
      <c r="IA353" s="50"/>
      <c r="IB353" s="50"/>
      <c r="IC353" s="50"/>
      <c r="ID353" s="50"/>
      <c r="IE353" s="50"/>
      <c r="IF353" s="50"/>
      <c r="IG353" s="50"/>
      <c r="IH353" s="50"/>
      <c r="II353" s="50"/>
      <c r="IJ353" s="50"/>
      <c r="IK353" s="50"/>
      <c r="IL353" s="50"/>
      <c r="IM353" s="50"/>
      <c r="IN353" s="50"/>
      <c r="IO353" s="50"/>
      <c r="IP353" s="50"/>
      <c r="IQ353" s="50"/>
      <c r="IR353" s="50"/>
      <c r="IS353" s="50"/>
      <c r="IT353" s="50"/>
      <c r="IU353" s="50"/>
    </row>
    <row r="354" spans="1:255" s="62" customFormat="1" ht="15.75" hidden="1" customHeight="1" x14ac:dyDescent="0.3">
      <c r="A354" s="133" t="s">
        <v>252</v>
      </c>
      <c r="B354" s="52"/>
      <c r="C354" s="53"/>
      <c r="D354" s="138">
        <f t="shared" si="28"/>
        <v>107.64999999999999</v>
      </c>
      <c r="E354" s="54">
        <v>7.9020000000000001</v>
      </c>
      <c r="F354" s="45">
        <v>-1.4430000000000001</v>
      </c>
      <c r="G354" s="45">
        <v>0</v>
      </c>
      <c r="H354" s="45"/>
      <c r="I354" s="55">
        <v>6.4589999999999996</v>
      </c>
      <c r="J354" s="492" t="s">
        <v>141</v>
      </c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  <c r="DR354" s="50"/>
      <c r="DS354" s="50"/>
      <c r="DT354" s="50"/>
      <c r="DU354" s="50"/>
      <c r="DV354" s="50"/>
      <c r="DW354" s="50"/>
      <c r="DX354" s="50"/>
      <c r="DY354" s="50"/>
      <c r="DZ354" s="50"/>
      <c r="EA354" s="50"/>
      <c r="EB354" s="50"/>
      <c r="EC354" s="50"/>
      <c r="ED354" s="50"/>
      <c r="EE354" s="50"/>
      <c r="EF354" s="50"/>
      <c r="EG354" s="50"/>
      <c r="EH354" s="50"/>
      <c r="EI354" s="50"/>
      <c r="EJ354" s="50"/>
      <c r="EK354" s="50"/>
      <c r="EL354" s="50"/>
      <c r="EM354" s="50"/>
      <c r="EN354" s="50"/>
      <c r="EO354" s="50"/>
      <c r="EP354" s="50"/>
      <c r="EQ354" s="50"/>
      <c r="ER354" s="50"/>
      <c r="ES354" s="50"/>
      <c r="ET354" s="50"/>
      <c r="EU354" s="50"/>
      <c r="EV354" s="50"/>
      <c r="EW354" s="50"/>
      <c r="EX354" s="50"/>
      <c r="EY354" s="50"/>
      <c r="EZ354" s="50"/>
      <c r="FA354" s="50"/>
      <c r="FB354" s="50"/>
      <c r="FC354" s="50"/>
      <c r="FD354" s="50"/>
      <c r="FE354" s="50"/>
      <c r="FF354" s="50"/>
      <c r="FG354" s="50"/>
      <c r="FH354" s="50"/>
      <c r="FI354" s="50"/>
      <c r="FJ354" s="50"/>
      <c r="FK354" s="50"/>
      <c r="FL354" s="50"/>
      <c r="FM354" s="50"/>
      <c r="FN354" s="50"/>
      <c r="FO354" s="50"/>
      <c r="FP354" s="50"/>
      <c r="FQ354" s="50"/>
      <c r="FR354" s="50"/>
      <c r="FS354" s="50"/>
      <c r="FT354" s="50"/>
      <c r="FU354" s="50"/>
      <c r="FV354" s="50"/>
      <c r="FW354" s="50"/>
      <c r="FX354" s="50"/>
      <c r="FY354" s="50"/>
      <c r="FZ354" s="50"/>
      <c r="GA354" s="50"/>
      <c r="GB354" s="50"/>
      <c r="GC354" s="50"/>
      <c r="GD354" s="50"/>
      <c r="GE354" s="50"/>
      <c r="GF354" s="50"/>
      <c r="GG354" s="50"/>
      <c r="GH354" s="50"/>
      <c r="GI354" s="50"/>
      <c r="GJ354" s="50"/>
      <c r="GK354" s="50"/>
      <c r="GL354" s="50"/>
      <c r="GM354" s="50"/>
      <c r="GN354" s="50"/>
      <c r="GO354" s="50"/>
      <c r="GP354" s="50"/>
      <c r="GQ354" s="50"/>
      <c r="GR354" s="50"/>
      <c r="GS354" s="50"/>
      <c r="GT354" s="50"/>
      <c r="GU354" s="50"/>
      <c r="GV354" s="50"/>
      <c r="GW354" s="50"/>
      <c r="GX354" s="50"/>
      <c r="GY354" s="50"/>
      <c r="GZ354" s="50"/>
      <c r="HA354" s="50"/>
      <c r="HB354" s="50"/>
      <c r="HC354" s="50"/>
      <c r="HD354" s="50"/>
      <c r="HE354" s="50"/>
      <c r="HF354" s="50"/>
      <c r="HG354" s="50"/>
      <c r="HH354" s="50"/>
      <c r="HI354" s="50"/>
      <c r="HJ354" s="50"/>
      <c r="HK354" s="50"/>
      <c r="HL354" s="50"/>
      <c r="HM354" s="50"/>
      <c r="HN354" s="50"/>
      <c r="HO354" s="50"/>
      <c r="HP354" s="50"/>
      <c r="HQ354" s="50"/>
      <c r="HR354" s="50"/>
      <c r="HS354" s="50"/>
      <c r="HT354" s="50"/>
      <c r="HU354" s="50"/>
      <c r="HV354" s="50"/>
      <c r="HW354" s="50"/>
      <c r="HX354" s="50"/>
      <c r="HY354" s="50"/>
      <c r="HZ354" s="50"/>
      <c r="IA354" s="50"/>
      <c r="IB354" s="50"/>
      <c r="IC354" s="50"/>
      <c r="ID354" s="50"/>
      <c r="IE354" s="50"/>
      <c r="IF354" s="50"/>
      <c r="IG354" s="50"/>
      <c r="IH354" s="50"/>
      <c r="II354" s="50"/>
      <c r="IJ354" s="50"/>
      <c r="IK354" s="50"/>
      <c r="IL354" s="50"/>
      <c r="IM354" s="50"/>
      <c r="IN354" s="50"/>
      <c r="IO354" s="50"/>
      <c r="IP354" s="50"/>
      <c r="IQ354" s="50"/>
      <c r="IR354" s="50"/>
      <c r="IS354" s="50"/>
      <c r="IT354" s="50"/>
      <c r="IU354" s="50"/>
    </row>
    <row r="355" spans="1:255" s="62" customFormat="1" ht="15.75" hidden="1" customHeight="1" x14ac:dyDescent="0.3">
      <c r="A355" s="133" t="s">
        <v>253</v>
      </c>
      <c r="B355" s="52"/>
      <c r="C355" s="53"/>
      <c r="D355" s="138">
        <f t="shared" si="28"/>
        <v>64.983333333333334</v>
      </c>
      <c r="E355" s="54">
        <v>4.9930000000000003</v>
      </c>
      <c r="F355" s="45">
        <v>-1.0940000000000001</v>
      </c>
      <c r="G355" s="45">
        <v>0</v>
      </c>
      <c r="H355" s="45"/>
      <c r="I355" s="55">
        <v>3.899</v>
      </c>
      <c r="J355" s="492" t="s">
        <v>141</v>
      </c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  <c r="DR355" s="50"/>
      <c r="DS355" s="50"/>
      <c r="DT355" s="50"/>
      <c r="DU355" s="50"/>
      <c r="DV355" s="50"/>
      <c r="DW355" s="50"/>
      <c r="DX355" s="50"/>
      <c r="DY355" s="50"/>
      <c r="DZ355" s="50"/>
      <c r="EA355" s="50"/>
      <c r="EB355" s="50"/>
      <c r="EC355" s="50"/>
      <c r="ED355" s="50"/>
      <c r="EE355" s="50"/>
      <c r="EF355" s="50"/>
      <c r="EG355" s="50"/>
      <c r="EH355" s="50"/>
      <c r="EI355" s="50"/>
      <c r="EJ355" s="50"/>
      <c r="EK355" s="50"/>
      <c r="EL355" s="50"/>
      <c r="EM355" s="50"/>
      <c r="EN355" s="50"/>
      <c r="EO355" s="50"/>
      <c r="EP355" s="50"/>
      <c r="EQ355" s="50"/>
      <c r="ER355" s="50"/>
      <c r="ES355" s="50"/>
      <c r="ET355" s="50"/>
      <c r="EU355" s="50"/>
      <c r="EV355" s="50"/>
      <c r="EW355" s="50"/>
      <c r="EX355" s="50"/>
      <c r="EY355" s="50"/>
      <c r="EZ355" s="50"/>
      <c r="FA355" s="50"/>
      <c r="FB355" s="50"/>
      <c r="FC355" s="50"/>
      <c r="FD355" s="50"/>
      <c r="FE355" s="50"/>
      <c r="FF355" s="50"/>
      <c r="FG355" s="50"/>
      <c r="FH355" s="50"/>
      <c r="FI355" s="50"/>
      <c r="FJ355" s="50"/>
      <c r="FK355" s="50"/>
      <c r="FL355" s="50"/>
      <c r="FM355" s="50"/>
      <c r="FN355" s="50"/>
      <c r="FO355" s="50"/>
      <c r="FP355" s="50"/>
      <c r="FQ355" s="50"/>
      <c r="FR355" s="50"/>
      <c r="FS355" s="50"/>
      <c r="FT355" s="50"/>
      <c r="FU355" s="50"/>
      <c r="FV355" s="50"/>
      <c r="FW355" s="50"/>
      <c r="FX355" s="50"/>
      <c r="FY355" s="50"/>
      <c r="FZ355" s="50"/>
      <c r="GA355" s="50"/>
      <c r="GB355" s="50"/>
      <c r="GC355" s="50"/>
      <c r="GD355" s="50"/>
      <c r="GE355" s="50"/>
      <c r="GF355" s="50"/>
      <c r="GG355" s="50"/>
      <c r="GH355" s="50"/>
      <c r="GI355" s="50"/>
      <c r="GJ355" s="50"/>
      <c r="GK355" s="50"/>
      <c r="GL355" s="50"/>
      <c r="GM355" s="50"/>
      <c r="GN355" s="50"/>
      <c r="GO355" s="50"/>
      <c r="GP355" s="50"/>
      <c r="GQ355" s="50"/>
      <c r="GR355" s="50"/>
      <c r="GS355" s="50"/>
      <c r="GT355" s="50"/>
      <c r="GU355" s="50"/>
      <c r="GV355" s="50"/>
      <c r="GW355" s="50"/>
      <c r="GX355" s="50"/>
      <c r="GY355" s="50"/>
      <c r="GZ355" s="50"/>
      <c r="HA355" s="50"/>
      <c r="HB355" s="50"/>
      <c r="HC355" s="50"/>
      <c r="HD355" s="50"/>
      <c r="HE355" s="50"/>
      <c r="HF355" s="50"/>
      <c r="HG355" s="50"/>
      <c r="HH355" s="50"/>
      <c r="HI355" s="50"/>
      <c r="HJ355" s="50"/>
      <c r="HK355" s="50"/>
      <c r="HL355" s="50"/>
      <c r="HM355" s="50"/>
      <c r="HN355" s="50"/>
      <c r="HO355" s="50"/>
      <c r="HP355" s="50"/>
      <c r="HQ355" s="50"/>
      <c r="HR355" s="50"/>
      <c r="HS355" s="50"/>
      <c r="HT355" s="50"/>
      <c r="HU355" s="50"/>
      <c r="HV355" s="50"/>
      <c r="HW355" s="50"/>
      <c r="HX355" s="50"/>
      <c r="HY355" s="50"/>
      <c r="HZ355" s="50"/>
      <c r="IA355" s="50"/>
      <c r="IB355" s="50"/>
      <c r="IC355" s="50"/>
      <c r="ID355" s="50"/>
      <c r="IE355" s="50"/>
      <c r="IF355" s="50"/>
      <c r="IG355" s="50"/>
      <c r="IH355" s="50"/>
      <c r="II355" s="50"/>
      <c r="IJ355" s="50"/>
      <c r="IK355" s="50"/>
      <c r="IL355" s="50"/>
      <c r="IM355" s="50"/>
      <c r="IN355" s="50"/>
      <c r="IO355" s="50"/>
      <c r="IP355" s="50"/>
      <c r="IQ355" s="50"/>
      <c r="IR355" s="50"/>
      <c r="IS355" s="50"/>
      <c r="IT355" s="50"/>
      <c r="IU355" s="50"/>
    </row>
    <row r="356" spans="1:255" s="62" customFormat="1" ht="15.75" hidden="1" customHeight="1" x14ac:dyDescent="0.3">
      <c r="A356" s="133" t="s">
        <v>254</v>
      </c>
      <c r="B356" s="52"/>
      <c r="C356" s="53"/>
      <c r="D356" s="138">
        <f t="shared" si="28"/>
        <v>56.183333333333344</v>
      </c>
      <c r="E356" s="54">
        <v>4.2590000000000003</v>
      </c>
      <c r="F356" s="45">
        <v>-0.88800000000000001</v>
      </c>
      <c r="G356" s="45">
        <v>0</v>
      </c>
      <c r="H356" s="45"/>
      <c r="I356" s="55">
        <v>3.3710000000000004</v>
      </c>
      <c r="J356" s="492" t="s">
        <v>141</v>
      </c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  <c r="DR356" s="50"/>
      <c r="DS356" s="50"/>
      <c r="DT356" s="50"/>
      <c r="DU356" s="50"/>
      <c r="DV356" s="50"/>
      <c r="DW356" s="50"/>
      <c r="DX356" s="50"/>
      <c r="DY356" s="50"/>
      <c r="DZ356" s="50"/>
      <c r="EA356" s="50"/>
      <c r="EB356" s="50"/>
      <c r="EC356" s="50"/>
      <c r="ED356" s="50"/>
      <c r="EE356" s="50"/>
      <c r="EF356" s="50"/>
      <c r="EG356" s="50"/>
      <c r="EH356" s="50"/>
      <c r="EI356" s="50"/>
      <c r="EJ356" s="50"/>
      <c r="EK356" s="50"/>
      <c r="EL356" s="50"/>
      <c r="EM356" s="50"/>
      <c r="EN356" s="50"/>
      <c r="EO356" s="50"/>
      <c r="EP356" s="50"/>
      <c r="EQ356" s="50"/>
      <c r="ER356" s="50"/>
      <c r="ES356" s="50"/>
      <c r="ET356" s="50"/>
      <c r="EU356" s="50"/>
      <c r="EV356" s="50"/>
      <c r="EW356" s="50"/>
      <c r="EX356" s="50"/>
      <c r="EY356" s="50"/>
      <c r="EZ356" s="50"/>
      <c r="FA356" s="50"/>
      <c r="FB356" s="50"/>
      <c r="FC356" s="50"/>
      <c r="FD356" s="50"/>
      <c r="FE356" s="50"/>
      <c r="FF356" s="50"/>
      <c r="FG356" s="50"/>
      <c r="FH356" s="50"/>
      <c r="FI356" s="50"/>
      <c r="FJ356" s="50"/>
      <c r="FK356" s="50"/>
      <c r="FL356" s="50"/>
      <c r="FM356" s="50"/>
      <c r="FN356" s="50"/>
      <c r="FO356" s="50"/>
      <c r="FP356" s="50"/>
      <c r="FQ356" s="50"/>
      <c r="FR356" s="50"/>
      <c r="FS356" s="50"/>
      <c r="FT356" s="50"/>
      <c r="FU356" s="50"/>
      <c r="FV356" s="50"/>
      <c r="FW356" s="50"/>
      <c r="FX356" s="50"/>
      <c r="FY356" s="50"/>
      <c r="FZ356" s="50"/>
      <c r="GA356" s="50"/>
      <c r="GB356" s="50"/>
      <c r="GC356" s="50"/>
      <c r="GD356" s="50"/>
      <c r="GE356" s="50"/>
      <c r="GF356" s="50"/>
      <c r="GG356" s="50"/>
      <c r="GH356" s="50"/>
      <c r="GI356" s="50"/>
      <c r="GJ356" s="50"/>
      <c r="GK356" s="50"/>
      <c r="GL356" s="50"/>
      <c r="GM356" s="50"/>
      <c r="GN356" s="50"/>
      <c r="GO356" s="50"/>
      <c r="GP356" s="50"/>
      <c r="GQ356" s="50"/>
      <c r="GR356" s="50"/>
      <c r="GS356" s="50"/>
      <c r="GT356" s="50"/>
      <c r="GU356" s="50"/>
      <c r="GV356" s="50"/>
      <c r="GW356" s="50"/>
      <c r="GX356" s="50"/>
      <c r="GY356" s="50"/>
      <c r="GZ356" s="50"/>
      <c r="HA356" s="50"/>
      <c r="HB356" s="50"/>
      <c r="HC356" s="50"/>
      <c r="HD356" s="50"/>
      <c r="HE356" s="50"/>
      <c r="HF356" s="50"/>
      <c r="HG356" s="50"/>
      <c r="HH356" s="50"/>
      <c r="HI356" s="50"/>
      <c r="HJ356" s="50"/>
      <c r="HK356" s="50"/>
      <c r="HL356" s="50"/>
      <c r="HM356" s="50"/>
      <c r="HN356" s="50"/>
      <c r="HO356" s="50"/>
      <c r="HP356" s="50"/>
      <c r="HQ356" s="50"/>
      <c r="HR356" s="50"/>
      <c r="HS356" s="50"/>
      <c r="HT356" s="50"/>
      <c r="HU356" s="50"/>
      <c r="HV356" s="50"/>
      <c r="HW356" s="50"/>
      <c r="HX356" s="50"/>
      <c r="HY356" s="50"/>
      <c r="HZ356" s="50"/>
      <c r="IA356" s="50"/>
      <c r="IB356" s="50"/>
      <c r="IC356" s="50"/>
      <c r="ID356" s="50"/>
      <c r="IE356" s="50"/>
      <c r="IF356" s="50"/>
      <c r="IG356" s="50"/>
      <c r="IH356" s="50"/>
      <c r="II356" s="50"/>
      <c r="IJ356" s="50"/>
      <c r="IK356" s="50"/>
      <c r="IL356" s="50"/>
      <c r="IM356" s="50"/>
      <c r="IN356" s="50"/>
      <c r="IO356" s="50"/>
      <c r="IP356" s="50"/>
      <c r="IQ356" s="50"/>
      <c r="IR356" s="50"/>
      <c r="IS356" s="50"/>
      <c r="IT356" s="50"/>
      <c r="IU356" s="50"/>
    </row>
    <row r="357" spans="1:255" s="62" customFormat="1" ht="15.75" hidden="1" customHeight="1" x14ac:dyDescent="0.3">
      <c r="A357" s="133" t="s">
        <v>255</v>
      </c>
      <c r="B357" s="52"/>
      <c r="C357" s="53"/>
      <c r="D357" s="138">
        <f t="shared" si="28"/>
        <v>324.96666666666664</v>
      </c>
      <c r="E357" s="54">
        <v>23.550999999999998</v>
      </c>
      <c r="F357" s="45">
        <v>-4.0529999999999999</v>
      </c>
      <c r="G357" s="45">
        <v>0</v>
      </c>
      <c r="H357" s="45"/>
      <c r="I357" s="55">
        <v>19.497999999999998</v>
      </c>
      <c r="J357" s="492" t="s">
        <v>141</v>
      </c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  <c r="DJ357" s="50"/>
      <c r="DK357" s="50"/>
      <c r="DL357" s="50"/>
      <c r="DM357" s="50"/>
      <c r="DN357" s="50"/>
      <c r="DO357" s="50"/>
      <c r="DP357" s="50"/>
      <c r="DQ357" s="50"/>
      <c r="DR357" s="50"/>
      <c r="DS357" s="50"/>
      <c r="DT357" s="50"/>
      <c r="DU357" s="50"/>
      <c r="DV357" s="50"/>
      <c r="DW357" s="50"/>
      <c r="DX357" s="50"/>
      <c r="DY357" s="50"/>
      <c r="DZ357" s="50"/>
      <c r="EA357" s="50"/>
      <c r="EB357" s="50"/>
      <c r="EC357" s="50"/>
      <c r="ED357" s="50"/>
      <c r="EE357" s="50"/>
      <c r="EF357" s="50"/>
      <c r="EG357" s="50"/>
      <c r="EH357" s="50"/>
      <c r="EI357" s="50"/>
      <c r="EJ357" s="50"/>
      <c r="EK357" s="50"/>
      <c r="EL357" s="50"/>
      <c r="EM357" s="50"/>
      <c r="EN357" s="50"/>
      <c r="EO357" s="50"/>
      <c r="EP357" s="50"/>
      <c r="EQ357" s="50"/>
      <c r="ER357" s="50"/>
      <c r="ES357" s="50"/>
      <c r="ET357" s="50"/>
      <c r="EU357" s="50"/>
      <c r="EV357" s="50"/>
      <c r="EW357" s="50"/>
      <c r="EX357" s="50"/>
      <c r="EY357" s="50"/>
      <c r="EZ357" s="50"/>
      <c r="FA357" s="50"/>
      <c r="FB357" s="50"/>
      <c r="FC357" s="50"/>
      <c r="FD357" s="50"/>
      <c r="FE357" s="50"/>
      <c r="FF357" s="50"/>
      <c r="FG357" s="50"/>
      <c r="FH357" s="50"/>
      <c r="FI357" s="50"/>
      <c r="FJ357" s="50"/>
      <c r="FK357" s="50"/>
      <c r="FL357" s="50"/>
      <c r="FM357" s="50"/>
      <c r="FN357" s="50"/>
      <c r="FO357" s="50"/>
      <c r="FP357" s="50"/>
      <c r="FQ357" s="50"/>
      <c r="FR357" s="50"/>
      <c r="FS357" s="50"/>
      <c r="FT357" s="50"/>
      <c r="FU357" s="50"/>
      <c r="FV357" s="50"/>
      <c r="FW357" s="50"/>
      <c r="FX357" s="50"/>
      <c r="FY357" s="50"/>
      <c r="FZ357" s="50"/>
      <c r="GA357" s="50"/>
      <c r="GB357" s="50"/>
      <c r="GC357" s="50"/>
      <c r="GD357" s="50"/>
      <c r="GE357" s="50"/>
      <c r="GF357" s="50"/>
      <c r="GG357" s="50"/>
      <c r="GH357" s="50"/>
      <c r="GI357" s="50"/>
      <c r="GJ357" s="50"/>
      <c r="GK357" s="50"/>
      <c r="GL357" s="50"/>
      <c r="GM357" s="50"/>
      <c r="GN357" s="50"/>
      <c r="GO357" s="50"/>
      <c r="GP357" s="50"/>
      <c r="GQ357" s="50"/>
      <c r="GR357" s="50"/>
      <c r="GS357" s="50"/>
      <c r="GT357" s="50"/>
      <c r="GU357" s="50"/>
      <c r="GV357" s="50"/>
      <c r="GW357" s="50"/>
      <c r="GX357" s="50"/>
      <c r="GY357" s="50"/>
      <c r="GZ357" s="50"/>
      <c r="HA357" s="50"/>
      <c r="HB357" s="50"/>
      <c r="HC357" s="50"/>
      <c r="HD357" s="50"/>
      <c r="HE357" s="50"/>
      <c r="HF357" s="50"/>
      <c r="HG357" s="50"/>
      <c r="HH357" s="50"/>
      <c r="HI357" s="50"/>
      <c r="HJ357" s="50"/>
      <c r="HK357" s="50"/>
      <c r="HL357" s="50"/>
      <c r="HM357" s="50"/>
      <c r="HN357" s="50"/>
      <c r="HO357" s="50"/>
      <c r="HP357" s="50"/>
      <c r="HQ357" s="50"/>
      <c r="HR357" s="50"/>
      <c r="HS357" s="50"/>
      <c r="HT357" s="50"/>
      <c r="HU357" s="50"/>
      <c r="HV357" s="50"/>
      <c r="HW357" s="50"/>
      <c r="HX357" s="50"/>
      <c r="HY357" s="50"/>
      <c r="HZ357" s="50"/>
      <c r="IA357" s="50"/>
      <c r="IB357" s="50"/>
      <c r="IC357" s="50"/>
      <c r="ID357" s="50"/>
      <c r="IE357" s="50"/>
      <c r="IF357" s="50"/>
      <c r="IG357" s="50"/>
      <c r="IH357" s="50"/>
      <c r="II357" s="50"/>
      <c r="IJ357" s="50"/>
      <c r="IK357" s="50"/>
      <c r="IL357" s="50"/>
      <c r="IM357" s="50"/>
      <c r="IN357" s="50"/>
      <c r="IO357" s="50"/>
      <c r="IP357" s="50"/>
      <c r="IQ357" s="50"/>
      <c r="IR357" s="50"/>
      <c r="IS357" s="50"/>
      <c r="IT357" s="50"/>
      <c r="IU357" s="50"/>
    </row>
    <row r="358" spans="1:255" s="62" customFormat="1" ht="15.75" hidden="1" customHeight="1" x14ac:dyDescent="0.3">
      <c r="A358" s="133" t="s">
        <v>256</v>
      </c>
      <c r="B358" s="52"/>
      <c r="C358" s="53"/>
      <c r="D358" s="138">
        <f t="shared" si="28"/>
        <v>277.13333333333333</v>
      </c>
      <c r="E358" s="54">
        <v>20.579000000000001</v>
      </c>
      <c r="F358" s="45">
        <v>-3.9510000000000001</v>
      </c>
      <c r="G358" s="45">
        <v>0</v>
      </c>
      <c r="H358" s="45"/>
      <c r="I358" s="55">
        <v>16.628</v>
      </c>
      <c r="J358" s="492" t="s">
        <v>141</v>
      </c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  <c r="DJ358" s="50"/>
      <c r="DK358" s="50"/>
      <c r="DL358" s="50"/>
      <c r="DM358" s="50"/>
      <c r="DN358" s="50"/>
      <c r="DO358" s="50"/>
      <c r="DP358" s="50"/>
      <c r="DQ358" s="50"/>
      <c r="DR358" s="50"/>
      <c r="DS358" s="50"/>
      <c r="DT358" s="50"/>
      <c r="DU358" s="50"/>
      <c r="DV358" s="50"/>
      <c r="DW358" s="50"/>
      <c r="DX358" s="50"/>
      <c r="DY358" s="50"/>
      <c r="DZ358" s="50"/>
      <c r="EA358" s="50"/>
      <c r="EB358" s="50"/>
      <c r="EC358" s="50"/>
      <c r="ED358" s="50"/>
      <c r="EE358" s="50"/>
      <c r="EF358" s="50"/>
      <c r="EG358" s="50"/>
      <c r="EH358" s="50"/>
      <c r="EI358" s="50"/>
      <c r="EJ358" s="50"/>
      <c r="EK358" s="50"/>
      <c r="EL358" s="50"/>
      <c r="EM358" s="50"/>
      <c r="EN358" s="50"/>
      <c r="EO358" s="50"/>
      <c r="EP358" s="50"/>
      <c r="EQ358" s="50"/>
      <c r="ER358" s="50"/>
      <c r="ES358" s="50"/>
      <c r="ET358" s="50"/>
      <c r="EU358" s="50"/>
      <c r="EV358" s="50"/>
      <c r="EW358" s="50"/>
      <c r="EX358" s="50"/>
      <c r="EY358" s="50"/>
      <c r="EZ358" s="50"/>
      <c r="FA358" s="50"/>
      <c r="FB358" s="50"/>
      <c r="FC358" s="50"/>
      <c r="FD358" s="50"/>
      <c r="FE358" s="50"/>
      <c r="FF358" s="50"/>
      <c r="FG358" s="50"/>
      <c r="FH358" s="50"/>
      <c r="FI358" s="50"/>
      <c r="FJ358" s="50"/>
      <c r="FK358" s="50"/>
      <c r="FL358" s="50"/>
      <c r="FM358" s="50"/>
      <c r="FN358" s="50"/>
      <c r="FO358" s="50"/>
      <c r="FP358" s="50"/>
      <c r="FQ358" s="50"/>
      <c r="FR358" s="50"/>
      <c r="FS358" s="50"/>
      <c r="FT358" s="50"/>
      <c r="FU358" s="50"/>
      <c r="FV358" s="50"/>
      <c r="FW358" s="50"/>
      <c r="FX358" s="50"/>
      <c r="FY358" s="50"/>
      <c r="FZ358" s="50"/>
      <c r="GA358" s="50"/>
      <c r="GB358" s="50"/>
      <c r="GC358" s="50"/>
      <c r="GD358" s="50"/>
      <c r="GE358" s="50"/>
      <c r="GF358" s="50"/>
      <c r="GG358" s="50"/>
      <c r="GH358" s="50"/>
      <c r="GI358" s="50"/>
      <c r="GJ358" s="50"/>
      <c r="GK358" s="50"/>
      <c r="GL358" s="50"/>
      <c r="GM358" s="50"/>
      <c r="GN358" s="50"/>
      <c r="GO358" s="50"/>
      <c r="GP358" s="50"/>
      <c r="GQ358" s="50"/>
      <c r="GR358" s="50"/>
      <c r="GS358" s="50"/>
      <c r="GT358" s="50"/>
      <c r="GU358" s="50"/>
      <c r="GV358" s="50"/>
      <c r="GW358" s="50"/>
      <c r="GX358" s="50"/>
      <c r="GY358" s="50"/>
      <c r="GZ358" s="50"/>
      <c r="HA358" s="50"/>
      <c r="HB358" s="50"/>
      <c r="HC358" s="50"/>
      <c r="HD358" s="50"/>
      <c r="HE358" s="50"/>
      <c r="HF358" s="50"/>
      <c r="HG358" s="50"/>
      <c r="HH358" s="50"/>
      <c r="HI358" s="50"/>
      <c r="HJ358" s="50"/>
      <c r="HK358" s="50"/>
      <c r="HL358" s="50"/>
      <c r="HM358" s="50"/>
      <c r="HN358" s="50"/>
      <c r="HO358" s="50"/>
      <c r="HP358" s="50"/>
      <c r="HQ358" s="50"/>
      <c r="HR358" s="50"/>
      <c r="HS358" s="50"/>
      <c r="HT358" s="50"/>
      <c r="HU358" s="50"/>
      <c r="HV358" s="50"/>
      <c r="HW358" s="50"/>
      <c r="HX358" s="50"/>
      <c r="HY358" s="50"/>
      <c r="HZ358" s="50"/>
      <c r="IA358" s="50"/>
      <c r="IB358" s="50"/>
      <c r="IC358" s="50"/>
      <c r="ID358" s="50"/>
      <c r="IE358" s="50"/>
      <c r="IF358" s="50"/>
      <c r="IG358" s="50"/>
      <c r="IH358" s="50"/>
      <c r="II358" s="50"/>
      <c r="IJ358" s="50"/>
      <c r="IK358" s="50"/>
      <c r="IL358" s="50"/>
      <c r="IM358" s="50"/>
      <c r="IN358" s="50"/>
      <c r="IO358" s="50"/>
      <c r="IP358" s="50"/>
      <c r="IQ358" s="50"/>
      <c r="IR358" s="50"/>
      <c r="IS358" s="50"/>
      <c r="IT358" s="50"/>
      <c r="IU358" s="50"/>
    </row>
    <row r="359" spans="1:255" s="62" customFormat="1" ht="15.75" hidden="1" customHeight="1" x14ac:dyDescent="0.3">
      <c r="A359" s="133" t="s">
        <v>257</v>
      </c>
      <c r="B359" s="52"/>
      <c r="C359" s="53"/>
      <c r="D359" s="138">
        <f t="shared" si="28"/>
        <v>340.45</v>
      </c>
      <c r="E359" s="54">
        <v>24.882000000000001</v>
      </c>
      <c r="F359" s="45">
        <v>-4.4550000000000001</v>
      </c>
      <c r="G359" s="45">
        <v>0</v>
      </c>
      <c r="H359" s="45"/>
      <c r="I359" s="55">
        <v>20.427</v>
      </c>
      <c r="J359" s="492" t="s">
        <v>141</v>
      </c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  <c r="DR359" s="50"/>
      <c r="DS359" s="50"/>
      <c r="DT359" s="50"/>
      <c r="DU359" s="50"/>
      <c r="DV359" s="50"/>
      <c r="DW359" s="50"/>
      <c r="DX359" s="50"/>
      <c r="DY359" s="50"/>
      <c r="DZ359" s="50"/>
      <c r="EA359" s="50"/>
      <c r="EB359" s="50"/>
      <c r="EC359" s="50"/>
      <c r="ED359" s="50"/>
      <c r="EE359" s="50"/>
      <c r="EF359" s="50"/>
      <c r="EG359" s="50"/>
      <c r="EH359" s="50"/>
      <c r="EI359" s="50"/>
      <c r="EJ359" s="50"/>
      <c r="EK359" s="50"/>
      <c r="EL359" s="50"/>
      <c r="EM359" s="50"/>
      <c r="EN359" s="50"/>
      <c r="EO359" s="50"/>
      <c r="EP359" s="50"/>
      <c r="EQ359" s="50"/>
      <c r="ER359" s="50"/>
      <c r="ES359" s="50"/>
      <c r="ET359" s="50"/>
      <c r="EU359" s="50"/>
      <c r="EV359" s="50"/>
      <c r="EW359" s="50"/>
      <c r="EX359" s="50"/>
      <c r="EY359" s="50"/>
      <c r="EZ359" s="50"/>
      <c r="FA359" s="50"/>
      <c r="FB359" s="50"/>
      <c r="FC359" s="50"/>
      <c r="FD359" s="50"/>
      <c r="FE359" s="50"/>
      <c r="FF359" s="50"/>
      <c r="FG359" s="50"/>
      <c r="FH359" s="50"/>
      <c r="FI359" s="50"/>
      <c r="FJ359" s="50"/>
      <c r="FK359" s="50"/>
      <c r="FL359" s="50"/>
      <c r="FM359" s="50"/>
      <c r="FN359" s="50"/>
      <c r="FO359" s="50"/>
      <c r="FP359" s="50"/>
      <c r="FQ359" s="50"/>
      <c r="FR359" s="50"/>
      <c r="FS359" s="50"/>
      <c r="FT359" s="50"/>
      <c r="FU359" s="50"/>
      <c r="FV359" s="50"/>
      <c r="FW359" s="50"/>
      <c r="FX359" s="50"/>
      <c r="FY359" s="50"/>
      <c r="FZ359" s="50"/>
      <c r="GA359" s="50"/>
      <c r="GB359" s="50"/>
      <c r="GC359" s="50"/>
      <c r="GD359" s="50"/>
      <c r="GE359" s="50"/>
      <c r="GF359" s="50"/>
      <c r="GG359" s="50"/>
      <c r="GH359" s="50"/>
      <c r="GI359" s="50"/>
      <c r="GJ359" s="50"/>
      <c r="GK359" s="50"/>
      <c r="GL359" s="50"/>
      <c r="GM359" s="50"/>
      <c r="GN359" s="50"/>
      <c r="GO359" s="50"/>
      <c r="GP359" s="50"/>
      <c r="GQ359" s="50"/>
      <c r="GR359" s="50"/>
      <c r="GS359" s="50"/>
      <c r="GT359" s="50"/>
      <c r="GU359" s="50"/>
      <c r="GV359" s="50"/>
      <c r="GW359" s="50"/>
      <c r="GX359" s="50"/>
      <c r="GY359" s="50"/>
      <c r="GZ359" s="50"/>
      <c r="HA359" s="50"/>
      <c r="HB359" s="50"/>
      <c r="HC359" s="50"/>
      <c r="HD359" s="50"/>
      <c r="HE359" s="50"/>
      <c r="HF359" s="50"/>
      <c r="HG359" s="50"/>
      <c r="HH359" s="50"/>
      <c r="HI359" s="50"/>
      <c r="HJ359" s="50"/>
      <c r="HK359" s="50"/>
      <c r="HL359" s="50"/>
      <c r="HM359" s="50"/>
      <c r="HN359" s="50"/>
      <c r="HO359" s="50"/>
      <c r="HP359" s="50"/>
      <c r="HQ359" s="50"/>
      <c r="HR359" s="50"/>
      <c r="HS359" s="50"/>
      <c r="HT359" s="50"/>
      <c r="HU359" s="50"/>
      <c r="HV359" s="50"/>
      <c r="HW359" s="50"/>
      <c r="HX359" s="50"/>
      <c r="HY359" s="50"/>
      <c r="HZ359" s="50"/>
      <c r="IA359" s="50"/>
      <c r="IB359" s="50"/>
      <c r="IC359" s="50"/>
      <c r="ID359" s="50"/>
      <c r="IE359" s="50"/>
      <c r="IF359" s="50"/>
      <c r="IG359" s="50"/>
      <c r="IH359" s="50"/>
      <c r="II359" s="50"/>
      <c r="IJ359" s="50"/>
      <c r="IK359" s="50"/>
      <c r="IL359" s="50"/>
      <c r="IM359" s="50"/>
      <c r="IN359" s="50"/>
      <c r="IO359" s="50"/>
      <c r="IP359" s="50"/>
      <c r="IQ359" s="50"/>
      <c r="IR359" s="50"/>
      <c r="IS359" s="50"/>
      <c r="IT359" s="50"/>
      <c r="IU359" s="50"/>
    </row>
    <row r="360" spans="1:255" s="62" customFormat="1" ht="15.75" hidden="1" customHeight="1" x14ac:dyDescent="0.3">
      <c r="A360" s="133" t="s">
        <v>258</v>
      </c>
      <c r="B360" s="52"/>
      <c r="C360" s="53"/>
      <c r="D360" s="138">
        <f t="shared" si="28"/>
        <v>67.483333333333334</v>
      </c>
      <c r="E360" s="54">
        <v>5.1269999999999998</v>
      </c>
      <c r="F360" s="45">
        <v>-1.0780000000000001</v>
      </c>
      <c r="G360" s="45">
        <v>0</v>
      </c>
      <c r="H360" s="45"/>
      <c r="I360" s="55">
        <v>4.0489999999999995</v>
      </c>
      <c r="J360" s="492" t="s">
        <v>141</v>
      </c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  <c r="DJ360" s="50"/>
      <c r="DK360" s="50"/>
      <c r="DL360" s="50"/>
      <c r="DM360" s="50"/>
      <c r="DN360" s="50"/>
      <c r="DO360" s="50"/>
      <c r="DP360" s="50"/>
      <c r="DQ360" s="50"/>
      <c r="DR360" s="50"/>
      <c r="DS360" s="50"/>
      <c r="DT360" s="50"/>
      <c r="DU360" s="50"/>
      <c r="DV360" s="50"/>
      <c r="DW360" s="50"/>
      <c r="DX360" s="50"/>
      <c r="DY360" s="50"/>
      <c r="DZ360" s="50"/>
      <c r="EA360" s="50"/>
      <c r="EB360" s="50"/>
      <c r="EC360" s="50"/>
      <c r="ED360" s="50"/>
      <c r="EE360" s="50"/>
      <c r="EF360" s="50"/>
      <c r="EG360" s="50"/>
      <c r="EH360" s="50"/>
      <c r="EI360" s="50"/>
      <c r="EJ360" s="50"/>
      <c r="EK360" s="50"/>
      <c r="EL360" s="50"/>
      <c r="EM360" s="50"/>
      <c r="EN360" s="50"/>
      <c r="EO360" s="50"/>
      <c r="EP360" s="50"/>
      <c r="EQ360" s="50"/>
      <c r="ER360" s="50"/>
      <c r="ES360" s="50"/>
      <c r="ET360" s="50"/>
      <c r="EU360" s="50"/>
      <c r="EV360" s="50"/>
      <c r="EW360" s="50"/>
      <c r="EX360" s="50"/>
      <c r="EY360" s="50"/>
      <c r="EZ360" s="50"/>
      <c r="FA360" s="50"/>
      <c r="FB360" s="50"/>
      <c r="FC360" s="50"/>
      <c r="FD360" s="50"/>
      <c r="FE360" s="50"/>
      <c r="FF360" s="50"/>
      <c r="FG360" s="50"/>
      <c r="FH360" s="50"/>
      <c r="FI360" s="50"/>
      <c r="FJ360" s="50"/>
      <c r="FK360" s="50"/>
      <c r="FL360" s="50"/>
      <c r="FM360" s="50"/>
      <c r="FN360" s="50"/>
      <c r="FO360" s="50"/>
      <c r="FP360" s="50"/>
      <c r="FQ360" s="50"/>
      <c r="FR360" s="50"/>
      <c r="FS360" s="50"/>
      <c r="FT360" s="50"/>
      <c r="FU360" s="50"/>
      <c r="FV360" s="50"/>
      <c r="FW360" s="50"/>
      <c r="FX360" s="50"/>
      <c r="FY360" s="50"/>
      <c r="FZ360" s="50"/>
      <c r="GA360" s="50"/>
      <c r="GB360" s="50"/>
      <c r="GC360" s="50"/>
      <c r="GD360" s="50"/>
      <c r="GE360" s="50"/>
      <c r="GF360" s="50"/>
      <c r="GG360" s="50"/>
      <c r="GH360" s="50"/>
      <c r="GI360" s="50"/>
      <c r="GJ360" s="50"/>
      <c r="GK360" s="50"/>
      <c r="GL360" s="50"/>
      <c r="GM360" s="50"/>
      <c r="GN360" s="50"/>
      <c r="GO360" s="50"/>
      <c r="GP360" s="50"/>
      <c r="GQ360" s="50"/>
      <c r="GR360" s="50"/>
      <c r="GS360" s="50"/>
      <c r="GT360" s="50"/>
      <c r="GU360" s="50"/>
      <c r="GV360" s="50"/>
      <c r="GW360" s="50"/>
      <c r="GX360" s="50"/>
      <c r="GY360" s="50"/>
      <c r="GZ360" s="50"/>
      <c r="HA360" s="50"/>
      <c r="HB360" s="50"/>
      <c r="HC360" s="50"/>
      <c r="HD360" s="50"/>
      <c r="HE360" s="50"/>
      <c r="HF360" s="50"/>
      <c r="HG360" s="50"/>
      <c r="HH360" s="50"/>
      <c r="HI360" s="50"/>
      <c r="HJ360" s="50"/>
      <c r="HK360" s="50"/>
      <c r="HL360" s="50"/>
      <c r="HM360" s="50"/>
      <c r="HN360" s="50"/>
      <c r="HO360" s="50"/>
      <c r="HP360" s="50"/>
      <c r="HQ360" s="50"/>
      <c r="HR360" s="50"/>
      <c r="HS360" s="50"/>
      <c r="HT360" s="50"/>
      <c r="HU360" s="50"/>
      <c r="HV360" s="50"/>
      <c r="HW360" s="50"/>
      <c r="HX360" s="50"/>
      <c r="HY360" s="50"/>
      <c r="HZ360" s="50"/>
      <c r="IA360" s="50"/>
      <c r="IB360" s="50"/>
      <c r="IC360" s="50"/>
      <c r="ID360" s="50"/>
      <c r="IE360" s="50"/>
      <c r="IF360" s="50"/>
      <c r="IG360" s="50"/>
      <c r="IH360" s="50"/>
      <c r="II360" s="50"/>
      <c r="IJ360" s="50"/>
      <c r="IK360" s="50"/>
      <c r="IL360" s="50"/>
      <c r="IM360" s="50"/>
      <c r="IN360" s="50"/>
      <c r="IO360" s="50"/>
      <c r="IP360" s="50"/>
      <c r="IQ360" s="50"/>
      <c r="IR360" s="50"/>
      <c r="IS360" s="50"/>
      <c r="IT360" s="50"/>
      <c r="IU360" s="50"/>
    </row>
    <row r="361" spans="1:255" s="62" customFormat="1" ht="15.75" hidden="1" customHeight="1" x14ac:dyDescent="0.3">
      <c r="A361" s="133" t="s">
        <v>259</v>
      </c>
      <c r="B361" s="52"/>
      <c r="C361" s="53"/>
      <c r="D361" s="138">
        <f t="shared" si="28"/>
        <v>93.13333333333334</v>
      </c>
      <c r="E361" s="54">
        <v>6.9690000000000003</v>
      </c>
      <c r="F361" s="45">
        <v>-1.381</v>
      </c>
      <c r="G361" s="45">
        <v>0</v>
      </c>
      <c r="H361" s="45"/>
      <c r="I361" s="55">
        <v>5.5880000000000001</v>
      </c>
      <c r="J361" s="492" t="s">
        <v>141</v>
      </c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  <c r="DJ361" s="50"/>
      <c r="DK361" s="50"/>
      <c r="DL361" s="50"/>
      <c r="DM361" s="50"/>
      <c r="DN361" s="50"/>
      <c r="DO361" s="50"/>
      <c r="DP361" s="50"/>
      <c r="DQ361" s="50"/>
      <c r="DR361" s="50"/>
      <c r="DS361" s="50"/>
      <c r="DT361" s="50"/>
      <c r="DU361" s="50"/>
      <c r="DV361" s="50"/>
      <c r="DW361" s="50"/>
      <c r="DX361" s="50"/>
      <c r="DY361" s="50"/>
      <c r="DZ361" s="50"/>
      <c r="EA361" s="50"/>
      <c r="EB361" s="50"/>
      <c r="EC361" s="50"/>
      <c r="ED361" s="50"/>
      <c r="EE361" s="50"/>
      <c r="EF361" s="50"/>
      <c r="EG361" s="50"/>
      <c r="EH361" s="50"/>
      <c r="EI361" s="50"/>
      <c r="EJ361" s="50"/>
      <c r="EK361" s="50"/>
      <c r="EL361" s="50"/>
      <c r="EM361" s="50"/>
      <c r="EN361" s="50"/>
      <c r="EO361" s="50"/>
      <c r="EP361" s="50"/>
      <c r="EQ361" s="50"/>
      <c r="ER361" s="50"/>
      <c r="ES361" s="50"/>
      <c r="ET361" s="50"/>
      <c r="EU361" s="50"/>
      <c r="EV361" s="50"/>
      <c r="EW361" s="50"/>
      <c r="EX361" s="50"/>
      <c r="EY361" s="50"/>
      <c r="EZ361" s="50"/>
      <c r="FA361" s="50"/>
      <c r="FB361" s="50"/>
      <c r="FC361" s="50"/>
      <c r="FD361" s="50"/>
      <c r="FE361" s="50"/>
      <c r="FF361" s="50"/>
      <c r="FG361" s="50"/>
      <c r="FH361" s="50"/>
      <c r="FI361" s="50"/>
      <c r="FJ361" s="50"/>
      <c r="FK361" s="50"/>
      <c r="FL361" s="50"/>
      <c r="FM361" s="50"/>
      <c r="FN361" s="50"/>
      <c r="FO361" s="50"/>
      <c r="FP361" s="50"/>
      <c r="FQ361" s="50"/>
      <c r="FR361" s="50"/>
      <c r="FS361" s="50"/>
      <c r="FT361" s="50"/>
      <c r="FU361" s="50"/>
      <c r="FV361" s="50"/>
      <c r="FW361" s="50"/>
      <c r="FX361" s="50"/>
      <c r="FY361" s="50"/>
      <c r="FZ361" s="50"/>
      <c r="GA361" s="50"/>
      <c r="GB361" s="50"/>
      <c r="GC361" s="50"/>
      <c r="GD361" s="50"/>
      <c r="GE361" s="50"/>
      <c r="GF361" s="50"/>
      <c r="GG361" s="50"/>
      <c r="GH361" s="50"/>
      <c r="GI361" s="50"/>
      <c r="GJ361" s="50"/>
      <c r="GK361" s="50"/>
      <c r="GL361" s="50"/>
      <c r="GM361" s="50"/>
      <c r="GN361" s="50"/>
      <c r="GO361" s="50"/>
      <c r="GP361" s="50"/>
      <c r="GQ361" s="50"/>
      <c r="GR361" s="50"/>
      <c r="GS361" s="50"/>
      <c r="GT361" s="50"/>
      <c r="GU361" s="50"/>
      <c r="GV361" s="50"/>
      <c r="GW361" s="50"/>
      <c r="GX361" s="50"/>
      <c r="GY361" s="50"/>
      <c r="GZ361" s="50"/>
      <c r="HA361" s="50"/>
      <c r="HB361" s="50"/>
      <c r="HC361" s="50"/>
      <c r="HD361" s="50"/>
      <c r="HE361" s="50"/>
      <c r="HF361" s="50"/>
      <c r="HG361" s="50"/>
      <c r="HH361" s="50"/>
      <c r="HI361" s="50"/>
      <c r="HJ361" s="50"/>
      <c r="HK361" s="50"/>
      <c r="HL361" s="50"/>
      <c r="HM361" s="50"/>
      <c r="HN361" s="50"/>
      <c r="HO361" s="50"/>
      <c r="HP361" s="50"/>
      <c r="HQ361" s="50"/>
      <c r="HR361" s="50"/>
      <c r="HS361" s="50"/>
      <c r="HT361" s="50"/>
      <c r="HU361" s="50"/>
      <c r="HV361" s="50"/>
      <c r="HW361" s="50"/>
      <c r="HX361" s="50"/>
      <c r="HY361" s="50"/>
      <c r="HZ361" s="50"/>
      <c r="IA361" s="50"/>
      <c r="IB361" s="50"/>
      <c r="IC361" s="50"/>
      <c r="ID361" s="50"/>
      <c r="IE361" s="50"/>
      <c r="IF361" s="50"/>
      <c r="IG361" s="50"/>
      <c r="IH361" s="50"/>
      <c r="II361" s="50"/>
      <c r="IJ361" s="50"/>
      <c r="IK361" s="50"/>
      <c r="IL361" s="50"/>
      <c r="IM361" s="50"/>
      <c r="IN361" s="50"/>
      <c r="IO361" s="50"/>
      <c r="IP361" s="50"/>
      <c r="IQ361" s="50"/>
      <c r="IR361" s="50"/>
      <c r="IS361" s="50"/>
      <c r="IT361" s="50"/>
      <c r="IU361" s="50"/>
    </row>
    <row r="362" spans="1:255" s="62" customFormat="1" ht="15.75" hidden="1" customHeight="1" x14ac:dyDescent="0.3">
      <c r="A362" s="133" t="s">
        <v>260</v>
      </c>
      <c r="B362" s="52"/>
      <c r="C362" s="53"/>
      <c r="D362" s="138">
        <f t="shared" si="28"/>
        <v>35.116666666666667</v>
      </c>
      <c r="E362" s="54">
        <v>2.7719999999999998</v>
      </c>
      <c r="F362" s="45">
        <v>-0.66500000000000004</v>
      </c>
      <c r="G362" s="45">
        <v>0</v>
      </c>
      <c r="H362" s="45"/>
      <c r="I362" s="55">
        <v>2.1069999999999998</v>
      </c>
      <c r="J362" s="492" t="s">
        <v>141</v>
      </c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  <c r="DJ362" s="50"/>
      <c r="DK362" s="50"/>
      <c r="DL362" s="50"/>
      <c r="DM362" s="50"/>
      <c r="DN362" s="50"/>
      <c r="DO362" s="50"/>
      <c r="DP362" s="50"/>
      <c r="DQ362" s="50"/>
      <c r="DR362" s="50"/>
      <c r="DS362" s="50"/>
      <c r="DT362" s="50"/>
      <c r="DU362" s="50"/>
      <c r="DV362" s="50"/>
      <c r="DW362" s="50"/>
      <c r="DX362" s="50"/>
      <c r="DY362" s="50"/>
      <c r="DZ362" s="50"/>
      <c r="EA362" s="50"/>
      <c r="EB362" s="50"/>
      <c r="EC362" s="50"/>
      <c r="ED362" s="50"/>
      <c r="EE362" s="50"/>
      <c r="EF362" s="50"/>
      <c r="EG362" s="50"/>
      <c r="EH362" s="50"/>
      <c r="EI362" s="50"/>
      <c r="EJ362" s="50"/>
      <c r="EK362" s="50"/>
      <c r="EL362" s="50"/>
      <c r="EM362" s="50"/>
      <c r="EN362" s="50"/>
      <c r="EO362" s="50"/>
      <c r="EP362" s="50"/>
      <c r="EQ362" s="50"/>
      <c r="ER362" s="50"/>
      <c r="ES362" s="50"/>
      <c r="ET362" s="50"/>
      <c r="EU362" s="50"/>
      <c r="EV362" s="50"/>
      <c r="EW362" s="50"/>
      <c r="EX362" s="50"/>
      <c r="EY362" s="50"/>
      <c r="EZ362" s="50"/>
      <c r="FA362" s="50"/>
      <c r="FB362" s="50"/>
      <c r="FC362" s="50"/>
      <c r="FD362" s="50"/>
      <c r="FE362" s="50"/>
      <c r="FF362" s="50"/>
      <c r="FG362" s="50"/>
      <c r="FH362" s="50"/>
      <c r="FI362" s="50"/>
      <c r="FJ362" s="50"/>
      <c r="FK362" s="50"/>
      <c r="FL362" s="50"/>
      <c r="FM362" s="50"/>
      <c r="FN362" s="50"/>
      <c r="FO362" s="50"/>
      <c r="FP362" s="50"/>
      <c r="FQ362" s="50"/>
      <c r="FR362" s="50"/>
      <c r="FS362" s="50"/>
      <c r="FT362" s="50"/>
      <c r="FU362" s="50"/>
      <c r="FV362" s="50"/>
      <c r="FW362" s="50"/>
      <c r="FX362" s="50"/>
      <c r="FY362" s="50"/>
      <c r="FZ362" s="50"/>
      <c r="GA362" s="50"/>
      <c r="GB362" s="50"/>
      <c r="GC362" s="50"/>
      <c r="GD362" s="50"/>
      <c r="GE362" s="50"/>
      <c r="GF362" s="50"/>
      <c r="GG362" s="50"/>
      <c r="GH362" s="50"/>
      <c r="GI362" s="50"/>
      <c r="GJ362" s="50"/>
      <c r="GK362" s="50"/>
      <c r="GL362" s="50"/>
      <c r="GM362" s="50"/>
      <c r="GN362" s="50"/>
      <c r="GO362" s="50"/>
      <c r="GP362" s="50"/>
      <c r="GQ362" s="50"/>
      <c r="GR362" s="50"/>
      <c r="GS362" s="50"/>
      <c r="GT362" s="50"/>
      <c r="GU362" s="50"/>
      <c r="GV362" s="50"/>
      <c r="GW362" s="50"/>
      <c r="GX362" s="50"/>
      <c r="GY362" s="50"/>
      <c r="GZ362" s="50"/>
      <c r="HA362" s="50"/>
      <c r="HB362" s="50"/>
      <c r="HC362" s="50"/>
      <c r="HD362" s="50"/>
      <c r="HE362" s="50"/>
      <c r="HF362" s="50"/>
      <c r="HG362" s="50"/>
      <c r="HH362" s="50"/>
      <c r="HI362" s="50"/>
      <c r="HJ362" s="50"/>
      <c r="HK362" s="50"/>
      <c r="HL362" s="50"/>
      <c r="HM362" s="50"/>
      <c r="HN362" s="50"/>
      <c r="HO362" s="50"/>
      <c r="HP362" s="50"/>
      <c r="HQ362" s="50"/>
      <c r="HR362" s="50"/>
      <c r="HS362" s="50"/>
      <c r="HT362" s="50"/>
      <c r="HU362" s="50"/>
      <c r="HV362" s="50"/>
      <c r="HW362" s="50"/>
      <c r="HX362" s="50"/>
      <c r="HY362" s="50"/>
      <c r="HZ362" s="50"/>
      <c r="IA362" s="50"/>
      <c r="IB362" s="50"/>
      <c r="IC362" s="50"/>
      <c r="ID362" s="50"/>
      <c r="IE362" s="50"/>
      <c r="IF362" s="50"/>
      <c r="IG362" s="50"/>
      <c r="IH362" s="50"/>
      <c r="II362" s="50"/>
      <c r="IJ362" s="50"/>
      <c r="IK362" s="50"/>
      <c r="IL362" s="50"/>
      <c r="IM362" s="50"/>
      <c r="IN362" s="50"/>
      <c r="IO362" s="50"/>
      <c r="IP362" s="50"/>
      <c r="IQ362" s="50"/>
      <c r="IR362" s="50"/>
      <c r="IS362" s="50"/>
      <c r="IT362" s="50"/>
      <c r="IU362" s="50"/>
    </row>
    <row r="363" spans="1:255" s="50" customFormat="1" ht="15.75" hidden="1" customHeight="1" x14ac:dyDescent="0.3">
      <c r="A363" s="133" t="s">
        <v>261</v>
      </c>
      <c r="B363" s="52">
        <v>37083</v>
      </c>
      <c r="C363" s="53" t="s">
        <v>203</v>
      </c>
      <c r="D363" s="138">
        <f t="shared" ref="D363:D375" si="29">I363/0.015</f>
        <v>-203.66666666666666</v>
      </c>
      <c r="E363" s="54">
        <v>-2.36</v>
      </c>
      <c r="F363" s="45">
        <v>-0.69499999999999995</v>
      </c>
      <c r="G363" s="45">
        <v>0</v>
      </c>
      <c r="H363" s="45">
        <v>0</v>
      </c>
      <c r="I363" s="55">
        <f t="shared" ref="I363:I378" si="30">SUM(E363:H363)</f>
        <v>-3.0549999999999997</v>
      </c>
      <c r="J363" s="492" t="s">
        <v>141</v>
      </c>
    </row>
    <row r="364" spans="1:255" s="50" customFormat="1" ht="15.75" hidden="1" customHeight="1" x14ac:dyDescent="0.3">
      <c r="A364" s="133" t="s">
        <v>262</v>
      </c>
      <c r="B364" s="52">
        <v>37091</v>
      </c>
      <c r="C364" s="53" t="s">
        <v>203</v>
      </c>
      <c r="D364" s="138">
        <f t="shared" si="29"/>
        <v>-455.06666666666672</v>
      </c>
      <c r="E364" s="54">
        <v>-7.36</v>
      </c>
      <c r="F364" s="45">
        <v>0.53400000000000003</v>
      </c>
      <c r="G364" s="45">
        <v>0</v>
      </c>
      <c r="H364" s="45">
        <v>0</v>
      </c>
      <c r="I364" s="55">
        <f t="shared" si="30"/>
        <v>-6.8260000000000005</v>
      </c>
      <c r="J364" s="492" t="s">
        <v>141</v>
      </c>
    </row>
    <row r="365" spans="1:255" s="50" customFormat="1" ht="15.75" hidden="1" customHeight="1" x14ac:dyDescent="0.3">
      <c r="A365" s="133" t="s">
        <v>263</v>
      </c>
      <c r="B365" s="52">
        <v>37091</v>
      </c>
      <c r="C365" s="53" t="s">
        <v>203</v>
      </c>
      <c r="D365" s="138">
        <f t="shared" si="29"/>
        <v>1693.3333333333333</v>
      </c>
      <c r="E365" s="54">
        <v>29.009</v>
      </c>
      <c r="F365" s="45">
        <v>-3.609</v>
      </c>
      <c r="G365" s="45">
        <v>0</v>
      </c>
      <c r="H365" s="45">
        <v>0</v>
      </c>
      <c r="I365" s="55">
        <f t="shared" si="30"/>
        <v>25.4</v>
      </c>
      <c r="J365" s="492" t="s">
        <v>141</v>
      </c>
    </row>
    <row r="366" spans="1:255" s="50" customFormat="1" ht="15.75" hidden="1" customHeight="1" x14ac:dyDescent="0.3">
      <c r="A366" s="133" t="s">
        <v>264</v>
      </c>
      <c r="B366" s="52">
        <v>37091</v>
      </c>
      <c r="C366" s="53" t="s">
        <v>203</v>
      </c>
      <c r="D366" s="138">
        <f t="shared" si="29"/>
        <v>138.4</v>
      </c>
      <c r="E366" s="54">
        <v>2.4470000000000001</v>
      </c>
      <c r="F366" s="45">
        <v>-0.371</v>
      </c>
      <c r="G366" s="45">
        <v>0</v>
      </c>
      <c r="H366" s="45">
        <v>0</v>
      </c>
      <c r="I366" s="55">
        <f t="shared" si="30"/>
        <v>2.0760000000000001</v>
      </c>
      <c r="J366" s="492" t="s">
        <v>141</v>
      </c>
    </row>
    <row r="367" spans="1:255" s="50" customFormat="1" ht="15.75" hidden="1" customHeight="1" x14ac:dyDescent="0.3">
      <c r="A367" s="133" t="s">
        <v>265</v>
      </c>
      <c r="B367" s="52">
        <v>37091</v>
      </c>
      <c r="C367" s="53" t="s">
        <v>203</v>
      </c>
      <c r="D367" s="138">
        <f t="shared" si="29"/>
        <v>334.06666666666666</v>
      </c>
      <c r="E367" s="54">
        <v>6.0060000000000002</v>
      </c>
      <c r="F367" s="45">
        <v>-0.995</v>
      </c>
      <c r="G367" s="45">
        <v>0</v>
      </c>
      <c r="H367" s="45">
        <v>0</v>
      </c>
      <c r="I367" s="55">
        <f t="shared" si="30"/>
        <v>5.0110000000000001</v>
      </c>
      <c r="J367" s="492" t="s">
        <v>141</v>
      </c>
    </row>
    <row r="368" spans="1:255" s="50" customFormat="1" ht="15.75" hidden="1" customHeight="1" x14ac:dyDescent="0.3">
      <c r="A368" s="133" t="s">
        <v>266</v>
      </c>
      <c r="B368" s="52">
        <v>37091</v>
      </c>
      <c r="C368" s="53" t="s">
        <v>203</v>
      </c>
      <c r="D368" s="138">
        <f t="shared" si="29"/>
        <v>1557.0666666666668</v>
      </c>
      <c r="E368" s="54">
        <v>28.273</v>
      </c>
      <c r="F368" s="45">
        <v>-4.9169999999999998</v>
      </c>
      <c r="G368" s="45">
        <v>0</v>
      </c>
      <c r="H368" s="45">
        <v>0</v>
      </c>
      <c r="I368" s="55">
        <f t="shared" si="30"/>
        <v>23.356000000000002</v>
      </c>
      <c r="J368" s="492" t="s">
        <v>141</v>
      </c>
    </row>
    <row r="369" spans="1:10" s="50" customFormat="1" ht="15.75" hidden="1" customHeight="1" x14ac:dyDescent="0.3">
      <c r="A369" s="133" t="s">
        <v>267</v>
      </c>
      <c r="B369" s="52">
        <v>37091</v>
      </c>
      <c r="C369" s="53" t="s">
        <v>203</v>
      </c>
      <c r="D369" s="138">
        <f t="shared" si="29"/>
        <v>980.86666666666667</v>
      </c>
      <c r="E369" s="54">
        <v>18.27</v>
      </c>
      <c r="F369" s="45">
        <v>-3.5569999999999999</v>
      </c>
      <c r="G369" s="45">
        <v>0</v>
      </c>
      <c r="H369" s="45">
        <v>0</v>
      </c>
      <c r="I369" s="55">
        <f t="shared" si="30"/>
        <v>14.712999999999999</v>
      </c>
      <c r="J369" s="492" t="s">
        <v>141</v>
      </c>
    </row>
    <row r="370" spans="1:10" s="50" customFormat="1" ht="15.75" hidden="1" customHeight="1" x14ac:dyDescent="0.3">
      <c r="A370" s="133" t="s">
        <v>268</v>
      </c>
      <c r="B370" s="52">
        <v>37091</v>
      </c>
      <c r="C370" s="53" t="s">
        <v>203</v>
      </c>
      <c r="D370" s="138">
        <f t="shared" si="29"/>
        <v>327.33333333333337</v>
      </c>
      <c r="E370" s="54">
        <v>6.2080000000000002</v>
      </c>
      <c r="F370" s="45">
        <v>-1.298</v>
      </c>
      <c r="G370" s="45">
        <v>0</v>
      </c>
      <c r="H370" s="45">
        <v>0</v>
      </c>
      <c r="I370" s="55">
        <f t="shared" si="30"/>
        <v>4.91</v>
      </c>
      <c r="J370" s="492" t="s">
        <v>141</v>
      </c>
    </row>
    <row r="371" spans="1:10" s="50" customFormat="1" ht="15.75" hidden="1" customHeight="1" x14ac:dyDescent="0.3">
      <c r="A371" s="133" t="s">
        <v>269</v>
      </c>
      <c r="B371" s="52">
        <v>37091</v>
      </c>
      <c r="C371" s="53" t="s">
        <v>203</v>
      </c>
      <c r="D371" s="138">
        <f t="shared" si="29"/>
        <v>-0.73333333333333406</v>
      </c>
      <c r="E371" s="54">
        <v>0.24399999999999999</v>
      </c>
      <c r="F371" s="45">
        <v>-0.255</v>
      </c>
      <c r="G371" s="45">
        <v>0</v>
      </c>
      <c r="H371" s="45">
        <v>0</v>
      </c>
      <c r="I371" s="55">
        <f t="shared" si="30"/>
        <v>-1.100000000000001E-2</v>
      </c>
      <c r="J371" s="492" t="s">
        <v>141</v>
      </c>
    </row>
    <row r="372" spans="1:10" s="50" customFormat="1" ht="15.75" hidden="1" customHeight="1" x14ac:dyDescent="0.3">
      <c r="A372" s="133" t="s">
        <v>270</v>
      </c>
      <c r="B372" s="52">
        <v>37091</v>
      </c>
      <c r="C372" s="53" t="s">
        <v>203</v>
      </c>
      <c r="D372" s="138">
        <f t="shared" si="29"/>
        <v>333.33333333333337</v>
      </c>
      <c r="E372" s="54">
        <v>5.9779999999999998</v>
      </c>
      <c r="F372" s="45">
        <v>-0.97799999999999998</v>
      </c>
      <c r="G372" s="45">
        <v>0</v>
      </c>
      <c r="H372" s="45">
        <v>0</v>
      </c>
      <c r="I372" s="55">
        <f t="shared" si="30"/>
        <v>5</v>
      </c>
      <c r="J372" s="492" t="s">
        <v>141</v>
      </c>
    </row>
    <row r="373" spans="1:10" s="50" customFormat="1" ht="15.75" hidden="1" customHeight="1" x14ac:dyDescent="0.3">
      <c r="A373" s="133" t="s">
        <v>271</v>
      </c>
      <c r="B373" s="52">
        <v>37091</v>
      </c>
      <c r="C373" s="53" t="s">
        <v>203</v>
      </c>
      <c r="D373" s="138">
        <f t="shared" si="29"/>
        <v>464.53333333333336</v>
      </c>
      <c r="E373" s="54">
        <v>8.3330000000000002</v>
      </c>
      <c r="F373" s="45">
        <v>-1.365</v>
      </c>
      <c r="G373" s="45">
        <v>0</v>
      </c>
      <c r="H373" s="45">
        <v>0</v>
      </c>
      <c r="I373" s="55">
        <f t="shared" si="30"/>
        <v>6.968</v>
      </c>
      <c r="J373" s="492" t="s">
        <v>141</v>
      </c>
    </row>
    <row r="374" spans="1:10" s="50" customFormat="1" ht="15.75" hidden="1" customHeight="1" x14ac:dyDescent="0.3">
      <c r="A374" s="133" t="s">
        <v>272</v>
      </c>
      <c r="B374" s="52">
        <v>37091</v>
      </c>
      <c r="C374" s="53" t="s">
        <v>203</v>
      </c>
      <c r="D374" s="138">
        <f t="shared" si="29"/>
        <v>-460.66666666666669</v>
      </c>
      <c r="E374" s="54">
        <v>-8.1950000000000003</v>
      </c>
      <c r="F374" s="45">
        <v>1.2849999999999999</v>
      </c>
      <c r="G374" s="45">
        <v>0</v>
      </c>
      <c r="H374" s="45">
        <v>0</v>
      </c>
      <c r="I374" s="55">
        <f t="shared" si="30"/>
        <v>-6.91</v>
      </c>
      <c r="J374" s="492" t="s">
        <v>141</v>
      </c>
    </row>
    <row r="375" spans="1:10" s="50" customFormat="1" ht="15.75" hidden="1" customHeight="1" x14ac:dyDescent="0.3">
      <c r="A375" s="133" t="s">
        <v>273</v>
      </c>
      <c r="B375" s="52">
        <v>37091</v>
      </c>
      <c r="C375" s="53" t="s">
        <v>203</v>
      </c>
      <c r="D375" s="138">
        <f t="shared" si="29"/>
        <v>-106.66666666666667</v>
      </c>
      <c r="E375" s="54">
        <v>-1.851</v>
      </c>
      <c r="F375" s="45">
        <v>0.251</v>
      </c>
      <c r="G375" s="45">
        <v>0</v>
      </c>
      <c r="H375" s="45">
        <v>0</v>
      </c>
      <c r="I375" s="55">
        <f t="shared" si="30"/>
        <v>-1.6</v>
      </c>
      <c r="J375" s="492" t="s">
        <v>141</v>
      </c>
    </row>
    <row r="376" spans="1:10" s="50" customFormat="1" ht="15.75" hidden="1" customHeight="1" x14ac:dyDescent="0.3">
      <c r="A376" s="133" t="s">
        <v>274</v>
      </c>
      <c r="B376" s="52">
        <v>37098</v>
      </c>
      <c r="C376" s="57" t="s">
        <v>163</v>
      </c>
      <c r="D376" s="417">
        <v>-1693</v>
      </c>
      <c r="E376" s="54">
        <v>-29.009</v>
      </c>
      <c r="F376" s="45">
        <v>3.609</v>
      </c>
      <c r="G376" s="45"/>
      <c r="H376" s="45"/>
      <c r="I376" s="55">
        <f t="shared" si="30"/>
        <v>-25.4</v>
      </c>
      <c r="J376" s="492" t="s">
        <v>141</v>
      </c>
    </row>
    <row r="377" spans="1:10" s="50" customFormat="1" ht="15.75" hidden="1" customHeight="1" x14ac:dyDescent="0.3">
      <c r="A377" s="133" t="s">
        <v>275</v>
      </c>
      <c r="B377" s="52">
        <v>37098</v>
      </c>
      <c r="C377" s="57" t="s">
        <v>163</v>
      </c>
      <c r="D377" s="417">
        <f>I377/0.03</f>
        <v>558.30000000000007</v>
      </c>
      <c r="E377" s="54">
        <v>20.358000000000001</v>
      </c>
      <c r="F377" s="45">
        <v>-3.609</v>
      </c>
      <c r="G377" s="45"/>
      <c r="H377" s="45"/>
      <c r="I377" s="55">
        <f t="shared" si="30"/>
        <v>16.749000000000002</v>
      </c>
      <c r="J377" s="492" t="s">
        <v>141</v>
      </c>
    </row>
    <row r="378" spans="1:10" s="50" customFormat="1" ht="15.75" hidden="1" customHeight="1" x14ac:dyDescent="0.3">
      <c r="A378" s="133" t="s">
        <v>276</v>
      </c>
      <c r="B378" s="52">
        <v>37091</v>
      </c>
      <c r="C378" s="53" t="s">
        <v>203</v>
      </c>
      <c r="D378" s="138">
        <f>I378/0.015</f>
        <v>-1547.2000000000003</v>
      </c>
      <c r="E378" s="54">
        <v>-26.751000000000001</v>
      </c>
      <c r="F378" s="45">
        <v>3.5430000000000001</v>
      </c>
      <c r="G378" s="45">
        <v>0</v>
      </c>
      <c r="H378" s="45">
        <v>0</v>
      </c>
      <c r="I378" s="55">
        <f t="shared" si="30"/>
        <v>-23.208000000000002</v>
      </c>
      <c r="J378" s="492" t="s">
        <v>141</v>
      </c>
    </row>
    <row r="379" spans="1:10" s="50" customFormat="1" ht="5.0999999999999996" hidden="1" customHeight="1" x14ac:dyDescent="0.3">
      <c r="A379" s="131"/>
      <c r="B379" s="128"/>
      <c r="C379" s="124"/>
      <c r="D379" s="423"/>
      <c r="E379" s="125"/>
      <c r="F379" s="126"/>
      <c r="G379" s="126"/>
      <c r="H379" s="126"/>
      <c r="I379" s="127"/>
      <c r="J379" s="492"/>
    </row>
    <row r="380" spans="1:10" s="56" customFormat="1" ht="15" x14ac:dyDescent="0.25">
      <c r="A380" s="68" t="s">
        <v>178</v>
      </c>
      <c r="B380" s="52">
        <v>37091</v>
      </c>
      <c r="C380" s="53" t="s">
        <v>163</v>
      </c>
      <c r="D380" s="138">
        <f t="shared" ref="D380:I380" si="31">SUM(D281:D292)</f>
        <v>-31943.533333333333</v>
      </c>
      <c r="E380" s="54">
        <f t="shared" si="31"/>
        <v>-488.02600000000007</v>
      </c>
      <c r="F380" s="45">
        <f t="shared" si="31"/>
        <v>8.8730000000000029</v>
      </c>
      <c r="G380" s="45">
        <f t="shared" si="31"/>
        <v>0</v>
      </c>
      <c r="H380" s="45">
        <f t="shared" si="31"/>
        <v>0</v>
      </c>
      <c r="I380" s="55">
        <f t="shared" si="31"/>
        <v>-479.15299999999996</v>
      </c>
      <c r="J380" s="492" t="s">
        <v>61</v>
      </c>
    </row>
    <row r="381" spans="1:10" s="56" customFormat="1" ht="5.0999999999999996" hidden="1" customHeight="1" x14ac:dyDescent="0.25">
      <c r="A381" s="122"/>
      <c r="B381" s="128"/>
      <c r="C381" s="124"/>
      <c r="D381" s="423"/>
      <c r="E381" s="125"/>
      <c r="F381" s="126"/>
      <c r="G381" s="126"/>
      <c r="H381" s="126"/>
      <c r="I381" s="127"/>
      <c r="J381" s="492"/>
    </row>
    <row r="382" spans="1:10" s="50" customFormat="1" ht="18" hidden="1" customHeight="1" x14ac:dyDescent="0.3">
      <c r="A382" s="133" t="s">
        <v>179</v>
      </c>
      <c r="B382" s="52">
        <v>37091</v>
      </c>
      <c r="C382" s="53" t="s">
        <v>163</v>
      </c>
      <c r="D382" s="138">
        <f t="shared" ref="D382:D400" si="32">I382/0.015</f>
        <v>-14239.6</v>
      </c>
      <c r="E382" s="54">
        <v>-216.42699999999999</v>
      </c>
      <c r="F382" s="45">
        <v>2.8330000000000002</v>
      </c>
      <c r="G382" s="45">
        <v>0</v>
      </c>
      <c r="H382" s="45">
        <v>0</v>
      </c>
      <c r="I382" s="55">
        <f t="shared" ref="I382:I400" si="33">SUM(E382:H382)</f>
        <v>-213.59399999999999</v>
      </c>
      <c r="J382" s="492" t="s">
        <v>61</v>
      </c>
    </row>
    <row r="383" spans="1:10" s="50" customFormat="1" ht="18" hidden="1" customHeight="1" x14ac:dyDescent="0.3">
      <c r="A383" s="133" t="s">
        <v>180</v>
      </c>
      <c r="B383" s="52">
        <v>37091</v>
      </c>
      <c r="C383" s="53" t="s">
        <v>163</v>
      </c>
      <c r="D383" s="138">
        <f t="shared" si="32"/>
        <v>-1543.1333333333332</v>
      </c>
      <c r="E383" s="54">
        <v>-23.58</v>
      </c>
      <c r="F383" s="45">
        <v>0.433</v>
      </c>
      <c r="G383" s="45">
        <v>0</v>
      </c>
      <c r="H383" s="45">
        <v>0</v>
      </c>
      <c r="I383" s="55">
        <f t="shared" si="33"/>
        <v>-23.146999999999998</v>
      </c>
      <c r="J383" s="492" t="s">
        <v>61</v>
      </c>
    </row>
    <row r="384" spans="1:10" s="50" customFormat="1" ht="18" hidden="1" customHeight="1" x14ac:dyDescent="0.3">
      <c r="A384" s="133" t="s">
        <v>181</v>
      </c>
      <c r="B384" s="52">
        <v>37091</v>
      </c>
      <c r="C384" s="53" t="s">
        <v>163</v>
      </c>
      <c r="D384" s="138">
        <f t="shared" si="32"/>
        <v>-3942.733333333334</v>
      </c>
      <c r="E384" s="54">
        <v>-60.087000000000003</v>
      </c>
      <c r="F384" s="45">
        <v>0.94599999999999995</v>
      </c>
      <c r="G384" s="45">
        <v>0</v>
      </c>
      <c r="H384" s="45">
        <v>0</v>
      </c>
      <c r="I384" s="55">
        <f t="shared" si="33"/>
        <v>-59.141000000000005</v>
      </c>
      <c r="J384" s="492" t="s">
        <v>61</v>
      </c>
    </row>
    <row r="385" spans="1:10" s="50" customFormat="1" ht="18" hidden="1" customHeight="1" x14ac:dyDescent="0.3">
      <c r="A385" s="133" t="s">
        <v>182</v>
      </c>
      <c r="B385" s="52">
        <v>37091</v>
      </c>
      <c r="C385" s="53" t="s">
        <v>163</v>
      </c>
      <c r="D385" s="138">
        <f t="shared" si="32"/>
        <v>-3801.0666666666666</v>
      </c>
      <c r="E385" s="54">
        <v>-58.116</v>
      </c>
      <c r="F385" s="45">
        <v>1.1000000000000001</v>
      </c>
      <c r="G385" s="45">
        <v>0</v>
      </c>
      <c r="H385" s="45">
        <v>0</v>
      </c>
      <c r="I385" s="55">
        <f t="shared" si="33"/>
        <v>-57.015999999999998</v>
      </c>
      <c r="J385" s="492" t="s">
        <v>61</v>
      </c>
    </row>
    <row r="386" spans="1:10" s="50" customFormat="1" ht="18" hidden="1" customHeight="1" x14ac:dyDescent="0.3">
      <c r="A386" s="133" t="s">
        <v>183</v>
      </c>
      <c r="B386" s="52">
        <v>37091</v>
      </c>
      <c r="C386" s="53" t="s">
        <v>163</v>
      </c>
      <c r="D386" s="138">
        <f t="shared" si="32"/>
        <v>-1048.1333333333334</v>
      </c>
      <c r="E386" s="54">
        <v>-16.045999999999999</v>
      </c>
      <c r="F386" s="45">
        <v>0.32400000000000001</v>
      </c>
      <c r="G386" s="45">
        <v>0</v>
      </c>
      <c r="H386" s="45">
        <v>0</v>
      </c>
      <c r="I386" s="55">
        <f t="shared" si="33"/>
        <v>-15.722</v>
      </c>
      <c r="J386" s="492" t="s">
        <v>61</v>
      </c>
    </row>
    <row r="387" spans="1:10" s="50" customFormat="1" ht="18" hidden="1" customHeight="1" x14ac:dyDescent="0.3">
      <c r="A387" s="133" t="s">
        <v>184</v>
      </c>
      <c r="B387" s="52">
        <v>37091</v>
      </c>
      <c r="C387" s="53" t="s">
        <v>163</v>
      </c>
      <c r="D387" s="138">
        <f t="shared" si="32"/>
        <v>-1563.4666666666667</v>
      </c>
      <c r="E387" s="54">
        <v>-23.786999999999999</v>
      </c>
      <c r="F387" s="45">
        <v>0.33500000000000002</v>
      </c>
      <c r="G387" s="45">
        <v>0</v>
      </c>
      <c r="H387" s="45">
        <v>0</v>
      </c>
      <c r="I387" s="55">
        <f t="shared" si="33"/>
        <v>-23.451999999999998</v>
      </c>
      <c r="J387" s="492" t="s">
        <v>61</v>
      </c>
    </row>
    <row r="388" spans="1:10" s="50" customFormat="1" ht="18" hidden="1" customHeight="1" x14ac:dyDescent="0.3">
      <c r="A388" s="133" t="s">
        <v>185</v>
      </c>
      <c r="B388" s="52">
        <v>37091</v>
      </c>
      <c r="C388" s="53" t="s">
        <v>163</v>
      </c>
      <c r="D388" s="138">
        <f t="shared" si="32"/>
        <v>-2016.9333333333334</v>
      </c>
      <c r="E388" s="54">
        <v>-30.68</v>
      </c>
      <c r="F388" s="45">
        <v>0.42599999999999999</v>
      </c>
      <c r="G388" s="45">
        <v>0</v>
      </c>
      <c r="H388" s="45">
        <v>0</v>
      </c>
      <c r="I388" s="55">
        <f t="shared" si="33"/>
        <v>-30.254000000000001</v>
      </c>
      <c r="J388" s="492" t="s">
        <v>61</v>
      </c>
    </row>
    <row r="389" spans="1:10" s="50" customFormat="1" ht="18" hidden="1" customHeight="1" x14ac:dyDescent="0.3">
      <c r="A389" s="133" t="s">
        <v>186</v>
      </c>
      <c r="B389" s="52">
        <v>37091</v>
      </c>
      <c r="C389" s="53" t="s">
        <v>163</v>
      </c>
      <c r="D389" s="138">
        <f t="shared" si="32"/>
        <v>-1010.4000000000001</v>
      </c>
      <c r="E389" s="54">
        <v>-15.598000000000001</v>
      </c>
      <c r="F389" s="45">
        <v>0.442</v>
      </c>
      <c r="G389" s="45">
        <v>0</v>
      </c>
      <c r="H389" s="45">
        <v>0</v>
      </c>
      <c r="I389" s="55">
        <f t="shared" si="33"/>
        <v>-15.156000000000001</v>
      </c>
      <c r="J389" s="492" t="s">
        <v>61</v>
      </c>
    </row>
    <row r="390" spans="1:10" s="50" customFormat="1" ht="18" hidden="1" customHeight="1" x14ac:dyDescent="0.3">
      <c r="A390" s="133" t="s">
        <v>187</v>
      </c>
      <c r="B390" s="52">
        <v>37091</v>
      </c>
      <c r="C390" s="53" t="s">
        <v>163</v>
      </c>
      <c r="D390" s="138">
        <f t="shared" si="32"/>
        <v>-1942.9333333333336</v>
      </c>
      <c r="E390" s="54">
        <v>-29.652000000000001</v>
      </c>
      <c r="F390" s="45">
        <v>0.50800000000000001</v>
      </c>
      <c r="G390" s="45">
        <v>0</v>
      </c>
      <c r="H390" s="45">
        <v>0</v>
      </c>
      <c r="I390" s="55">
        <f t="shared" si="33"/>
        <v>-29.144000000000002</v>
      </c>
      <c r="J390" s="492" t="s">
        <v>61</v>
      </c>
    </row>
    <row r="391" spans="1:10" s="50" customFormat="1" ht="18" hidden="1" customHeight="1" x14ac:dyDescent="0.3">
      <c r="A391" s="133" t="s">
        <v>188</v>
      </c>
      <c r="B391" s="52">
        <v>37091</v>
      </c>
      <c r="C391" s="53" t="s">
        <v>163</v>
      </c>
      <c r="D391" s="138">
        <f t="shared" si="32"/>
        <v>-1785.0000000000002</v>
      </c>
      <c r="E391" s="54">
        <v>-27.114000000000001</v>
      </c>
      <c r="F391" s="45">
        <v>0.33900000000000002</v>
      </c>
      <c r="G391" s="45">
        <v>0</v>
      </c>
      <c r="H391" s="45">
        <v>0</v>
      </c>
      <c r="I391" s="55">
        <f t="shared" si="33"/>
        <v>-26.775000000000002</v>
      </c>
      <c r="J391" s="492" t="s">
        <v>61</v>
      </c>
    </row>
    <row r="392" spans="1:10" s="50" customFormat="1" ht="18" hidden="1" customHeight="1" x14ac:dyDescent="0.3">
      <c r="A392" s="133" t="s">
        <v>189</v>
      </c>
      <c r="B392" s="52">
        <v>37091</v>
      </c>
      <c r="C392" s="53" t="s">
        <v>163</v>
      </c>
      <c r="D392" s="138">
        <f t="shared" si="32"/>
        <v>-1999.5333333333333</v>
      </c>
      <c r="E392" s="54">
        <v>-30.393999999999998</v>
      </c>
      <c r="F392" s="45">
        <v>0.40100000000000002</v>
      </c>
      <c r="G392" s="45">
        <v>0</v>
      </c>
      <c r="H392" s="45">
        <v>0</v>
      </c>
      <c r="I392" s="55">
        <f t="shared" si="33"/>
        <v>-29.992999999999999</v>
      </c>
      <c r="J392" s="492" t="s">
        <v>61</v>
      </c>
    </row>
    <row r="393" spans="1:10" s="50" customFormat="1" ht="18" hidden="1" customHeight="1" x14ac:dyDescent="0.3">
      <c r="A393" s="133" t="s">
        <v>190</v>
      </c>
      <c r="B393" s="52">
        <v>37091</v>
      </c>
      <c r="C393" s="53" t="s">
        <v>163</v>
      </c>
      <c r="D393" s="138">
        <f t="shared" si="32"/>
        <v>-1711.8</v>
      </c>
      <c r="E393" s="54">
        <v>-26.207000000000001</v>
      </c>
      <c r="F393" s="45">
        <v>0.53</v>
      </c>
      <c r="G393" s="45">
        <v>0</v>
      </c>
      <c r="H393" s="45">
        <v>0</v>
      </c>
      <c r="I393" s="55">
        <f t="shared" si="33"/>
        <v>-25.677</v>
      </c>
      <c r="J393" s="492" t="s">
        <v>61</v>
      </c>
    </row>
    <row r="394" spans="1:10" s="50" customFormat="1" ht="18" hidden="1" customHeight="1" x14ac:dyDescent="0.3">
      <c r="A394" s="133" t="s">
        <v>191</v>
      </c>
      <c r="B394" s="52">
        <v>37091</v>
      </c>
      <c r="C394" s="53" t="s">
        <v>163</v>
      </c>
      <c r="D394" s="138">
        <f t="shared" si="32"/>
        <v>-1797</v>
      </c>
      <c r="E394" s="54">
        <v>-27.315999999999999</v>
      </c>
      <c r="F394" s="45">
        <v>0.36099999999999999</v>
      </c>
      <c r="G394" s="45">
        <v>0</v>
      </c>
      <c r="H394" s="45">
        <v>0</v>
      </c>
      <c r="I394" s="55">
        <f t="shared" si="33"/>
        <v>-26.954999999999998</v>
      </c>
      <c r="J394" s="492" t="s">
        <v>61</v>
      </c>
    </row>
    <row r="395" spans="1:10" s="50" customFormat="1" ht="18" hidden="1" customHeight="1" x14ac:dyDescent="0.3">
      <c r="A395" s="133" t="s">
        <v>192</v>
      </c>
      <c r="B395" s="52">
        <v>37091</v>
      </c>
      <c r="C395" s="53" t="s">
        <v>163</v>
      </c>
      <c r="D395" s="138">
        <f t="shared" si="32"/>
        <v>-1092.0000000000002</v>
      </c>
      <c r="E395" s="54">
        <v>-16.655000000000001</v>
      </c>
      <c r="F395" s="45">
        <v>0.27500000000000002</v>
      </c>
      <c r="G395" s="45">
        <v>0</v>
      </c>
      <c r="H395" s="45">
        <v>0</v>
      </c>
      <c r="I395" s="55">
        <f t="shared" si="33"/>
        <v>-16.380000000000003</v>
      </c>
      <c r="J395" s="492" t="s">
        <v>61</v>
      </c>
    </row>
    <row r="396" spans="1:10" s="50" customFormat="1" ht="18" hidden="1" customHeight="1" x14ac:dyDescent="0.3">
      <c r="A396" s="133" t="s">
        <v>193</v>
      </c>
      <c r="B396" s="52">
        <v>37091</v>
      </c>
      <c r="C396" s="53" t="s">
        <v>163</v>
      </c>
      <c r="D396" s="138">
        <f t="shared" si="32"/>
        <v>-346.86666666666662</v>
      </c>
      <c r="E396" s="54">
        <v>-5.2519999999999998</v>
      </c>
      <c r="F396" s="45">
        <v>4.9000000000000002E-2</v>
      </c>
      <c r="G396" s="45">
        <v>0</v>
      </c>
      <c r="H396" s="45">
        <v>0</v>
      </c>
      <c r="I396" s="55">
        <f t="shared" si="33"/>
        <v>-5.2029999999999994</v>
      </c>
      <c r="J396" s="492" t="s">
        <v>61</v>
      </c>
    </row>
    <row r="397" spans="1:10" s="50" customFormat="1" ht="18" hidden="1" customHeight="1" x14ac:dyDescent="0.3">
      <c r="A397" s="133" t="s">
        <v>194</v>
      </c>
      <c r="B397" s="52">
        <v>37091</v>
      </c>
      <c r="C397" s="53" t="s">
        <v>163</v>
      </c>
      <c r="D397" s="138">
        <f t="shared" si="32"/>
        <v>-2421.3333333333335</v>
      </c>
      <c r="E397" s="54">
        <v>-36.869</v>
      </c>
      <c r="F397" s="45">
        <v>0.54900000000000004</v>
      </c>
      <c r="G397" s="45">
        <v>0</v>
      </c>
      <c r="H397" s="45">
        <v>0</v>
      </c>
      <c r="I397" s="55">
        <f t="shared" si="33"/>
        <v>-36.32</v>
      </c>
      <c r="J397" s="492" t="s">
        <v>61</v>
      </c>
    </row>
    <row r="398" spans="1:10" s="50" customFormat="1" ht="18" hidden="1" customHeight="1" x14ac:dyDescent="0.3">
      <c r="A398" s="133" t="s">
        <v>195</v>
      </c>
      <c r="B398" s="52">
        <v>37091</v>
      </c>
      <c r="C398" s="53" t="s">
        <v>163</v>
      </c>
      <c r="D398" s="138">
        <f t="shared" si="32"/>
        <v>-522.26666666666665</v>
      </c>
      <c r="E398" s="54">
        <v>-8.0559999999999992</v>
      </c>
      <c r="F398" s="45">
        <v>0.222</v>
      </c>
      <c r="G398" s="45">
        <v>0</v>
      </c>
      <c r="H398" s="45">
        <v>0</v>
      </c>
      <c r="I398" s="55">
        <f t="shared" si="33"/>
        <v>-7.8339999999999987</v>
      </c>
      <c r="J398" s="492" t="s">
        <v>61</v>
      </c>
    </row>
    <row r="399" spans="1:10" s="50" customFormat="1" ht="18" hidden="1" customHeight="1" x14ac:dyDescent="0.3">
      <c r="A399" s="133" t="s">
        <v>196</v>
      </c>
      <c r="B399" s="52">
        <v>37091</v>
      </c>
      <c r="C399" s="53" t="s">
        <v>163</v>
      </c>
      <c r="D399" s="138">
        <f t="shared" si="32"/>
        <v>-2169.1333333333332</v>
      </c>
      <c r="E399" s="54">
        <v>-32.954999999999998</v>
      </c>
      <c r="F399" s="45">
        <v>0.41799999999999998</v>
      </c>
      <c r="G399" s="45">
        <v>0</v>
      </c>
      <c r="H399" s="45">
        <v>0</v>
      </c>
      <c r="I399" s="55">
        <f t="shared" si="33"/>
        <v>-32.536999999999999</v>
      </c>
      <c r="J399" s="492" t="s">
        <v>61</v>
      </c>
    </row>
    <row r="400" spans="1:10" s="50" customFormat="1" ht="18" hidden="1" customHeight="1" x14ac:dyDescent="0.3">
      <c r="A400" s="133" t="s">
        <v>197</v>
      </c>
      <c r="B400" s="52">
        <v>37091</v>
      </c>
      <c r="C400" s="53" t="s">
        <v>163</v>
      </c>
      <c r="D400" s="138">
        <f t="shared" si="32"/>
        <v>-2182.5333333333333</v>
      </c>
      <c r="E400" s="54">
        <v>-33.182000000000002</v>
      </c>
      <c r="F400" s="45">
        <v>0.44400000000000001</v>
      </c>
      <c r="G400" s="45">
        <v>0</v>
      </c>
      <c r="H400" s="45">
        <v>0</v>
      </c>
      <c r="I400" s="55">
        <f t="shared" si="33"/>
        <v>-32.738</v>
      </c>
      <c r="J400" s="492" t="s">
        <v>61</v>
      </c>
    </row>
    <row r="401" spans="1:255" s="50" customFormat="1" ht="5.0999999999999996" hidden="1" customHeight="1" x14ac:dyDescent="0.3">
      <c r="A401" s="122"/>
      <c r="B401" s="128"/>
      <c r="C401" s="124"/>
      <c r="D401" s="423"/>
      <c r="E401" s="125"/>
      <c r="F401" s="126"/>
      <c r="G401" s="126"/>
      <c r="H401" s="126"/>
      <c r="I401" s="127"/>
      <c r="J401" s="492"/>
    </row>
    <row r="402" spans="1:255" s="50" customFormat="1" ht="15.6" x14ac:dyDescent="0.3">
      <c r="A402" s="68" t="s">
        <v>198</v>
      </c>
      <c r="B402" s="52">
        <v>37091</v>
      </c>
      <c r="C402" s="53" t="s">
        <v>163</v>
      </c>
      <c r="D402" s="138">
        <f t="shared" ref="D402:I402" si="34">SUM(D382:D400)</f>
        <v>-47135.866666666683</v>
      </c>
      <c r="E402" s="54">
        <f t="shared" si="34"/>
        <v>-717.97299999999996</v>
      </c>
      <c r="F402" s="45">
        <f t="shared" si="34"/>
        <v>10.934999999999999</v>
      </c>
      <c r="G402" s="45">
        <f t="shared" si="34"/>
        <v>0</v>
      </c>
      <c r="H402" s="45">
        <f t="shared" si="34"/>
        <v>0</v>
      </c>
      <c r="I402" s="55">
        <f t="shared" si="34"/>
        <v>-707.03800000000001</v>
      </c>
      <c r="J402" s="492" t="s">
        <v>61</v>
      </c>
    </row>
    <row r="403" spans="1:255" s="50" customFormat="1" ht="18" customHeight="1" x14ac:dyDescent="0.3">
      <c r="A403" s="68" t="s">
        <v>679</v>
      </c>
      <c r="B403" s="52">
        <v>37105</v>
      </c>
      <c r="C403" s="53" t="s">
        <v>160</v>
      </c>
      <c r="D403" s="138"/>
      <c r="E403" s="54"/>
      <c r="F403" s="45">
        <v>0</v>
      </c>
      <c r="G403" s="45">
        <f>SUM(G294:G377)</f>
        <v>0</v>
      </c>
      <c r="H403" s="45">
        <f>SUM(H294:H377)</f>
        <v>0</v>
      </c>
      <c r="I403" s="55">
        <f>SUM(E403:H403)</f>
        <v>0</v>
      </c>
      <c r="J403" s="495" t="s">
        <v>18</v>
      </c>
    </row>
    <row r="404" spans="1:255" s="50" customFormat="1" ht="15.6" x14ac:dyDescent="0.3">
      <c r="A404" s="68" t="s">
        <v>645</v>
      </c>
      <c r="B404" s="52"/>
      <c r="C404" s="53"/>
      <c r="D404" s="157"/>
      <c r="E404" s="76">
        <v>13.689</v>
      </c>
      <c r="F404" s="77">
        <v>0</v>
      </c>
      <c r="G404" s="77">
        <v>0</v>
      </c>
      <c r="H404" s="77"/>
      <c r="I404" s="78">
        <f>SUM(E404:G404)</f>
        <v>13.689</v>
      </c>
      <c r="J404" s="492" t="s">
        <v>18</v>
      </c>
    </row>
    <row r="405" spans="1:255" s="56" customFormat="1" ht="15.6" x14ac:dyDescent="0.3">
      <c r="A405" s="114" t="s">
        <v>677</v>
      </c>
      <c r="B405" s="108"/>
      <c r="C405" s="53"/>
      <c r="D405" s="138">
        <f t="shared" ref="D405:I405" si="35">SUM(D254:D404)-D402-D294-D380-D255</f>
        <v>-44322.74533333334</v>
      </c>
      <c r="E405" s="54">
        <f t="shared" si="35"/>
        <v>777.56300000000033</v>
      </c>
      <c r="F405" s="45">
        <f t="shared" si="35"/>
        <v>-328.63900000000012</v>
      </c>
      <c r="G405" s="45">
        <f t="shared" si="35"/>
        <v>0</v>
      </c>
      <c r="H405" s="45">
        <f t="shared" si="35"/>
        <v>0</v>
      </c>
      <c r="I405" s="45">
        <f t="shared" si="35"/>
        <v>448.92400000000021</v>
      </c>
      <c r="J405" s="492"/>
    </row>
    <row r="406" spans="1:255" s="56" customFormat="1" ht="15.6" x14ac:dyDescent="0.3">
      <c r="A406" s="107"/>
      <c r="B406" s="108"/>
      <c r="C406" s="53"/>
      <c r="D406" s="138"/>
      <c r="E406" s="54"/>
      <c r="F406" s="45"/>
      <c r="G406" s="45"/>
      <c r="H406" s="45"/>
      <c r="I406" s="55"/>
      <c r="J406" s="492"/>
    </row>
    <row r="407" spans="1:255" s="56" customFormat="1" ht="15.6" x14ac:dyDescent="0.3">
      <c r="A407" s="107"/>
      <c r="B407" s="108"/>
      <c r="C407" s="53"/>
      <c r="D407" s="138"/>
      <c r="E407" s="54"/>
      <c r="F407" s="45"/>
      <c r="G407" s="45"/>
      <c r="H407" s="45"/>
      <c r="I407" s="55"/>
      <c r="J407" s="492"/>
    </row>
    <row r="408" spans="1:255" s="56" customFormat="1" ht="15.6" x14ac:dyDescent="0.3">
      <c r="A408" s="129" t="s">
        <v>656</v>
      </c>
      <c r="B408" s="108"/>
      <c r="C408" s="53"/>
      <c r="D408" s="138"/>
      <c r="E408" s="54"/>
      <c r="F408" s="45"/>
      <c r="G408" s="45"/>
      <c r="H408" s="45"/>
      <c r="I408" s="55"/>
      <c r="J408" s="492"/>
    </row>
    <row r="409" spans="1:255" s="111" customFormat="1" ht="6" customHeight="1" x14ac:dyDescent="0.3">
      <c r="A409" s="130"/>
      <c r="B409" s="120"/>
      <c r="C409" s="57"/>
      <c r="D409" s="138"/>
      <c r="E409" s="54"/>
      <c r="F409" s="45"/>
      <c r="G409" s="45"/>
      <c r="H409" s="45"/>
      <c r="I409" s="55"/>
      <c r="J409" s="492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</row>
    <row r="410" spans="1:255" s="50" customFormat="1" ht="15.6" x14ac:dyDescent="0.3">
      <c r="A410" s="68" t="s">
        <v>678</v>
      </c>
      <c r="B410" s="47"/>
      <c r="C410" s="48"/>
      <c r="D410" s="138"/>
      <c r="E410" s="54">
        <v>555.53399999999999</v>
      </c>
      <c r="F410" s="45"/>
      <c r="G410" s="45"/>
      <c r="H410" s="45"/>
      <c r="I410" s="55"/>
      <c r="J410" s="492"/>
    </row>
    <row r="411" spans="1:255" s="50" customFormat="1" ht="15.6" x14ac:dyDescent="0.3">
      <c r="A411" s="68" t="s">
        <v>199</v>
      </c>
      <c r="B411" s="47"/>
      <c r="C411" s="48"/>
      <c r="D411" s="138">
        <v>83</v>
      </c>
      <c r="E411" s="54">
        <v>6.6429999999999998</v>
      </c>
      <c r="F411" s="45">
        <v>-1.33</v>
      </c>
      <c r="G411" s="45">
        <v>0</v>
      </c>
      <c r="H411" s="45"/>
      <c r="I411" s="55">
        <f>SUM(E411:G411)</f>
        <v>5.3129999999999997</v>
      </c>
      <c r="J411" s="492" t="s">
        <v>141</v>
      </c>
    </row>
    <row r="412" spans="1:255" s="50" customFormat="1" ht="15.6" x14ac:dyDescent="0.3">
      <c r="A412" s="68" t="s">
        <v>201</v>
      </c>
      <c r="B412" s="47"/>
      <c r="C412" s="48"/>
      <c r="D412" s="138">
        <v>283</v>
      </c>
      <c r="E412" s="54">
        <v>29.527999999999999</v>
      </c>
      <c r="F412" s="45">
        <v>-4.8499999999999996</v>
      </c>
      <c r="G412" s="45">
        <v>0</v>
      </c>
      <c r="H412" s="45"/>
      <c r="I412" s="55">
        <f>SUM(E412:G412)</f>
        <v>24.677999999999997</v>
      </c>
      <c r="J412" s="492" t="s">
        <v>141</v>
      </c>
    </row>
    <row r="413" spans="1:255" s="62" customFormat="1" ht="15.6" x14ac:dyDescent="0.3">
      <c r="A413" s="68" t="s">
        <v>202</v>
      </c>
      <c r="B413" s="52">
        <v>37105</v>
      </c>
      <c r="C413" s="57" t="s">
        <v>203</v>
      </c>
      <c r="D413" s="206">
        <v>240</v>
      </c>
      <c r="E413" s="76">
        <v>16.594000000000001</v>
      </c>
      <c r="F413" s="77">
        <v>-4.3609999999999998</v>
      </c>
      <c r="G413" s="77">
        <v>0</v>
      </c>
      <c r="H413" s="77"/>
      <c r="I413" s="78">
        <v>12.233000000000001</v>
      </c>
      <c r="J413" s="492" t="s">
        <v>61</v>
      </c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  <c r="DR413" s="50"/>
      <c r="DS413" s="50"/>
      <c r="DT413" s="50"/>
      <c r="DU413" s="50"/>
      <c r="DV413" s="50"/>
      <c r="DW413" s="50"/>
      <c r="DX413" s="50"/>
      <c r="DY413" s="50"/>
      <c r="DZ413" s="50"/>
      <c r="EA413" s="50"/>
      <c r="EB413" s="50"/>
      <c r="EC413" s="50"/>
      <c r="ED413" s="50"/>
      <c r="EE413" s="50"/>
      <c r="EF413" s="50"/>
      <c r="EG413" s="50"/>
      <c r="EH413" s="50"/>
      <c r="EI413" s="50"/>
      <c r="EJ413" s="50"/>
      <c r="EK413" s="50"/>
      <c r="EL413" s="50"/>
      <c r="EM413" s="50"/>
      <c r="EN413" s="50"/>
      <c r="EO413" s="50"/>
      <c r="EP413" s="50"/>
      <c r="EQ413" s="50"/>
      <c r="ER413" s="50"/>
      <c r="ES413" s="50"/>
      <c r="ET413" s="50"/>
      <c r="EU413" s="50"/>
      <c r="EV413" s="50"/>
      <c r="EW413" s="50"/>
      <c r="EX413" s="50"/>
      <c r="EY413" s="50"/>
      <c r="EZ413" s="50"/>
      <c r="FA413" s="50"/>
      <c r="FB413" s="50"/>
      <c r="FC413" s="50"/>
      <c r="FD413" s="50"/>
      <c r="FE413" s="50"/>
      <c r="FF413" s="50"/>
      <c r="FG413" s="50"/>
      <c r="FH413" s="50"/>
      <c r="FI413" s="50"/>
      <c r="FJ413" s="50"/>
      <c r="FK413" s="50"/>
      <c r="FL413" s="50"/>
      <c r="FM413" s="50"/>
      <c r="FN413" s="50"/>
      <c r="FO413" s="50"/>
      <c r="FP413" s="50"/>
      <c r="FQ413" s="50"/>
      <c r="FR413" s="50"/>
      <c r="FS413" s="50"/>
      <c r="FT413" s="50"/>
      <c r="FU413" s="50"/>
      <c r="FV413" s="50"/>
      <c r="FW413" s="50"/>
      <c r="FX413" s="50"/>
      <c r="FY413" s="50"/>
      <c r="FZ413" s="50"/>
      <c r="GA413" s="50"/>
      <c r="GB413" s="50"/>
      <c r="GC413" s="50"/>
      <c r="GD413" s="50"/>
      <c r="GE413" s="50"/>
      <c r="GF413" s="50"/>
      <c r="GG413" s="50"/>
      <c r="GH413" s="50"/>
      <c r="GI413" s="50"/>
      <c r="GJ413" s="50"/>
      <c r="GK413" s="50"/>
      <c r="GL413" s="50"/>
      <c r="GM413" s="50"/>
      <c r="GN413" s="50"/>
      <c r="GO413" s="50"/>
      <c r="GP413" s="50"/>
      <c r="GQ413" s="50"/>
      <c r="GR413" s="50"/>
      <c r="GS413" s="50"/>
      <c r="GT413" s="50"/>
      <c r="GU413" s="50"/>
      <c r="GV413" s="50"/>
      <c r="GW413" s="50"/>
      <c r="GX413" s="50"/>
      <c r="GY413" s="50"/>
      <c r="GZ413" s="50"/>
      <c r="HA413" s="50"/>
      <c r="HB413" s="50"/>
      <c r="HC413" s="50"/>
      <c r="HD413" s="50"/>
      <c r="HE413" s="50"/>
      <c r="HF413" s="50"/>
      <c r="HG413" s="50"/>
      <c r="HH413" s="50"/>
      <c r="HI413" s="50"/>
      <c r="HJ413" s="50"/>
      <c r="HK413" s="50"/>
      <c r="HL413" s="50"/>
      <c r="HM413" s="50"/>
      <c r="HN413" s="50"/>
      <c r="HO413" s="50"/>
      <c r="HP413" s="50"/>
      <c r="HQ413" s="50"/>
      <c r="HR413" s="50"/>
      <c r="HS413" s="50"/>
      <c r="HT413" s="50"/>
      <c r="HU413" s="50"/>
      <c r="HV413" s="50"/>
      <c r="HW413" s="50"/>
      <c r="HX413" s="50"/>
      <c r="HY413" s="50"/>
      <c r="HZ413" s="50"/>
      <c r="IA413" s="50"/>
      <c r="IB413" s="50"/>
      <c r="IC413" s="50"/>
      <c r="ID413" s="50"/>
      <c r="IE413" s="50"/>
      <c r="IF413" s="50"/>
      <c r="IG413" s="50"/>
      <c r="IH413" s="50"/>
      <c r="II413" s="50"/>
      <c r="IJ413" s="50"/>
      <c r="IK413" s="50"/>
      <c r="IL413" s="50"/>
      <c r="IM413" s="50"/>
      <c r="IN413" s="50"/>
      <c r="IO413" s="50"/>
      <c r="IP413" s="50"/>
      <c r="IQ413" s="50"/>
      <c r="IR413" s="50"/>
      <c r="IS413" s="50"/>
      <c r="IT413" s="50"/>
      <c r="IU413" s="50"/>
    </row>
    <row r="414" spans="1:255" s="62" customFormat="1" ht="15.6" x14ac:dyDescent="0.3">
      <c r="A414" s="107" t="s">
        <v>696</v>
      </c>
      <c r="B414" s="52"/>
      <c r="C414" s="57"/>
      <c r="D414" s="200">
        <f t="shared" ref="D414:I414" si="36">SUM(D411:D413)</f>
        <v>606</v>
      </c>
      <c r="E414" s="54">
        <f t="shared" si="36"/>
        <v>52.765000000000001</v>
      </c>
      <c r="F414" s="45">
        <f t="shared" si="36"/>
        <v>-10.541</v>
      </c>
      <c r="G414" s="45">
        <f t="shared" si="36"/>
        <v>0</v>
      </c>
      <c r="H414" s="45">
        <f t="shared" si="36"/>
        <v>0</v>
      </c>
      <c r="I414" s="55">
        <f t="shared" si="36"/>
        <v>42.223999999999997</v>
      </c>
      <c r="J414" s="492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  <c r="DR414" s="50"/>
      <c r="DS414" s="50"/>
      <c r="DT414" s="50"/>
      <c r="DU414" s="50"/>
      <c r="DV414" s="50"/>
      <c r="DW414" s="50"/>
      <c r="DX414" s="50"/>
      <c r="DY414" s="50"/>
      <c r="DZ414" s="50"/>
      <c r="EA414" s="50"/>
      <c r="EB414" s="50"/>
      <c r="EC414" s="50"/>
      <c r="ED414" s="50"/>
      <c r="EE414" s="50"/>
      <c r="EF414" s="50"/>
      <c r="EG414" s="50"/>
      <c r="EH414" s="50"/>
      <c r="EI414" s="50"/>
      <c r="EJ414" s="50"/>
      <c r="EK414" s="50"/>
      <c r="EL414" s="50"/>
      <c r="EM414" s="50"/>
      <c r="EN414" s="50"/>
      <c r="EO414" s="50"/>
      <c r="EP414" s="50"/>
      <c r="EQ414" s="50"/>
      <c r="ER414" s="50"/>
      <c r="ES414" s="50"/>
      <c r="ET414" s="50"/>
      <c r="EU414" s="50"/>
      <c r="EV414" s="50"/>
      <c r="EW414" s="50"/>
      <c r="EX414" s="50"/>
      <c r="EY414" s="50"/>
      <c r="EZ414" s="50"/>
      <c r="FA414" s="50"/>
      <c r="FB414" s="50"/>
      <c r="FC414" s="50"/>
      <c r="FD414" s="50"/>
      <c r="FE414" s="50"/>
      <c r="FF414" s="50"/>
      <c r="FG414" s="50"/>
      <c r="FH414" s="50"/>
      <c r="FI414" s="50"/>
      <c r="FJ414" s="50"/>
      <c r="FK414" s="50"/>
      <c r="FL414" s="50"/>
      <c r="FM414" s="50"/>
      <c r="FN414" s="50"/>
      <c r="FO414" s="50"/>
      <c r="FP414" s="50"/>
      <c r="FQ414" s="50"/>
      <c r="FR414" s="50"/>
      <c r="FS414" s="50"/>
      <c r="FT414" s="50"/>
      <c r="FU414" s="50"/>
      <c r="FV414" s="50"/>
      <c r="FW414" s="50"/>
      <c r="FX414" s="50"/>
      <c r="FY414" s="50"/>
      <c r="FZ414" s="50"/>
      <c r="GA414" s="50"/>
      <c r="GB414" s="50"/>
      <c r="GC414" s="50"/>
      <c r="GD414" s="50"/>
      <c r="GE414" s="50"/>
      <c r="GF414" s="50"/>
      <c r="GG414" s="50"/>
      <c r="GH414" s="50"/>
      <c r="GI414" s="50"/>
      <c r="GJ414" s="50"/>
      <c r="GK414" s="50"/>
      <c r="GL414" s="50"/>
      <c r="GM414" s="50"/>
      <c r="GN414" s="50"/>
      <c r="GO414" s="50"/>
      <c r="GP414" s="50"/>
      <c r="GQ414" s="50"/>
      <c r="GR414" s="50"/>
      <c r="GS414" s="50"/>
      <c r="GT414" s="50"/>
      <c r="GU414" s="50"/>
      <c r="GV414" s="50"/>
      <c r="GW414" s="50"/>
      <c r="GX414" s="50"/>
      <c r="GY414" s="50"/>
      <c r="GZ414" s="50"/>
      <c r="HA414" s="50"/>
      <c r="HB414" s="50"/>
      <c r="HC414" s="50"/>
      <c r="HD414" s="50"/>
      <c r="HE414" s="50"/>
      <c r="HF414" s="50"/>
      <c r="HG414" s="50"/>
      <c r="HH414" s="50"/>
      <c r="HI414" s="50"/>
      <c r="HJ414" s="50"/>
      <c r="HK414" s="50"/>
      <c r="HL414" s="50"/>
      <c r="HM414" s="50"/>
      <c r="HN414" s="50"/>
      <c r="HO414" s="50"/>
      <c r="HP414" s="50"/>
      <c r="HQ414" s="50"/>
      <c r="HR414" s="50"/>
      <c r="HS414" s="50"/>
      <c r="HT414" s="50"/>
      <c r="HU414" s="50"/>
      <c r="HV414" s="50"/>
      <c r="HW414" s="50"/>
      <c r="HX414" s="50"/>
      <c r="HY414" s="50"/>
      <c r="HZ414" s="50"/>
      <c r="IA414" s="50"/>
      <c r="IB414" s="50"/>
      <c r="IC414" s="50"/>
      <c r="ID414" s="50"/>
      <c r="IE414" s="50"/>
      <c r="IF414" s="50"/>
      <c r="IG414" s="50"/>
      <c r="IH414" s="50"/>
      <c r="II414" s="50"/>
      <c r="IJ414" s="50"/>
      <c r="IK414" s="50"/>
      <c r="IL414" s="50"/>
      <c r="IM414" s="50"/>
      <c r="IN414" s="50"/>
      <c r="IO414" s="50"/>
      <c r="IP414" s="50"/>
      <c r="IQ414" s="50"/>
      <c r="IR414" s="50"/>
      <c r="IS414" s="50"/>
      <c r="IT414" s="50"/>
      <c r="IU414" s="50"/>
    </row>
    <row r="415" spans="1:255" s="62" customFormat="1" ht="15.6" x14ac:dyDescent="0.3">
      <c r="A415" s="68"/>
      <c r="B415" s="52"/>
      <c r="C415" s="57"/>
      <c r="D415" s="200"/>
      <c r="E415" s="54"/>
      <c r="F415" s="45"/>
      <c r="G415" s="45"/>
      <c r="H415" s="45"/>
      <c r="I415" s="55"/>
      <c r="J415" s="492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  <c r="DJ415" s="50"/>
      <c r="DK415" s="50"/>
      <c r="DL415" s="50"/>
      <c r="DM415" s="50"/>
      <c r="DN415" s="50"/>
      <c r="DO415" s="50"/>
      <c r="DP415" s="50"/>
      <c r="DQ415" s="50"/>
      <c r="DR415" s="50"/>
      <c r="DS415" s="50"/>
      <c r="DT415" s="50"/>
      <c r="DU415" s="50"/>
      <c r="DV415" s="50"/>
      <c r="DW415" s="50"/>
      <c r="DX415" s="50"/>
      <c r="DY415" s="50"/>
      <c r="DZ415" s="50"/>
      <c r="EA415" s="50"/>
      <c r="EB415" s="50"/>
      <c r="EC415" s="50"/>
      <c r="ED415" s="50"/>
      <c r="EE415" s="50"/>
      <c r="EF415" s="50"/>
      <c r="EG415" s="50"/>
      <c r="EH415" s="50"/>
      <c r="EI415" s="50"/>
      <c r="EJ415" s="50"/>
      <c r="EK415" s="50"/>
      <c r="EL415" s="50"/>
      <c r="EM415" s="50"/>
      <c r="EN415" s="50"/>
      <c r="EO415" s="50"/>
      <c r="EP415" s="50"/>
      <c r="EQ415" s="50"/>
      <c r="ER415" s="50"/>
      <c r="ES415" s="50"/>
      <c r="ET415" s="50"/>
      <c r="EU415" s="50"/>
      <c r="EV415" s="50"/>
      <c r="EW415" s="50"/>
      <c r="EX415" s="50"/>
      <c r="EY415" s="50"/>
      <c r="EZ415" s="50"/>
      <c r="FA415" s="50"/>
      <c r="FB415" s="50"/>
      <c r="FC415" s="50"/>
      <c r="FD415" s="50"/>
      <c r="FE415" s="50"/>
      <c r="FF415" s="50"/>
      <c r="FG415" s="50"/>
      <c r="FH415" s="50"/>
      <c r="FI415" s="50"/>
      <c r="FJ415" s="50"/>
      <c r="FK415" s="50"/>
      <c r="FL415" s="50"/>
      <c r="FM415" s="50"/>
      <c r="FN415" s="50"/>
      <c r="FO415" s="50"/>
      <c r="FP415" s="50"/>
      <c r="FQ415" s="50"/>
      <c r="FR415" s="50"/>
      <c r="FS415" s="50"/>
      <c r="FT415" s="50"/>
      <c r="FU415" s="50"/>
      <c r="FV415" s="50"/>
      <c r="FW415" s="50"/>
      <c r="FX415" s="50"/>
      <c r="FY415" s="50"/>
      <c r="FZ415" s="50"/>
      <c r="GA415" s="50"/>
      <c r="GB415" s="50"/>
      <c r="GC415" s="50"/>
      <c r="GD415" s="50"/>
      <c r="GE415" s="50"/>
      <c r="GF415" s="50"/>
      <c r="GG415" s="50"/>
      <c r="GH415" s="50"/>
      <c r="GI415" s="50"/>
      <c r="GJ415" s="50"/>
      <c r="GK415" s="50"/>
      <c r="GL415" s="50"/>
      <c r="GM415" s="50"/>
      <c r="GN415" s="50"/>
      <c r="GO415" s="50"/>
      <c r="GP415" s="50"/>
      <c r="GQ415" s="50"/>
      <c r="GR415" s="50"/>
      <c r="GS415" s="50"/>
      <c r="GT415" s="50"/>
      <c r="GU415" s="50"/>
      <c r="GV415" s="50"/>
      <c r="GW415" s="50"/>
      <c r="GX415" s="50"/>
      <c r="GY415" s="50"/>
      <c r="GZ415" s="50"/>
      <c r="HA415" s="50"/>
      <c r="HB415" s="50"/>
      <c r="HC415" s="50"/>
      <c r="HD415" s="50"/>
      <c r="HE415" s="50"/>
      <c r="HF415" s="50"/>
      <c r="HG415" s="50"/>
      <c r="HH415" s="50"/>
      <c r="HI415" s="50"/>
      <c r="HJ415" s="50"/>
      <c r="HK415" s="50"/>
      <c r="HL415" s="50"/>
      <c r="HM415" s="50"/>
      <c r="HN415" s="50"/>
      <c r="HO415" s="50"/>
      <c r="HP415" s="50"/>
      <c r="HQ415" s="50"/>
      <c r="HR415" s="50"/>
      <c r="HS415" s="50"/>
      <c r="HT415" s="50"/>
      <c r="HU415" s="50"/>
      <c r="HV415" s="50"/>
      <c r="HW415" s="50"/>
      <c r="HX415" s="50"/>
      <c r="HY415" s="50"/>
      <c r="HZ415" s="50"/>
      <c r="IA415" s="50"/>
      <c r="IB415" s="50"/>
      <c r="IC415" s="50"/>
      <c r="ID415" s="50"/>
      <c r="IE415" s="50"/>
      <c r="IF415" s="50"/>
      <c r="IG415" s="50"/>
      <c r="IH415" s="50"/>
      <c r="II415" s="50"/>
      <c r="IJ415" s="50"/>
      <c r="IK415" s="50"/>
      <c r="IL415" s="50"/>
      <c r="IM415" s="50"/>
      <c r="IN415" s="50"/>
      <c r="IO415" s="50"/>
      <c r="IP415" s="50"/>
      <c r="IQ415" s="50"/>
      <c r="IR415" s="50"/>
      <c r="IS415" s="50"/>
      <c r="IT415" s="50"/>
      <c r="IU415" s="50"/>
    </row>
    <row r="416" spans="1:255" s="62" customFormat="1" ht="15.6" x14ac:dyDescent="0.3">
      <c r="A416" s="129" t="s">
        <v>574</v>
      </c>
      <c r="B416" s="52"/>
      <c r="C416" s="57"/>
      <c r="D416" s="200"/>
      <c r="E416" s="54"/>
      <c r="F416" s="45"/>
      <c r="G416" s="45"/>
      <c r="H416" s="45"/>
      <c r="I416" s="55"/>
      <c r="J416" s="492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  <c r="DJ416" s="50"/>
      <c r="DK416" s="50"/>
      <c r="DL416" s="50"/>
      <c r="DM416" s="50"/>
      <c r="DN416" s="50"/>
      <c r="DO416" s="50"/>
      <c r="DP416" s="50"/>
      <c r="DQ416" s="50"/>
      <c r="DR416" s="50"/>
      <c r="DS416" s="50"/>
      <c r="DT416" s="50"/>
      <c r="DU416" s="50"/>
      <c r="DV416" s="50"/>
      <c r="DW416" s="50"/>
      <c r="DX416" s="50"/>
      <c r="DY416" s="50"/>
      <c r="DZ416" s="50"/>
      <c r="EA416" s="50"/>
      <c r="EB416" s="50"/>
      <c r="EC416" s="50"/>
      <c r="ED416" s="50"/>
      <c r="EE416" s="50"/>
      <c r="EF416" s="50"/>
      <c r="EG416" s="50"/>
      <c r="EH416" s="50"/>
      <c r="EI416" s="50"/>
      <c r="EJ416" s="50"/>
      <c r="EK416" s="50"/>
      <c r="EL416" s="50"/>
      <c r="EM416" s="50"/>
      <c r="EN416" s="50"/>
      <c r="EO416" s="50"/>
      <c r="EP416" s="50"/>
      <c r="EQ416" s="50"/>
      <c r="ER416" s="50"/>
      <c r="ES416" s="50"/>
      <c r="ET416" s="50"/>
      <c r="EU416" s="50"/>
      <c r="EV416" s="50"/>
      <c r="EW416" s="50"/>
      <c r="EX416" s="50"/>
      <c r="EY416" s="50"/>
      <c r="EZ416" s="50"/>
      <c r="FA416" s="50"/>
      <c r="FB416" s="50"/>
      <c r="FC416" s="50"/>
      <c r="FD416" s="50"/>
      <c r="FE416" s="50"/>
      <c r="FF416" s="50"/>
      <c r="FG416" s="50"/>
      <c r="FH416" s="50"/>
      <c r="FI416" s="50"/>
      <c r="FJ416" s="50"/>
      <c r="FK416" s="50"/>
      <c r="FL416" s="50"/>
      <c r="FM416" s="50"/>
      <c r="FN416" s="50"/>
      <c r="FO416" s="50"/>
      <c r="FP416" s="50"/>
      <c r="FQ416" s="50"/>
      <c r="FR416" s="50"/>
      <c r="FS416" s="50"/>
      <c r="FT416" s="50"/>
      <c r="FU416" s="50"/>
      <c r="FV416" s="50"/>
      <c r="FW416" s="50"/>
      <c r="FX416" s="50"/>
      <c r="FY416" s="50"/>
      <c r="FZ416" s="50"/>
      <c r="GA416" s="50"/>
      <c r="GB416" s="50"/>
      <c r="GC416" s="50"/>
      <c r="GD416" s="50"/>
      <c r="GE416" s="50"/>
      <c r="GF416" s="50"/>
      <c r="GG416" s="50"/>
      <c r="GH416" s="50"/>
      <c r="GI416" s="50"/>
      <c r="GJ416" s="50"/>
      <c r="GK416" s="50"/>
      <c r="GL416" s="50"/>
      <c r="GM416" s="50"/>
      <c r="GN416" s="50"/>
      <c r="GO416" s="50"/>
      <c r="GP416" s="50"/>
      <c r="GQ416" s="50"/>
      <c r="GR416" s="50"/>
      <c r="GS416" s="50"/>
      <c r="GT416" s="50"/>
      <c r="GU416" s="50"/>
      <c r="GV416" s="50"/>
      <c r="GW416" s="50"/>
      <c r="GX416" s="50"/>
      <c r="GY416" s="50"/>
      <c r="GZ416" s="50"/>
      <c r="HA416" s="50"/>
      <c r="HB416" s="50"/>
      <c r="HC416" s="50"/>
      <c r="HD416" s="50"/>
      <c r="HE416" s="50"/>
      <c r="HF416" s="50"/>
      <c r="HG416" s="50"/>
      <c r="HH416" s="50"/>
      <c r="HI416" s="50"/>
      <c r="HJ416" s="50"/>
      <c r="HK416" s="50"/>
      <c r="HL416" s="50"/>
      <c r="HM416" s="50"/>
      <c r="HN416" s="50"/>
      <c r="HO416" s="50"/>
      <c r="HP416" s="50"/>
      <c r="HQ416" s="50"/>
      <c r="HR416" s="50"/>
      <c r="HS416" s="50"/>
      <c r="HT416" s="50"/>
      <c r="HU416" s="50"/>
      <c r="HV416" s="50"/>
      <c r="HW416" s="50"/>
      <c r="HX416" s="50"/>
      <c r="HY416" s="50"/>
      <c r="HZ416" s="50"/>
      <c r="IA416" s="50"/>
      <c r="IB416" s="50"/>
      <c r="IC416" s="50"/>
      <c r="ID416" s="50"/>
      <c r="IE416" s="50"/>
      <c r="IF416" s="50"/>
      <c r="IG416" s="50"/>
      <c r="IH416" s="50"/>
      <c r="II416" s="50"/>
      <c r="IJ416" s="50"/>
      <c r="IK416" s="50"/>
      <c r="IL416" s="50"/>
      <c r="IM416" s="50"/>
      <c r="IN416" s="50"/>
      <c r="IO416" s="50"/>
      <c r="IP416" s="50"/>
      <c r="IQ416" s="50"/>
      <c r="IR416" s="50"/>
      <c r="IS416" s="50"/>
      <c r="IT416" s="50"/>
      <c r="IU416" s="50"/>
    </row>
    <row r="417" spans="1:10" s="50" customFormat="1" ht="15.75" customHeight="1" x14ac:dyDescent="0.3">
      <c r="A417" s="133"/>
      <c r="B417" s="52"/>
      <c r="C417" s="53"/>
      <c r="D417" s="138"/>
      <c r="E417" s="54"/>
      <c r="F417" s="45"/>
      <c r="G417" s="45"/>
      <c r="H417" s="45"/>
      <c r="I417" s="55"/>
      <c r="J417" s="492"/>
    </row>
    <row r="418" spans="1:10" s="50" customFormat="1" ht="15.75" customHeight="1" x14ac:dyDescent="0.3">
      <c r="A418" s="68" t="s">
        <v>561</v>
      </c>
      <c r="B418" s="52"/>
      <c r="C418" s="53"/>
      <c r="D418" s="138">
        <f t="shared" ref="D418:I418" si="37">SUM(D419:D458)</f>
        <v>293136.93333333329</v>
      </c>
      <c r="E418" s="54">
        <f t="shared" si="37"/>
        <v>5827.0319999999974</v>
      </c>
      <c r="F418" s="45">
        <f t="shared" si="37"/>
        <v>-1566.2320000000002</v>
      </c>
      <c r="G418" s="45">
        <f t="shared" si="37"/>
        <v>0</v>
      </c>
      <c r="H418" s="45">
        <f t="shared" si="37"/>
        <v>0</v>
      </c>
      <c r="I418" s="55">
        <f t="shared" si="37"/>
        <v>4260.8</v>
      </c>
      <c r="J418" s="492"/>
    </row>
    <row r="419" spans="1:10" s="50" customFormat="1" ht="6" hidden="1" customHeight="1" x14ac:dyDescent="0.3">
      <c r="A419" s="122"/>
      <c r="B419" s="128"/>
      <c r="C419" s="124"/>
      <c r="D419" s="423"/>
      <c r="E419" s="125"/>
      <c r="F419" s="126"/>
      <c r="G419" s="126"/>
      <c r="H419" s="126"/>
      <c r="I419" s="126">
        <f>F419+E419</f>
        <v>0</v>
      </c>
      <c r="J419" s="492"/>
    </row>
    <row r="420" spans="1:10" s="50" customFormat="1" ht="18" hidden="1" customHeight="1" x14ac:dyDescent="0.3">
      <c r="A420" s="501" t="s">
        <v>694</v>
      </c>
      <c r="B420" s="502"/>
      <c r="C420" s="455"/>
      <c r="D420" s="503"/>
      <c r="E420" s="449">
        <v>-80.962999999999994</v>
      </c>
      <c r="F420" s="450">
        <v>0</v>
      </c>
      <c r="G420" s="450"/>
      <c r="H420" s="450"/>
      <c r="I420" s="436">
        <f>F420+E420</f>
        <v>-80.962999999999994</v>
      </c>
      <c r="J420" s="492"/>
    </row>
    <row r="421" spans="1:10" s="50" customFormat="1" ht="18" hidden="1" customHeight="1" x14ac:dyDescent="0.3">
      <c r="A421" s="501" t="s">
        <v>695</v>
      </c>
      <c r="B421" s="502"/>
      <c r="C421" s="455"/>
      <c r="D421" s="503"/>
      <c r="E421" s="449">
        <f>-27.469-27.822</f>
        <v>-55.290999999999997</v>
      </c>
      <c r="F421" s="450">
        <v>0</v>
      </c>
      <c r="G421" s="450"/>
      <c r="H421" s="450"/>
      <c r="I421" s="436">
        <f>F421+E421</f>
        <v>-55.290999999999997</v>
      </c>
      <c r="J421" s="492"/>
    </row>
    <row r="422" spans="1:10" s="489" customFormat="1" ht="18" hidden="1" customHeight="1" x14ac:dyDescent="0.3">
      <c r="A422" s="476" t="s">
        <v>701</v>
      </c>
      <c r="B422" s="484"/>
      <c r="C422" s="485"/>
      <c r="D422" s="486">
        <f t="shared" ref="D422:D445" si="38">I422/0.015</f>
        <v>7397.5333333333328</v>
      </c>
      <c r="E422" s="475">
        <f>151548/1000</f>
        <v>151.548</v>
      </c>
      <c r="F422" s="475">
        <f>-40585/1000</f>
        <v>-40.585000000000001</v>
      </c>
      <c r="G422" s="475"/>
      <c r="H422" s="475"/>
      <c r="I422" s="487">
        <f t="shared" ref="I422:I445" si="39">SUM(E422:G422)</f>
        <v>110.96299999999999</v>
      </c>
      <c r="J422" s="488" t="s">
        <v>72</v>
      </c>
    </row>
    <row r="423" spans="1:10" s="489" customFormat="1" ht="18" hidden="1" customHeight="1" x14ac:dyDescent="0.3">
      <c r="A423" s="476" t="s">
        <v>734</v>
      </c>
      <c r="B423" s="484"/>
      <c r="C423" s="485"/>
      <c r="D423" s="486">
        <f t="shared" si="38"/>
        <v>11930.733333333334</v>
      </c>
      <c r="E423" s="475">
        <f>243629/1000</f>
        <v>243.62899999999999</v>
      </c>
      <c r="F423" s="475">
        <f>-64668/1000</f>
        <v>-64.668000000000006</v>
      </c>
      <c r="G423" s="475"/>
      <c r="H423" s="475"/>
      <c r="I423" s="487">
        <f t="shared" si="39"/>
        <v>178.96099999999998</v>
      </c>
      <c r="J423" s="488" t="s">
        <v>72</v>
      </c>
    </row>
    <row r="424" spans="1:10" s="489" customFormat="1" ht="18" hidden="1" customHeight="1" x14ac:dyDescent="0.3">
      <c r="A424" s="476" t="s">
        <v>733</v>
      </c>
      <c r="B424" s="484"/>
      <c r="C424" s="485"/>
      <c r="D424" s="486">
        <f t="shared" si="38"/>
        <v>11663.266666666668</v>
      </c>
      <c r="E424" s="475">
        <f>238149/1000</f>
        <v>238.149</v>
      </c>
      <c r="F424" s="475">
        <f>-63200/1000</f>
        <v>-63.2</v>
      </c>
      <c r="G424" s="475"/>
      <c r="H424" s="475"/>
      <c r="I424" s="487">
        <f t="shared" si="39"/>
        <v>174.94900000000001</v>
      </c>
      <c r="J424" s="488" t="s">
        <v>72</v>
      </c>
    </row>
    <row r="425" spans="1:10" s="489" customFormat="1" ht="18" hidden="1" customHeight="1" x14ac:dyDescent="0.3">
      <c r="A425" s="476" t="s">
        <v>732</v>
      </c>
      <c r="B425" s="484"/>
      <c r="C425" s="485"/>
      <c r="D425" s="486">
        <f t="shared" si="38"/>
        <v>17424.400000000001</v>
      </c>
      <c r="E425" s="475">
        <f>342943/1000</f>
        <v>342.94299999999998</v>
      </c>
      <c r="F425" s="475">
        <f>-81577/1000</f>
        <v>-81.576999999999998</v>
      </c>
      <c r="G425" s="475"/>
      <c r="H425" s="475"/>
      <c r="I425" s="487">
        <f t="shared" si="39"/>
        <v>261.36599999999999</v>
      </c>
      <c r="J425" s="488" t="s">
        <v>72</v>
      </c>
    </row>
    <row r="426" spans="1:10" s="489" customFormat="1" ht="18" hidden="1" customHeight="1" x14ac:dyDescent="0.3">
      <c r="A426" s="476" t="s">
        <v>749</v>
      </c>
      <c r="B426" s="484"/>
      <c r="C426" s="485"/>
      <c r="D426" s="486">
        <f t="shared" si="38"/>
        <v>25674.2</v>
      </c>
      <c r="E426" s="475">
        <f>517063/1000</f>
        <v>517.06299999999999</v>
      </c>
      <c r="F426" s="475">
        <f>-131950/1000</f>
        <v>-131.94999999999999</v>
      </c>
      <c r="G426" s="475"/>
      <c r="H426" s="475"/>
      <c r="I426" s="487">
        <f t="shared" si="39"/>
        <v>385.113</v>
      </c>
      <c r="J426" s="488" t="s">
        <v>72</v>
      </c>
    </row>
    <row r="427" spans="1:10" s="489" customFormat="1" ht="18" hidden="1" customHeight="1" x14ac:dyDescent="0.3">
      <c r="A427" s="476" t="s">
        <v>744</v>
      </c>
      <c r="B427" s="484"/>
      <c r="C427" s="485"/>
      <c r="D427" s="486">
        <f t="shared" si="38"/>
        <v>15481.066666666668</v>
      </c>
      <c r="E427" s="475">
        <f>312314/1000</f>
        <v>312.31400000000002</v>
      </c>
      <c r="F427" s="475">
        <f>-80098/1000</f>
        <v>-80.097999999999999</v>
      </c>
      <c r="G427" s="475"/>
      <c r="H427" s="475"/>
      <c r="I427" s="487">
        <f t="shared" si="39"/>
        <v>232.21600000000001</v>
      </c>
      <c r="J427" s="488" t="s">
        <v>72</v>
      </c>
    </row>
    <row r="428" spans="1:10" s="489" customFormat="1" ht="18" hidden="1" customHeight="1" x14ac:dyDescent="0.3">
      <c r="A428" s="476" t="s">
        <v>760</v>
      </c>
      <c r="B428" s="484"/>
      <c r="C428" s="485"/>
      <c r="D428" s="486">
        <f t="shared" si="38"/>
        <v>20120</v>
      </c>
      <c r="E428" s="475">
        <f>410752/1000</f>
        <v>410.75200000000001</v>
      </c>
      <c r="F428" s="475">
        <f>-108952/1000</f>
        <v>-108.952</v>
      </c>
      <c r="G428" s="475"/>
      <c r="H428" s="475"/>
      <c r="I428" s="487">
        <f t="shared" si="39"/>
        <v>301.8</v>
      </c>
      <c r="J428" s="488" t="s">
        <v>72</v>
      </c>
    </row>
    <row r="429" spans="1:10" s="489" customFormat="1" ht="18" hidden="1" customHeight="1" x14ac:dyDescent="0.3">
      <c r="A429" s="476" t="s">
        <v>782</v>
      </c>
      <c r="B429" s="484"/>
      <c r="C429" s="485"/>
      <c r="D429" s="486">
        <f t="shared" si="38"/>
        <v>19022.066666666669</v>
      </c>
      <c r="E429" s="475">
        <f>386535/1000</f>
        <v>386.53500000000003</v>
      </c>
      <c r="F429" s="475">
        <f>-101204/1000</f>
        <v>-101.20399999999999</v>
      </c>
      <c r="G429" s="475"/>
      <c r="H429" s="475"/>
      <c r="I429" s="487">
        <f t="shared" si="39"/>
        <v>285.33100000000002</v>
      </c>
      <c r="J429" s="488" t="s">
        <v>72</v>
      </c>
    </row>
    <row r="430" spans="1:10" s="489" customFormat="1" ht="18" hidden="1" customHeight="1" x14ac:dyDescent="0.3">
      <c r="A430" s="476" t="s">
        <v>730</v>
      </c>
      <c r="B430" s="484"/>
      <c r="C430" s="485"/>
      <c r="D430" s="486">
        <f t="shared" si="38"/>
        <v>2073.0666666666666</v>
      </c>
      <c r="E430" s="475">
        <f>41894/1000</f>
        <v>41.893999999999998</v>
      </c>
      <c r="F430" s="475">
        <v>-10.798</v>
      </c>
      <c r="G430" s="475"/>
      <c r="H430" s="475"/>
      <c r="I430" s="487">
        <f t="shared" si="39"/>
        <v>31.095999999999997</v>
      </c>
      <c r="J430" s="488" t="s">
        <v>72</v>
      </c>
    </row>
    <row r="431" spans="1:10" s="489" customFormat="1" ht="18" hidden="1" customHeight="1" x14ac:dyDescent="0.3">
      <c r="A431" s="476" t="s">
        <v>731</v>
      </c>
      <c r="B431" s="484"/>
      <c r="C431" s="485"/>
      <c r="D431" s="486">
        <f t="shared" si="38"/>
        <v>5719.9333333333343</v>
      </c>
      <c r="E431" s="475">
        <f>115555/1000</f>
        <v>115.55500000000001</v>
      </c>
      <c r="F431" s="475">
        <v>-29.756</v>
      </c>
      <c r="G431" s="475"/>
      <c r="H431" s="475"/>
      <c r="I431" s="487">
        <f t="shared" si="39"/>
        <v>85.799000000000007</v>
      </c>
      <c r="J431" s="488" t="s">
        <v>72</v>
      </c>
    </row>
    <row r="432" spans="1:10" s="489" customFormat="1" ht="18" hidden="1" customHeight="1" x14ac:dyDescent="0.3">
      <c r="A432" s="476" t="s">
        <v>796</v>
      </c>
      <c r="B432" s="484"/>
      <c r="C432" s="485"/>
      <c r="D432" s="486">
        <f t="shared" si="38"/>
        <v>2962.7999999999997</v>
      </c>
      <c r="E432" s="475">
        <f>60041/1000</f>
        <v>60.040999999999997</v>
      </c>
      <c r="F432" s="475">
        <v>-15.599</v>
      </c>
      <c r="G432" s="475"/>
      <c r="H432" s="475"/>
      <c r="I432" s="487">
        <f t="shared" si="39"/>
        <v>44.441999999999993</v>
      </c>
      <c r="J432" s="488" t="s">
        <v>72</v>
      </c>
    </row>
    <row r="433" spans="1:10" s="489" customFormat="1" ht="18" hidden="1" customHeight="1" x14ac:dyDescent="0.3">
      <c r="A433" s="476" t="s">
        <v>784</v>
      </c>
      <c r="B433" s="484"/>
      <c r="C433" s="485"/>
      <c r="D433" s="486">
        <f t="shared" si="38"/>
        <v>781.26666666666665</v>
      </c>
      <c r="E433" s="475">
        <f>15808/1000</f>
        <v>15.808</v>
      </c>
      <c r="F433" s="475">
        <v>-4.0890000000000004</v>
      </c>
      <c r="G433" s="475"/>
      <c r="H433" s="475"/>
      <c r="I433" s="487">
        <f t="shared" si="39"/>
        <v>11.718999999999999</v>
      </c>
      <c r="J433" s="488" t="s">
        <v>72</v>
      </c>
    </row>
    <row r="434" spans="1:10" s="489" customFormat="1" ht="18" hidden="1" customHeight="1" x14ac:dyDescent="0.3">
      <c r="A434" s="476" t="s">
        <v>812</v>
      </c>
      <c r="B434" s="484"/>
      <c r="C434" s="485"/>
      <c r="D434" s="486">
        <f t="shared" si="38"/>
        <v>4853</v>
      </c>
      <c r="E434" s="475">
        <f>98187/1000</f>
        <v>98.186999999999998</v>
      </c>
      <c r="F434" s="475">
        <v>-25.391999999999999</v>
      </c>
      <c r="G434" s="475"/>
      <c r="H434" s="475"/>
      <c r="I434" s="487">
        <f t="shared" si="39"/>
        <v>72.795000000000002</v>
      </c>
      <c r="J434" s="488" t="s">
        <v>72</v>
      </c>
    </row>
    <row r="435" spans="1:10" s="489" customFormat="1" ht="18" hidden="1" customHeight="1" x14ac:dyDescent="0.3">
      <c r="A435" s="476" t="s">
        <v>785</v>
      </c>
      <c r="B435" s="484"/>
      <c r="C435" s="485"/>
      <c r="D435" s="486">
        <f t="shared" si="38"/>
        <v>395.73333333333335</v>
      </c>
      <c r="E435" s="475">
        <f>7999/1000</f>
        <v>7.9989999999999997</v>
      </c>
      <c r="F435" s="475">
        <v>-2.0630000000000002</v>
      </c>
      <c r="G435" s="475"/>
      <c r="H435" s="475"/>
      <c r="I435" s="487">
        <f t="shared" si="39"/>
        <v>5.9359999999999999</v>
      </c>
      <c r="J435" s="488" t="s">
        <v>72</v>
      </c>
    </row>
    <row r="436" spans="1:10" s="489" customFormat="1" ht="18" hidden="1" customHeight="1" x14ac:dyDescent="0.3">
      <c r="A436" s="476" t="s">
        <v>705</v>
      </c>
      <c r="B436" s="484"/>
      <c r="C436" s="485"/>
      <c r="D436" s="486">
        <f t="shared" si="38"/>
        <v>6584.3333333333348</v>
      </c>
      <c r="E436" s="475">
        <f>135217/1000</f>
        <v>135.21700000000001</v>
      </c>
      <c r="F436" s="475">
        <f>-36452/1000</f>
        <v>-36.451999999999998</v>
      </c>
      <c r="G436" s="475"/>
      <c r="H436" s="475"/>
      <c r="I436" s="487">
        <f t="shared" si="39"/>
        <v>98.765000000000015</v>
      </c>
      <c r="J436" s="488" t="s">
        <v>72</v>
      </c>
    </row>
    <row r="437" spans="1:10" s="489" customFormat="1" ht="18" hidden="1" customHeight="1" x14ac:dyDescent="0.3">
      <c r="A437" s="476" t="s">
        <v>702</v>
      </c>
      <c r="B437" s="484"/>
      <c r="C437" s="485"/>
      <c r="D437" s="486">
        <f t="shared" si="38"/>
        <v>8894.6666666666679</v>
      </c>
      <c r="E437" s="475">
        <f>181941/1000</f>
        <v>181.941</v>
      </c>
      <c r="F437" s="475">
        <f>-48521/1000</f>
        <v>-48.521000000000001</v>
      </c>
      <c r="G437" s="475"/>
      <c r="H437" s="475"/>
      <c r="I437" s="487">
        <f t="shared" si="39"/>
        <v>133.42000000000002</v>
      </c>
      <c r="J437" s="488" t="s">
        <v>72</v>
      </c>
    </row>
    <row r="438" spans="1:10" s="489" customFormat="1" ht="18" hidden="1" customHeight="1" x14ac:dyDescent="0.3">
      <c r="A438" s="476" t="s">
        <v>711</v>
      </c>
      <c r="B438" s="484"/>
      <c r="C438" s="485"/>
      <c r="D438" s="486">
        <f t="shared" si="38"/>
        <v>14128.400000000001</v>
      </c>
      <c r="E438" s="475">
        <f>289836/1000</f>
        <v>289.83600000000001</v>
      </c>
      <c r="F438" s="475">
        <f>-77910/1000</f>
        <v>-77.91</v>
      </c>
      <c r="G438" s="475"/>
      <c r="H438" s="475"/>
      <c r="I438" s="487">
        <f t="shared" si="39"/>
        <v>211.92600000000002</v>
      </c>
      <c r="J438" s="488" t="s">
        <v>72</v>
      </c>
    </row>
    <row r="439" spans="1:10" s="489" customFormat="1" ht="18" hidden="1" customHeight="1" x14ac:dyDescent="0.3">
      <c r="A439" s="476" t="s">
        <v>750</v>
      </c>
      <c r="B439" s="484"/>
      <c r="C439" s="485"/>
      <c r="D439" s="486">
        <f t="shared" si="38"/>
        <v>13289.6</v>
      </c>
      <c r="E439" s="475">
        <f>272425/1000</f>
        <v>272.42500000000001</v>
      </c>
      <c r="F439" s="475">
        <f>-73081/1000</f>
        <v>-73.081000000000003</v>
      </c>
      <c r="G439" s="475"/>
      <c r="H439" s="475"/>
      <c r="I439" s="487">
        <f t="shared" si="39"/>
        <v>199.34399999999999</v>
      </c>
      <c r="J439" s="488" t="s">
        <v>72</v>
      </c>
    </row>
    <row r="440" spans="1:10" s="489" customFormat="1" ht="18" hidden="1" customHeight="1" x14ac:dyDescent="0.3">
      <c r="A440" s="476" t="s">
        <v>751</v>
      </c>
      <c r="B440" s="484"/>
      <c r="C440" s="485"/>
      <c r="D440" s="486">
        <f t="shared" si="38"/>
        <v>14878.933333333336</v>
      </c>
      <c r="E440" s="475">
        <f>303857/1000</f>
        <v>303.85700000000003</v>
      </c>
      <c r="F440" s="475">
        <f>-80673/1000</f>
        <v>-80.673000000000002</v>
      </c>
      <c r="G440" s="475"/>
      <c r="H440" s="475"/>
      <c r="I440" s="487">
        <f t="shared" si="39"/>
        <v>223.18400000000003</v>
      </c>
      <c r="J440" s="488" t="s">
        <v>72</v>
      </c>
    </row>
    <row r="441" spans="1:10" s="489" customFormat="1" ht="18" hidden="1" customHeight="1" x14ac:dyDescent="0.3">
      <c r="A441" s="476" t="s">
        <v>742</v>
      </c>
      <c r="B441" s="484"/>
      <c r="C441" s="485"/>
      <c r="D441" s="486">
        <f t="shared" si="38"/>
        <v>6383.8666666666659</v>
      </c>
      <c r="E441" s="475">
        <f>131766/1000</f>
        <v>131.76599999999999</v>
      </c>
      <c r="F441" s="475">
        <f>-36008/1000</f>
        <v>-36.008000000000003</v>
      </c>
      <c r="G441" s="475"/>
      <c r="H441" s="475"/>
      <c r="I441" s="487">
        <f t="shared" si="39"/>
        <v>95.757999999999981</v>
      </c>
      <c r="J441" s="488" t="s">
        <v>72</v>
      </c>
    </row>
    <row r="442" spans="1:10" s="489" customFormat="1" ht="18" hidden="1" customHeight="1" x14ac:dyDescent="0.3">
      <c r="A442" s="476" t="s">
        <v>794</v>
      </c>
      <c r="B442" s="484"/>
      <c r="C442" s="485"/>
      <c r="D442" s="486">
        <f t="shared" si="38"/>
        <v>7150.8666666666659</v>
      </c>
      <c r="E442" s="475">
        <f>146629/1000</f>
        <v>146.62899999999999</v>
      </c>
      <c r="F442" s="475">
        <f>-39366/1000</f>
        <v>-39.366</v>
      </c>
      <c r="G442" s="475"/>
      <c r="H442" s="475"/>
      <c r="I442" s="487">
        <f t="shared" si="39"/>
        <v>107.26299999999999</v>
      </c>
      <c r="J442" s="488" t="s">
        <v>72</v>
      </c>
    </row>
    <row r="443" spans="1:10" s="489" customFormat="1" ht="18" hidden="1" customHeight="1" x14ac:dyDescent="0.3">
      <c r="A443" s="476" t="s">
        <v>793</v>
      </c>
      <c r="B443" s="484"/>
      <c r="C443" s="485"/>
      <c r="D443" s="486">
        <f t="shared" si="38"/>
        <v>11409.400000000001</v>
      </c>
      <c r="E443" s="475">
        <f>234859/1000</f>
        <v>234.85900000000001</v>
      </c>
      <c r="F443" s="475">
        <f>-63718/1000</f>
        <v>-63.718000000000004</v>
      </c>
      <c r="G443" s="475"/>
      <c r="H443" s="475"/>
      <c r="I443" s="487">
        <f t="shared" si="39"/>
        <v>171.14100000000002</v>
      </c>
      <c r="J443" s="488" t="s">
        <v>72</v>
      </c>
    </row>
    <row r="444" spans="1:10" s="489" customFormat="1" ht="18" hidden="1" customHeight="1" x14ac:dyDescent="0.3">
      <c r="A444" s="476" t="s">
        <v>783</v>
      </c>
      <c r="B444" s="484"/>
      <c r="C444" s="485"/>
      <c r="D444" s="486">
        <f t="shared" si="38"/>
        <v>11523.666666666668</v>
      </c>
      <c r="E444" s="475">
        <f>229978/1000</f>
        <v>229.97800000000001</v>
      </c>
      <c r="F444" s="475">
        <f>-57123/1000</f>
        <v>-57.122999999999998</v>
      </c>
      <c r="G444" s="475"/>
      <c r="H444" s="475"/>
      <c r="I444" s="487">
        <f t="shared" si="39"/>
        <v>172.85500000000002</v>
      </c>
      <c r="J444" s="488" t="s">
        <v>72</v>
      </c>
    </row>
    <row r="445" spans="1:10" s="489" customFormat="1" ht="18" hidden="1" customHeight="1" x14ac:dyDescent="0.3">
      <c r="A445" s="476" t="s">
        <v>759</v>
      </c>
      <c r="B445" s="484"/>
      <c r="C445" s="485"/>
      <c r="D445" s="486">
        <f t="shared" si="38"/>
        <v>1545.7333333333333</v>
      </c>
      <c r="E445" s="475">
        <f>31231/1000</f>
        <v>31.231000000000002</v>
      </c>
      <c r="F445" s="475">
        <v>-8.0449999999999999</v>
      </c>
      <c r="G445" s="475"/>
      <c r="H445" s="475"/>
      <c r="I445" s="487">
        <f t="shared" si="39"/>
        <v>23.186</v>
      </c>
      <c r="J445" s="488" t="s">
        <v>72</v>
      </c>
    </row>
    <row r="446" spans="1:10" s="50" customFormat="1" ht="18" hidden="1" customHeight="1" x14ac:dyDescent="0.3">
      <c r="A446" s="429" t="s">
        <v>604</v>
      </c>
      <c r="B446" s="154"/>
      <c r="C446" s="48"/>
      <c r="D446" s="156">
        <f t="shared" ref="D446:D451" si="40">I446/0.015</f>
        <v>4941.7333333333336</v>
      </c>
      <c r="E446" s="54">
        <f>100967/1000</f>
        <v>100.967</v>
      </c>
      <c r="F446" s="45">
        <v>-26.841000000000001</v>
      </c>
      <c r="G446" s="45"/>
      <c r="H446" s="45"/>
      <c r="I446" s="55">
        <f t="shared" ref="I446:I451" si="41">F446+E446</f>
        <v>74.126000000000005</v>
      </c>
      <c r="J446" s="492" t="s">
        <v>72</v>
      </c>
    </row>
    <row r="447" spans="1:10" s="50" customFormat="1" ht="18" hidden="1" customHeight="1" x14ac:dyDescent="0.3">
      <c r="A447" s="429" t="s">
        <v>613</v>
      </c>
      <c r="B447" s="154"/>
      <c r="C447" s="48"/>
      <c r="D447" s="156">
        <f t="shared" si="40"/>
        <v>6101.5333333333328</v>
      </c>
      <c r="E447" s="54">
        <f>124622/1000</f>
        <v>124.622</v>
      </c>
      <c r="F447" s="45">
        <f>-33099/1000</f>
        <v>-33.098999999999997</v>
      </c>
      <c r="G447" s="45"/>
      <c r="H447" s="45"/>
      <c r="I447" s="55">
        <f t="shared" si="41"/>
        <v>91.522999999999996</v>
      </c>
      <c r="J447" s="492" t="s">
        <v>72</v>
      </c>
    </row>
    <row r="448" spans="1:10" s="50" customFormat="1" ht="18" hidden="1" customHeight="1" x14ac:dyDescent="0.3">
      <c r="A448" s="429" t="s">
        <v>636</v>
      </c>
      <c r="B448" s="154"/>
      <c r="C448" s="48"/>
      <c r="D448" s="156">
        <f t="shared" si="40"/>
        <v>4057.8666666666663</v>
      </c>
      <c r="E448" s="54">
        <f>83175/1000</f>
        <v>83.174999999999997</v>
      </c>
      <c r="F448" s="45">
        <v>-22.306999999999999</v>
      </c>
      <c r="G448" s="45"/>
      <c r="H448" s="45"/>
      <c r="I448" s="55">
        <f t="shared" si="41"/>
        <v>60.867999999999995</v>
      </c>
      <c r="J448" s="492" t="s">
        <v>72</v>
      </c>
    </row>
    <row r="449" spans="1:10" s="50" customFormat="1" ht="18" hidden="1" customHeight="1" x14ac:dyDescent="0.3">
      <c r="A449" s="429" t="s">
        <v>638</v>
      </c>
      <c r="B449" s="154"/>
      <c r="C449" s="48"/>
      <c r="D449" s="156">
        <f t="shared" si="40"/>
        <v>12439.133333333333</v>
      </c>
      <c r="E449" s="54">
        <f>255977/1000</f>
        <v>255.977</v>
      </c>
      <c r="F449" s="45">
        <f>-69390/1000</f>
        <v>-69.39</v>
      </c>
      <c r="G449" s="45"/>
      <c r="H449" s="45"/>
      <c r="I449" s="55">
        <f t="shared" si="41"/>
        <v>186.58699999999999</v>
      </c>
      <c r="J449" s="492" t="s">
        <v>72</v>
      </c>
    </row>
    <row r="450" spans="1:10" s="50" customFormat="1" ht="18" hidden="1" customHeight="1" x14ac:dyDescent="0.3">
      <c r="A450" s="429" t="s">
        <v>631</v>
      </c>
      <c r="B450" s="154"/>
      <c r="C450" s="48"/>
      <c r="D450" s="156">
        <f t="shared" si="40"/>
        <v>4994.666666666667</v>
      </c>
      <c r="E450" s="54">
        <f>101928/1000</f>
        <v>101.928</v>
      </c>
      <c r="F450" s="45">
        <v>-27.007999999999999</v>
      </c>
      <c r="G450" s="45"/>
      <c r="H450" s="45"/>
      <c r="I450" s="55">
        <f t="shared" si="41"/>
        <v>74.92</v>
      </c>
      <c r="J450" s="492" t="s">
        <v>72</v>
      </c>
    </row>
    <row r="451" spans="1:10" s="50" customFormat="1" ht="18" hidden="1" customHeight="1" x14ac:dyDescent="0.3">
      <c r="A451" s="429" t="s">
        <v>630</v>
      </c>
      <c r="B451" s="154"/>
      <c r="C451" s="48"/>
      <c r="D451" s="156">
        <f t="shared" si="40"/>
        <v>2551.4666666666667</v>
      </c>
      <c r="E451" s="54">
        <f>52436/1000</f>
        <v>52.436</v>
      </c>
      <c r="F451" s="45">
        <v>-14.164</v>
      </c>
      <c r="G451" s="45"/>
      <c r="H451" s="45"/>
      <c r="I451" s="55">
        <f t="shared" si="41"/>
        <v>38.271999999999998</v>
      </c>
      <c r="J451" s="492" t="s">
        <v>72</v>
      </c>
    </row>
    <row r="452" spans="1:10" s="50" customFormat="1" ht="15.75" hidden="1" customHeight="1" x14ac:dyDescent="0.3">
      <c r="A452" s="133" t="s">
        <v>559</v>
      </c>
      <c r="B452" s="47"/>
      <c r="C452" s="48"/>
      <c r="D452" s="138">
        <f t="shared" ref="D452:D457" si="42">I452/0.015</f>
        <v>2799.2666666666664</v>
      </c>
      <c r="E452" s="54">
        <v>57.923999999999999</v>
      </c>
      <c r="F452" s="45">
        <v>-15.935</v>
      </c>
      <c r="G452" s="45"/>
      <c r="H452" s="45"/>
      <c r="I452" s="55">
        <f>SUM(E452:H452)</f>
        <v>41.988999999999997</v>
      </c>
      <c r="J452" s="492" t="s">
        <v>72</v>
      </c>
    </row>
    <row r="453" spans="1:10" s="50" customFormat="1" ht="15.75" hidden="1" customHeight="1" x14ac:dyDescent="0.3">
      <c r="A453" s="133" t="s">
        <v>546</v>
      </c>
      <c r="B453" s="47"/>
      <c r="C453" s="48"/>
      <c r="D453" s="138">
        <f t="shared" si="42"/>
        <v>2690.4666666666667</v>
      </c>
      <c r="E453" s="54">
        <v>55.164999999999999</v>
      </c>
      <c r="F453" s="45">
        <v>-14.808</v>
      </c>
      <c r="G453" s="45"/>
      <c r="H453" s="45"/>
      <c r="I453" s="55">
        <f>SUM(E453:H453)</f>
        <v>40.356999999999999</v>
      </c>
      <c r="J453" s="492" t="s">
        <v>72</v>
      </c>
    </row>
    <row r="454" spans="1:10" s="50" customFormat="1" ht="15.75" hidden="1" customHeight="1" x14ac:dyDescent="0.3">
      <c r="A454" s="133" t="s">
        <v>540</v>
      </c>
      <c r="B454" s="47"/>
      <c r="C454" s="48"/>
      <c r="D454" s="138">
        <f t="shared" si="42"/>
        <v>3930.3333333333335</v>
      </c>
      <c r="E454" s="54">
        <v>80.457999999999998</v>
      </c>
      <c r="F454" s="45">
        <v>-21.503</v>
      </c>
      <c r="G454" s="45"/>
      <c r="H454" s="45"/>
      <c r="I454" s="55">
        <f>SUM(E454:H454)</f>
        <v>58.954999999999998</v>
      </c>
      <c r="J454" s="492" t="s">
        <v>72</v>
      </c>
    </row>
    <row r="455" spans="1:10" s="50" customFormat="1" ht="15.75" hidden="1" customHeight="1" x14ac:dyDescent="0.3">
      <c r="A455" s="133" t="s">
        <v>543</v>
      </c>
      <c r="B455" s="47"/>
      <c r="C455" s="48"/>
      <c r="D455" s="138">
        <f t="shared" si="42"/>
        <v>2979.8</v>
      </c>
      <c r="E455" s="54">
        <v>60.905000000000001</v>
      </c>
      <c r="F455" s="45">
        <v>-16.207999999999998</v>
      </c>
      <c r="G455" s="45"/>
      <c r="H455" s="45"/>
      <c r="I455" s="55">
        <f>SUM(E455:H455)</f>
        <v>44.697000000000003</v>
      </c>
      <c r="J455" s="492" t="s">
        <v>72</v>
      </c>
    </row>
    <row r="456" spans="1:10" s="50" customFormat="1" ht="15.75" hidden="1" customHeight="1" x14ac:dyDescent="0.3">
      <c r="A456" s="133" t="s">
        <v>309</v>
      </c>
      <c r="B456" s="47"/>
      <c r="C456" s="48"/>
      <c r="D456" s="138">
        <f t="shared" si="42"/>
        <v>2071.0666666666666</v>
      </c>
      <c r="E456" s="54">
        <v>42.534999999999997</v>
      </c>
      <c r="F456" s="45">
        <v>-11.468999999999999</v>
      </c>
      <c r="G456" s="45"/>
      <c r="H456" s="45"/>
      <c r="I456" s="55">
        <f>SUM(E456:G456)</f>
        <v>31.065999999999995</v>
      </c>
      <c r="J456" s="492" t="s">
        <v>72</v>
      </c>
    </row>
    <row r="457" spans="1:10" s="50" customFormat="1" ht="15.75" hidden="1" customHeight="1" x14ac:dyDescent="0.3">
      <c r="A457" s="133" t="s">
        <v>310</v>
      </c>
      <c r="B457" s="47"/>
      <c r="C457" s="48"/>
      <c r="D457" s="138">
        <f t="shared" si="42"/>
        <v>2291.0666666666666</v>
      </c>
      <c r="E457" s="54">
        <v>47.037999999999997</v>
      </c>
      <c r="F457" s="45">
        <v>-12.672000000000001</v>
      </c>
      <c r="G457" s="45"/>
      <c r="H457" s="45"/>
      <c r="I457" s="55">
        <f>SUM(E457:G457)</f>
        <v>34.366</v>
      </c>
      <c r="J457" s="492" t="s">
        <v>72</v>
      </c>
    </row>
    <row r="458" spans="1:10" s="50" customFormat="1" ht="4.5" hidden="1" customHeight="1" x14ac:dyDescent="0.3">
      <c r="A458" s="124"/>
      <c r="B458" s="123"/>
      <c r="C458" s="403"/>
      <c r="D458" s="423"/>
      <c r="E458" s="125"/>
      <c r="F458" s="126"/>
      <c r="G458" s="126"/>
      <c r="H458" s="126"/>
      <c r="I458" s="127"/>
      <c r="J458" s="492"/>
    </row>
    <row r="459" spans="1:10" s="50" customFormat="1" ht="15.75" customHeight="1" x14ac:dyDescent="0.3">
      <c r="A459" s="133"/>
      <c r="B459" s="52"/>
      <c r="C459" s="53"/>
      <c r="D459" s="138"/>
      <c r="E459" s="54"/>
      <c r="F459" s="45"/>
      <c r="G459" s="45"/>
      <c r="H459" s="45"/>
      <c r="I459" s="55"/>
      <c r="J459" s="492"/>
    </row>
    <row r="460" spans="1:10" s="50" customFormat="1" ht="16.5" customHeight="1" thickBot="1" x14ac:dyDescent="0.35">
      <c r="A460" s="68" t="s">
        <v>560</v>
      </c>
      <c r="B460" s="52">
        <v>37091</v>
      </c>
      <c r="C460" s="53" t="s">
        <v>160</v>
      </c>
      <c r="D460" s="206">
        <f t="shared" ref="D460:I460" si="43">SUM(D461:D675)</f>
        <v>817926.76666666719</v>
      </c>
      <c r="E460" s="54">
        <f t="shared" si="43"/>
        <v>16175.976000000004</v>
      </c>
      <c r="F460" s="45">
        <f t="shared" si="43"/>
        <v>-4394.7079999999987</v>
      </c>
      <c r="G460" s="45">
        <f t="shared" si="43"/>
        <v>0</v>
      </c>
      <c r="H460" s="45">
        <f t="shared" si="43"/>
        <v>0</v>
      </c>
      <c r="I460" s="55">
        <f t="shared" si="43"/>
        <v>11781.267999999996</v>
      </c>
      <c r="J460" s="492"/>
    </row>
    <row r="461" spans="1:10" s="50" customFormat="1" ht="6.75" hidden="1" customHeight="1" x14ac:dyDescent="0.3">
      <c r="A461" s="122"/>
      <c r="B461" s="128"/>
      <c r="C461" s="124"/>
      <c r="D461" s="423"/>
      <c r="E461" s="125"/>
      <c r="F461" s="126"/>
      <c r="G461" s="126"/>
      <c r="H461" s="126"/>
      <c r="I461" s="127"/>
      <c r="J461" s="492"/>
    </row>
    <row r="462" spans="1:10" s="50" customFormat="1" ht="17.399999999999999" hidden="1" x14ac:dyDescent="0.3">
      <c r="A462" s="501" t="s">
        <v>694</v>
      </c>
      <c r="B462" s="502"/>
      <c r="C462" s="455"/>
      <c r="D462" s="448"/>
      <c r="E462" s="449">
        <v>-899.91200000000003</v>
      </c>
      <c r="F462" s="450">
        <f>112/1000</f>
        <v>0.112</v>
      </c>
      <c r="G462" s="450"/>
      <c r="H462" s="450"/>
      <c r="I462" s="436">
        <f>F462+E462</f>
        <v>-899.80000000000007</v>
      </c>
      <c r="J462" s="492"/>
    </row>
    <row r="463" spans="1:10" s="50" customFormat="1" ht="17.399999999999999" hidden="1" x14ac:dyDescent="0.3">
      <c r="A463" s="501" t="s">
        <v>695</v>
      </c>
      <c r="B463" s="502"/>
      <c r="C463" s="455"/>
      <c r="D463" s="448"/>
      <c r="E463" s="449">
        <f>-2.498-1.526-0.033</f>
        <v>-4.0570000000000004</v>
      </c>
      <c r="F463" s="450">
        <f>112/1000</f>
        <v>0.112</v>
      </c>
      <c r="G463" s="450"/>
      <c r="H463" s="450"/>
      <c r="I463" s="436">
        <f>F463+E463</f>
        <v>-3.9450000000000003</v>
      </c>
      <c r="J463" s="492"/>
    </row>
    <row r="464" spans="1:10" s="489" customFormat="1" ht="17.399999999999999" hidden="1" x14ac:dyDescent="0.3">
      <c r="A464" s="476" t="s">
        <v>721</v>
      </c>
      <c r="B464" s="484"/>
      <c r="C464" s="485"/>
      <c r="D464" s="486">
        <f t="shared" ref="D464:D527" si="44">I464/0.015</f>
        <v>6417.333333333333</v>
      </c>
      <c r="E464" s="475">
        <f>114485/1000</f>
        <v>114.485</v>
      </c>
      <c r="F464" s="475">
        <v>-18.225000000000001</v>
      </c>
      <c r="G464" s="475"/>
      <c r="H464" s="475"/>
      <c r="I464" s="487">
        <f t="shared" ref="I464:I495" si="45">SUM(E464:G464)</f>
        <v>96.259999999999991</v>
      </c>
      <c r="J464" s="492" t="s">
        <v>141</v>
      </c>
    </row>
    <row r="465" spans="1:10" s="489" customFormat="1" ht="17.399999999999999" hidden="1" x14ac:dyDescent="0.3">
      <c r="A465" s="476" t="s">
        <v>706</v>
      </c>
      <c r="B465" s="484"/>
      <c r="C465" s="485"/>
      <c r="D465" s="486">
        <f t="shared" si="44"/>
        <v>1572.1333333333334</v>
      </c>
      <c r="E465" s="475">
        <f>30600/1000</f>
        <v>30.6</v>
      </c>
      <c r="F465" s="475">
        <v>-7.0179999999999998</v>
      </c>
      <c r="G465" s="475"/>
      <c r="H465" s="475"/>
      <c r="I465" s="487">
        <f t="shared" si="45"/>
        <v>23.582000000000001</v>
      </c>
      <c r="J465" s="492" t="s">
        <v>141</v>
      </c>
    </row>
    <row r="466" spans="1:10" s="489" customFormat="1" ht="17.399999999999999" hidden="1" x14ac:dyDescent="0.3">
      <c r="A466" s="476" t="s">
        <v>707</v>
      </c>
      <c r="B466" s="484"/>
      <c r="C466" s="485"/>
      <c r="D466" s="486">
        <f t="shared" si="44"/>
        <v>835.13333333333344</v>
      </c>
      <c r="E466" s="475">
        <f>18090/1000</f>
        <v>18.09</v>
      </c>
      <c r="F466" s="475">
        <v>-5.5629999999999997</v>
      </c>
      <c r="G466" s="475"/>
      <c r="H466" s="475"/>
      <c r="I466" s="487">
        <f t="shared" si="45"/>
        <v>12.527000000000001</v>
      </c>
      <c r="J466" s="492" t="s">
        <v>141</v>
      </c>
    </row>
    <row r="467" spans="1:10" s="489" customFormat="1" ht="17.399999999999999" hidden="1" x14ac:dyDescent="0.3">
      <c r="A467" s="476" t="s">
        <v>708</v>
      </c>
      <c r="B467" s="484"/>
      <c r="C467" s="485"/>
      <c r="D467" s="486">
        <f t="shared" si="44"/>
        <v>2754.0000000000005</v>
      </c>
      <c r="E467" s="475">
        <f>53863/1000</f>
        <v>53.863</v>
      </c>
      <c r="F467" s="475">
        <v>-12.553000000000001</v>
      </c>
      <c r="G467" s="475"/>
      <c r="H467" s="475"/>
      <c r="I467" s="487">
        <f t="shared" si="45"/>
        <v>41.31</v>
      </c>
      <c r="J467" s="492" t="s">
        <v>141</v>
      </c>
    </row>
    <row r="468" spans="1:10" s="489" customFormat="1" ht="17.399999999999999" hidden="1" x14ac:dyDescent="0.3">
      <c r="A468" s="476" t="s">
        <v>709</v>
      </c>
      <c r="B468" s="484"/>
      <c r="C468" s="485"/>
      <c r="D468" s="486">
        <f t="shared" si="44"/>
        <v>804.66666666666663</v>
      </c>
      <c r="E468" s="475">
        <f>16993/1000</f>
        <v>16.992999999999999</v>
      </c>
      <c r="F468" s="475">
        <v>-4.923</v>
      </c>
      <c r="G468" s="475"/>
      <c r="H468" s="475"/>
      <c r="I468" s="487">
        <f t="shared" si="45"/>
        <v>12.069999999999999</v>
      </c>
      <c r="J468" s="492" t="s">
        <v>141</v>
      </c>
    </row>
    <row r="469" spans="1:10" s="489" customFormat="1" ht="17.399999999999999" hidden="1" x14ac:dyDescent="0.3">
      <c r="A469" s="476" t="s">
        <v>710</v>
      </c>
      <c r="B469" s="484"/>
      <c r="C469" s="485"/>
      <c r="D469" s="486">
        <f t="shared" si="44"/>
        <v>3237.2000000000003</v>
      </c>
      <c r="E469" s="475">
        <f>58481/1000</f>
        <v>58.481000000000002</v>
      </c>
      <c r="F469" s="475">
        <v>-9.923</v>
      </c>
      <c r="G469" s="475"/>
      <c r="H469" s="475"/>
      <c r="I469" s="487">
        <f t="shared" si="45"/>
        <v>48.558</v>
      </c>
      <c r="J469" s="492" t="s">
        <v>141</v>
      </c>
    </row>
    <row r="470" spans="1:10" s="489" customFormat="1" ht="17.399999999999999" hidden="1" x14ac:dyDescent="0.3">
      <c r="A470" s="476" t="s">
        <v>720</v>
      </c>
      <c r="B470" s="484"/>
      <c r="C470" s="485"/>
      <c r="D470" s="486">
        <f t="shared" si="44"/>
        <v>3964.9333333333338</v>
      </c>
      <c r="E470" s="475">
        <f>75750/1000</f>
        <v>75.75</v>
      </c>
      <c r="F470" s="475">
        <v>-16.276</v>
      </c>
      <c r="G470" s="475"/>
      <c r="H470" s="475"/>
      <c r="I470" s="487">
        <f t="shared" si="45"/>
        <v>59.474000000000004</v>
      </c>
      <c r="J470" s="492" t="s">
        <v>141</v>
      </c>
    </row>
    <row r="471" spans="1:10" s="489" customFormat="1" ht="17.399999999999999" hidden="1" x14ac:dyDescent="0.3">
      <c r="A471" s="476" t="s">
        <v>727</v>
      </c>
      <c r="B471" s="484"/>
      <c r="C471" s="485"/>
      <c r="D471" s="486">
        <f t="shared" si="44"/>
        <v>3205.0000000000005</v>
      </c>
      <c r="E471" s="475">
        <f>57466/1000</f>
        <v>57.466000000000001</v>
      </c>
      <c r="F471" s="475">
        <v>-9.391</v>
      </c>
      <c r="G471" s="475"/>
      <c r="H471" s="475"/>
      <c r="I471" s="487">
        <f t="shared" si="45"/>
        <v>48.075000000000003</v>
      </c>
      <c r="J471" s="492" t="s">
        <v>141</v>
      </c>
    </row>
    <row r="472" spans="1:10" s="489" customFormat="1" ht="17.399999999999999" hidden="1" x14ac:dyDescent="0.3">
      <c r="A472" s="476" t="s">
        <v>736</v>
      </c>
      <c r="B472" s="484"/>
      <c r="C472" s="485"/>
      <c r="D472" s="486">
        <f t="shared" si="44"/>
        <v>5327.2666666666664</v>
      </c>
      <c r="E472" s="475">
        <f>99006/1000</f>
        <v>99.006</v>
      </c>
      <c r="F472" s="475">
        <v>-19.097000000000001</v>
      </c>
      <c r="G472" s="475"/>
      <c r="H472" s="475"/>
      <c r="I472" s="487">
        <f t="shared" si="45"/>
        <v>79.908999999999992</v>
      </c>
      <c r="J472" s="492" t="s">
        <v>141</v>
      </c>
    </row>
    <row r="473" spans="1:10" s="489" customFormat="1" ht="17.399999999999999" hidden="1" x14ac:dyDescent="0.3">
      <c r="A473" s="476" t="s">
        <v>792</v>
      </c>
      <c r="B473" s="484"/>
      <c r="C473" s="485"/>
      <c r="D473" s="486">
        <f t="shared" si="44"/>
        <v>4259.4000000000005</v>
      </c>
      <c r="E473" s="475">
        <f>80358/1000</f>
        <v>80.358000000000004</v>
      </c>
      <c r="F473" s="475">
        <v>-16.466999999999999</v>
      </c>
      <c r="G473" s="475"/>
      <c r="H473" s="475"/>
      <c r="I473" s="487">
        <f t="shared" si="45"/>
        <v>63.891000000000005</v>
      </c>
      <c r="J473" s="492" t="s">
        <v>141</v>
      </c>
    </row>
    <row r="474" spans="1:10" s="489" customFormat="1" ht="17.399999999999999" hidden="1" x14ac:dyDescent="0.3">
      <c r="A474" s="476" t="s">
        <v>741</v>
      </c>
      <c r="B474" s="484"/>
      <c r="C474" s="485"/>
      <c r="D474" s="486">
        <f t="shared" si="44"/>
        <v>2671.2</v>
      </c>
      <c r="E474" s="475">
        <f>56918/1000</f>
        <v>56.917999999999999</v>
      </c>
      <c r="F474" s="475">
        <v>-16.850000000000001</v>
      </c>
      <c r="G474" s="475"/>
      <c r="H474" s="475"/>
      <c r="I474" s="487">
        <f t="shared" si="45"/>
        <v>40.067999999999998</v>
      </c>
      <c r="J474" s="492" t="s">
        <v>141</v>
      </c>
    </row>
    <row r="475" spans="1:10" s="489" customFormat="1" ht="17.399999999999999" hidden="1" x14ac:dyDescent="0.3">
      <c r="A475" s="476" t="s">
        <v>754</v>
      </c>
      <c r="B475" s="484"/>
      <c r="C475" s="485"/>
      <c r="D475" s="486">
        <f t="shared" si="44"/>
        <v>3708.1999999999994</v>
      </c>
      <c r="E475" s="475">
        <f>82380/1000</f>
        <v>82.38</v>
      </c>
      <c r="F475" s="475">
        <v>-26.757000000000001</v>
      </c>
      <c r="G475" s="475"/>
      <c r="H475" s="475"/>
      <c r="I475" s="487">
        <f t="shared" si="45"/>
        <v>55.62299999999999</v>
      </c>
      <c r="J475" s="492" t="s">
        <v>141</v>
      </c>
    </row>
    <row r="476" spans="1:10" s="489" customFormat="1" ht="17.399999999999999" hidden="1" x14ac:dyDescent="0.3">
      <c r="A476" s="476" t="s">
        <v>790</v>
      </c>
      <c r="B476" s="484"/>
      <c r="C476" s="485"/>
      <c r="D476" s="486">
        <f t="shared" si="44"/>
        <v>2013.6000000000001</v>
      </c>
      <c r="E476" s="475">
        <f>43284/1000</f>
        <v>43.283999999999999</v>
      </c>
      <c r="F476" s="475">
        <v>-13.08</v>
      </c>
      <c r="G476" s="475"/>
      <c r="H476" s="475"/>
      <c r="I476" s="487">
        <f t="shared" si="45"/>
        <v>30.204000000000001</v>
      </c>
      <c r="J476" s="492" t="s">
        <v>141</v>
      </c>
    </row>
    <row r="477" spans="1:10" s="489" customFormat="1" ht="17.399999999999999" hidden="1" x14ac:dyDescent="0.3">
      <c r="A477" s="476" t="s">
        <v>811</v>
      </c>
      <c r="B477" s="484"/>
      <c r="C477" s="485"/>
      <c r="D477" s="486">
        <f t="shared" si="44"/>
        <v>1899.6000000000001</v>
      </c>
      <c r="E477" s="475">
        <f>40083/1000</f>
        <v>40.082999999999998</v>
      </c>
      <c r="F477" s="475">
        <v>-11.589</v>
      </c>
      <c r="G477" s="475"/>
      <c r="H477" s="475"/>
      <c r="I477" s="487">
        <f t="shared" si="45"/>
        <v>28.494</v>
      </c>
      <c r="J477" s="492" t="s">
        <v>141</v>
      </c>
    </row>
    <row r="478" spans="1:10" s="489" customFormat="1" ht="17.399999999999999" hidden="1" x14ac:dyDescent="0.3">
      <c r="A478" s="476" t="s">
        <v>722</v>
      </c>
      <c r="B478" s="484"/>
      <c r="C478" s="485"/>
      <c r="D478" s="486">
        <f t="shared" si="44"/>
        <v>158.46666666666667</v>
      </c>
      <c r="E478" s="475">
        <f>4084/1000</f>
        <v>4.0839999999999996</v>
      </c>
      <c r="F478" s="475">
        <v>-1.7070000000000001</v>
      </c>
      <c r="G478" s="475"/>
      <c r="H478" s="475"/>
      <c r="I478" s="487">
        <f t="shared" si="45"/>
        <v>2.3769999999999998</v>
      </c>
      <c r="J478" s="492" t="s">
        <v>141</v>
      </c>
    </row>
    <row r="479" spans="1:10" s="489" customFormat="1" ht="17.399999999999999" hidden="1" x14ac:dyDescent="0.3">
      <c r="A479" s="476" t="s">
        <v>735</v>
      </c>
      <c r="B479" s="484"/>
      <c r="C479" s="485"/>
      <c r="D479" s="486">
        <f t="shared" si="44"/>
        <v>-21.199999999999989</v>
      </c>
      <c r="E479" s="475">
        <f>1312/1000</f>
        <v>1.3120000000000001</v>
      </c>
      <c r="F479" s="475">
        <v>-1.63</v>
      </c>
      <c r="G479" s="475"/>
      <c r="H479" s="475"/>
      <c r="I479" s="487">
        <f t="shared" si="45"/>
        <v>-0.31799999999999984</v>
      </c>
      <c r="J479" s="492" t="s">
        <v>141</v>
      </c>
    </row>
    <row r="480" spans="1:10" s="489" customFormat="1" ht="17.399999999999999" hidden="1" x14ac:dyDescent="0.3">
      <c r="A480" s="476" t="s">
        <v>723</v>
      </c>
      <c r="B480" s="484"/>
      <c r="C480" s="485"/>
      <c r="D480" s="486">
        <f t="shared" si="44"/>
        <v>3438.8666666666668</v>
      </c>
      <c r="E480" s="475">
        <f>75072/1000</f>
        <v>75.072000000000003</v>
      </c>
      <c r="F480" s="475">
        <v>-23.489000000000001</v>
      </c>
      <c r="G480" s="475"/>
      <c r="H480" s="475"/>
      <c r="I480" s="487">
        <f t="shared" si="45"/>
        <v>51.582999999999998</v>
      </c>
      <c r="J480" s="492" t="s">
        <v>141</v>
      </c>
    </row>
    <row r="481" spans="1:10" s="489" customFormat="1" ht="17.399999999999999" hidden="1" x14ac:dyDescent="0.3">
      <c r="A481" s="476" t="s">
        <v>724</v>
      </c>
      <c r="B481" s="484"/>
      <c r="C481" s="485"/>
      <c r="D481" s="486">
        <f t="shared" si="44"/>
        <v>2752.6000000000004</v>
      </c>
      <c r="E481" s="475">
        <f>59633/1000</f>
        <v>59.633000000000003</v>
      </c>
      <c r="F481" s="475">
        <v>-18.344000000000001</v>
      </c>
      <c r="G481" s="475"/>
      <c r="H481" s="475"/>
      <c r="I481" s="487">
        <f t="shared" si="45"/>
        <v>41.289000000000001</v>
      </c>
      <c r="J481" s="492" t="s">
        <v>141</v>
      </c>
    </row>
    <row r="482" spans="1:10" s="489" customFormat="1" ht="17.399999999999999" hidden="1" x14ac:dyDescent="0.3">
      <c r="A482" s="476" t="s">
        <v>725</v>
      </c>
      <c r="B482" s="484"/>
      <c r="C482" s="485"/>
      <c r="D482" s="486">
        <f t="shared" si="44"/>
        <v>7849.2666666666673</v>
      </c>
      <c r="E482" s="475">
        <f>164507/1000</f>
        <v>164.50700000000001</v>
      </c>
      <c r="F482" s="475">
        <f>-46768/1000</f>
        <v>-46.768000000000001</v>
      </c>
      <c r="G482" s="475"/>
      <c r="H482" s="475"/>
      <c r="I482" s="487">
        <f t="shared" si="45"/>
        <v>117.739</v>
      </c>
      <c r="J482" s="492" t="s">
        <v>141</v>
      </c>
    </row>
    <row r="483" spans="1:10" s="489" customFormat="1" ht="17.399999999999999" hidden="1" x14ac:dyDescent="0.3">
      <c r="A483" s="476" t="s">
        <v>726</v>
      </c>
      <c r="B483" s="484"/>
      <c r="C483" s="485"/>
      <c r="D483" s="486">
        <f t="shared" si="44"/>
        <v>755.33333333333326</v>
      </c>
      <c r="E483" s="475">
        <f>15488/1000</f>
        <v>15.488</v>
      </c>
      <c r="F483" s="475">
        <v>-4.1580000000000004</v>
      </c>
      <c r="G483" s="475"/>
      <c r="H483" s="475"/>
      <c r="I483" s="487">
        <f t="shared" si="45"/>
        <v>11.329999999999998</v>
      </c>
      <c r="J483" s="492" t="s">
        <v>141</v>
      </c>
    </row>
    <row r="484" spans="1:10" s="489" customFormat="1" ht="17.399999999999999" hidden="1" x14ac:dyDescent="0.3">
      <c r="A484" s="476" t="s">
        <v>737</v>
      </c>
      <c r="B484" s="484"/>
      <c r="C484" s="485"/>
      <c r="D484" s="486">
        <f t="shared" si="44"/>
        <v>3925.9333333333334</v>
      </c>
      <c r="E484" s="475">
        <f>84463/1000</f>
        <v>84.462999999999994</v>
      </c>
      <c r="F484" s="475">
        <v>-25.574000000000002</v>
      </c>
      <c r="G484" s="475"/>
      <c r="H484" s="475"/>
      <c r="I484" s="487">
        <f t="shared" si="45"/>
        <v>58.888999999999996</v>
      </c>
      <c r="J484" s="492" t="s">
        <v>141</v>
      </c>
    </row>
    <row r="485" spans="1:10" s="489" customFormat="1" ht="17.399999999999999" hidden="1" x14ac:dyDescent="0.3">
      <c r="A485" s="476" t="s">
        <v>752</v>
      </c>
      <c r="B485" s="484"/>
      <c r="C485" s="485"/>
      <c r="D485" s="486">
        <f t="shared" si="44"/>
        <v>2723.4666666666672</v>
      </c>
      <c r="E485" s="475">
        <f>61396/1000</f>
        <v>61.396000000000001</v>
      </c>
      <c r="F485" s="475">
        <v>-20.544</v>
      </c>
      <c r="G485" s="475"/>
      <c r="H485" s="475"/>
      <c r="I485" s="487">
        <f t="shared" si="45"/>
        <v>40.852000000000004</v>
      </c>
      <c r="J485" s="492" t="s">
        <v>141</v>
      </c>
    </row>
    <row r="486" spans="1:10" s="489" customFormat="1" ht="17.399999999999999" hidden="1" x14ac:dyDescent="0.3">
      <c r="A486" s="476" t="s">
        <v>797</v>
      </c>
      <c r="B486" s="484"/>
      <c r="C486" s="485"/>
      <c r="D486" s="486">
        <f t="shared" si="44"/>
        <v>1255.8666666666668</v>
      </c>
      <c r="E486" s="475">
        <f>26945/1000</f>
        <v>26.945</v>
      </c>
      <c r="F486" s="475">
        <v>-8.1069999999999993</v>
      </c>
      <c r="G486" s="475"/>
      <c r="H486" s="475"/>
      <c r="I486" s="487">
        <f t="shared" si="45"/>
        <v>18.838000000000001</v>
      </c>
      <c r="J486" s="492" t="s">
        <v>141</v>
      </c>
    </row>
    <row r="487" spans="1:10" s="489" customFormat="1" ht="17.399999999999999" hidden="1" x14ac:dyDescent="0.3">
      <c r="A487" s="476" t="s">
        <v>753</v>
      </c>
      <c r="B487" s="484"/>
      <c r="C487" s="485"/>
      <c r="D487" s="486">
        <f t="shared" si="44"/>
        <v>7415.8666666666659</v>
      </c>
      <c r="E487" s="475">
        <f>155640/1000</f>
        <v>155.63999999999999</v>
      </c>
      <c r="F487" s="475">
        <f>-44402/1000</f>
        <v>-44.402000000000001</v>
      </c>
      <c r="G487" s="475"/>
      <c r="H487" s="475"/>
      <c r="I487" s="487">
        <f t="shared" si="45"/>
        <v>111.23799999999999</v>
      </c>
      <c r="J487" s="492" t="s">
        <v>141</v>
      </c>
    </row>
    <row r="488" spans="1:10" s="489" customFormat="1" ht="17.399999999999999" hidden="1" x14ac:dyDescent="0.3">
      <c r="A488" s="476" t="s">
        <v>758</v>
      </c>
      <c r="B488" s="484"/>
      <c r="C488" s="485"/>
      <c r="D488" s="486">
        <f t="shared" si="44"/>
        <v>3083.3333333333335</v>
      </c>
      <c r="E488" s="475">
        <f>64962/1000</f>
        <v>64.962000000000003</v>
      </c>
      <c r="F488" s="475">
        <v>-18.712</v>
      </c>
      <c r="G488" s="475"/>
      <c r="H488" s="475"/>
      <c r="I488" s="487">
        <f t="shared" si="45"/>
        <v>46.25</v>
      </c>
      <c r="J488" s="492" t="s">
        <v>141</v>
      </c>
    </row>
    <row r="489" spans="1:10" s="489" customFormat="1" ht="17.399999999999999" hidden="1" x14ac:dyDescent="0.3">
      <c r="A489" s="476" t="s">
        <v>791</v>
      </c>
      <c r="B489" s="484"/>
      <c r="C489" s="485"/>
      <c r="D489" s="486">
        <f t="shared" si="44"/>
        <v>6932.6</v>
      </c>
      <c r="E489" s="475">
        <f>150410/1000</f>
        <v>150.41</v>
      </c>
      <c r="F489" s="475">
        <f>-46421/1000</f>
        <v>-46.420999999999999</v>
      </c>
      <c r="G489" s="475"/>
      <c r="H489" s="475"/>
      <c r="I489" s="487">
        <f t="shared" si="45"/>
        <v>103.989</v>
      </c>
      <c r="J489" s="492" t="s">
        <v>141</v>
      </c>
    </row>
    <row r="490" spans="1:10" s="489" customFormat="1" ht="17.399999999999999" hidden="1" x14ac:dyDescent="0.3">
      <c r="A490" s="476" t="s">
        <v>810</v>
      </c>
      <c r="B490" s="484"/>
      <c r="C490" s="485"/>
      <c r="D490" s="486">
        <f t="shared" si="44"/>
        <v>7518.1333333333341</v>
      </c>
      <c r="E490" s="475">
        <f>160234/1000</f>
        <v>160.23400000000001</v>
      </c>
      <c r="F490" s="475">
        <f>-47462/1000</f>
        <v>-47.462000000000003</v>
      </c>
      <c r="G490" s="475"/>
      <c r="H490" s="475"/>
      <c r="I490" s="487">
        <f t="shared" si="45"/>
        <v>112.77200000000001</v>
      </c>
      <c r="J490" s="492" t="s">
        <v>141</v>
      </c>
    </row>
    <row r="491" spans="1:10" s="489" customFormat="1" ht="17.399999999999999" hidden="1" x14ac:dyDescent="0.3">
      <c r="A491" s="476" t="s">
        <v>729</v>
      </c>
      <c r="B491" s="484"/>
      <c r="C491" s="485"/>
      <c r="D491" s="486">
        <f t="shared" si="44"/>
        <v>5744.666666666667</v>
      </c>
      <c r="E491" s="475">
        <f>120274/1000</f>
        <v>120.274</v>
      </c>
      <c r="F491" s="475">
        <f>-34104/1000</f>
        <v>-34.103999999999999</v>
      </c>
      <c r="G491" s="475"/>
      <c r="H491" s="475"/>
      <c r="I491" s="487">
        <f t="shared" si="45"/>
        <v>86.17</v>
      </c>
      <c r="J491" s="492" t="s">
        <v>141</v>
      </c>
    </row>
    <row r="492" spans="1:10" s="489" customFormat="1" ht="17.399999999999999" hidden="1" x14ac:dyDescent="0.3">
      <c r="A492" s="476" t="s">
        <v>717</v>
      </c>
      <c r="B492" s="484"/>
      <c r="C492" s="485"/>
      <c r="D492" s="486">
        <f t="shared" si="44"/>
        <v>8943.0666666666657</v>
      </c>
      <c r="E492" s="475">
        <f>185422/1000</f>
        <v>185.422</v>
      </c>
      <c r="F492" s="475">
        <f>-51276/1000</f>
        <v>-51.276000000000003</v>
      </c>
      <c r="G492" s="475"/>
      <c r="H492" s="475"/>
      <c r="I492" s="487">
        <f t="shared" si="45"/>
        <v>134.14599999999999</v>
      </c>
      <c r="J492" s="492" t="s">
        <v>141</v>
      </c>
    </row>
    <row r="493" spans="1:10" s="489" customFormat="1" ht="17.399999999999999" hidden="1" x14ac:dyDescent="0.3">
      <c r="A493" s="476" t="s">
        <v>719</v>
      </c>
      <c r="B493" s="484"/>
      <c r="C493" s="485"/>
      <c r="D493" s="486">
        <f t="shared" si="44"/>
        <v>4034.666666666667</v>
      </c>
      <c r="E493" s="475">
        <f>84301/1000</f>
        <v>84.301000000000002</v>
      </c>
      <c r="F493" s="475">
        <v>-23.780999999999999</v>
      </c>
      <c r="G493" s="475"/>
      <c r="H493" s="475"/>
      <c r="I493" s="487">
        <f t="shared" si="45"/>
        <v>60.52</v>
      </c>
      <c r="J493" s="492" t="s">
        <v>141</v>
      </c>
    </row>
    <row r="494" spans="1:10" s="489" customFormat="1" ht="17.399999999999999" hidden="1" x14ac:dyDescent="0.3">
      <c r="A494" s="476" t="s">
        <v>712</v>
      </c>
      <c r="B494" s="484"/>
      <c r="C494" s="485"/>
      <c r="D494" s="486">
        <f t="shared" si="44"/>
        <v>13542.800000000001</v>
      </c>
      <c r="E494" s="475">
        <f>280662/1000</f>
        <v>280.66199999999998</v>
      </c>
      <c r="F494" s="475">
        <f>-77520/1000</f>
        <v>-77.52</v>
      </c>
      <c r="G494" s="475"/>
      <c r="H494" s="475"/>
      <c r="I494" s="487">
        <f t="shared" si="45"/>
        <v>203.142</v>
      </c>
      <c r="J494" s="492" t="s">
        <v>61</v>
      </c>
    </row>
    <row r="495" spans="1:10" s="489" customFormat="1" ht="17.399999999999999" hidden="1" x14ac:dyDescent="0.3">
      <c r="A495" s="476" t="s">
        <v>699</v>
      </c>
      <c r="B495" s="484"/>
      <c r="C495" s="485"/>
      <c r="D495" s="486">
        <f t="shared" si="44"/>
        <v>21129.066666666669</v>
      </c>
      <c r="E495" s="475">
        <v>435.209</v>
      </c>
      <c r="F495" s="475">
        <v>-118.273</v>
      </c>
      <c r="G495" s="475"/>
      <c r="H495" s="475"/>
      <c r="I495" s="487">
        <f t="shared" si="45"/>
        <v>316.93600000000004</v>
      </c>
      <c r="J495" s="492" t="s">
        <v>61</v>
      </c>
    </row>
    <row r="496" spans="1:10" s="489" customFormat="1" ht="17.399999999999999" hidden="1" x14ac:dyDescent="0.3">
      <c r="A496" s="476" t="s">
        <v>704</v>
      </c>
      <c r="B496" s="484"/>
      <c r="C496" s="485"/>
      <c r="D496" s="486">
        <f t="shared" si="44"/>
        <v>11219.800000000001</v>
      </c>
      <c r="E496" s="475">
        <f>229642/1000</f>
        <v>229.642</v>
      </c>
      <c r="F496" s="475">
        <f>-61345/1000</f>
        <v>-61.344999999999999</v>
      </c>
      <c r="G496" s="475"/>
      <c r="H496" s="475"/>
      <c r="I496" s="487">
        <f t="shared" ref="I496:I513" si="46">SUM(E496:G496)</f>
        <v>168.297</v>
      </c>
      <c r="J496" s="492" t="s">
        <v>61</v>
      </c>
    </row>
    <row r="497" spans="1:10" s="489" customFormat="1" ht="17.399999999999999" hidden="1" x14ac:dyDescent="0.3">
      <c r="A497" s="476" t="s">
        <v>716</v>
      </c>
      <c r="B497" s="484"/>
      <c r="C497" s="485"/>
      <c r="D497" s="486">
        <f t="shared" si="44"/>
        <v>16417.266666666666</v>
      </c>
      <c r="E497" s="475">
        <f>338010/1000</f>
        <v>338.01</v>
      </c>
      <c r="F497" s="475">
        <f>-91751/1000</f>
        <v>-91.751000000000005</v>
      </c>
      <c r="G497" s="475"/>
      <c r="H497" s="475"/>
      <c r="I497" s="487">
        <f t="shared" si="46"/>
        <v>246.25899999999999</v>
      </c>
      <c r="J497" s="492" t="s">
        <v>61</v>
      </c>
    </row>
    <row r="498" spans="1:10" s="489" customFormat="1" ht="17.399999999999999" hidden="1" x14ac:dyDescent="0.3">
      <c r="A498" s="476" t="s">
        <v>728</v>
      </c>
      <c r="B498" s="484"/>
      <c r="C498" s="485"/>
      <c r="D498" s="486">
        <f t="shared" si="44"/>
        <v>16192.866666666665</v>
      </c>
      <c r="E498" s="475">
        <f>334431/1000</f>
        <v>334.43099999999998</v>
      </c>
      <c r="F498" s="475">
        <f>-91538/1000</f>
        <v>-91.537999999999997</v>
      </c>
      <c r="G498" s="475"/>
      <c r="H498" s="475"/>
      <c r="I498" s="487">
        <f t="shared" si="46"/>
        <v>242.89299999999997</v>
      </c>
      <c r="J498" s="492" t="s">
        <v>61</v>
      </c>
    </row>
    <row r="499" spans="1:10" s="489" customFormat="1" ht="17.399999999999999" hidden="1" x14ac:dyDescent="0.3">
      <c r="A499" s="476" t="s">
        <v>740</v>
      </c>
      <c r="B499" s="484"/>
      <c r="C499" s="485"/>
      <c r="D499" s="486">
        <f t="shared" si="44"/>
        <v>13213.2</v>
      </c>
      <c r="E499" s="475">
        <f>273240/1000</f>
        <v>273.24</v>
      </c>
      <c r="F499" s="475">
        <f>-75042/1000</f>
        <v>-75.042000000000002</v>
      </c>
      <c r="G499" s="475"/>
      <c r="H499" s="475"/>
      <c r="I499" s="487">
        <f t="shared" si="46"/>
        <v>198.19800000000001</v>
      </c>
      <c r="J499" s="492" t="s">
        <v>61</v>
      </c>
    </row>
    <row r="500" spans="1:10" s="489" customFormat="1" ht="17.399999999999999" hidden="1" x14ac:dyDescent="0.3">
      <c r="A500" s="476" t="s">
        <v>747</v>
      </c>
      <c r="B500" s="484"/>
      <c r="C500" s="485"/>
      <c r="D500" s="486">
        <f t="shared" si="44"/>
        <v>9164.1333333333332</v>
      </c>
      <c r="E500" s="475">
        <f>191207/1000</f>
        <v>191.20699999999999</v>
      </c>
      <c r="F500" s="475">
        <f>-53745/1000</f>
        <v>-53.744999999999997</v>
      </c>
      <c r="G500" s="475"/>
      <c r="H500" s="475"/>
      <c r="I500" s="487">
        <f t="shared" si="46"/>
        <v>137.46199999999999</v>
      </c>
      <c r="J500" s="492" t="s">
        <v>61</v>
      </c>
    </row>
    <row r="501" spans="1:10" s="489" customFormat="1" ht="17.399999999999999" hidden="1" x14ac:dyDescent="0.3">
      <c r="A501" s="476" t="s">
        <v>748</v>
      </c>
      <c r="B501" s="484"/>
      <c r="C501" s="485"/>
      <c r="D501" s="486">
        <f t="shared" si="44"/>
        <v>8408.1333333333332</v>
      </c>
      <c r="E501" s="475">
        <f>174135/1000</f>
        <v>174.13499999999999</v>
      </c>
      <c r="F501" s="475">
        <f>-48013/1000</f>
        <v>-48.012999999999998</v>
      </c>
      <c r="G501" s="475"/>
      <c r="H501" s="475"/>
      <c r="I501" s="487">
        <f t="shared" si="46"/>
        <v>126.12199999999999</v>
      </c>
      <c r="J501" s="492" t="s">
        <v>61</v>
      </c>
    </row>
    <row r="502" spans="1:10" s="489" customFormat="1" ht="17.399999999999999" hidden="1" x14ac:dyDescent="0.3">
      <c r="A502" s="476" t="s">
        <v>757</v>
      </c>
      <c r="B502" s="484"/>
      <c r="C502" s="485"/>
      <c r="D502" s="486">
        <f t="shared" si="44"/>
        <v>16606.333333333336</v>
      </c>
      <c r="E502" s="475">
        <f>345309/1000</f>
        <v>345.30900000000003</v>
      </c>
      <c r="F502" s="475">
        <f>-96214/1000</f>
        <v>-96.213999999999999</v>
      </c>
      <c r="G502" s="475"/>
      <c r="H502" s="475"/>
      <c r="I502" s="487">
        <f t="shared" si="46"/>
        <v>249.09500000000003</v>
      </c>
      <c r="J502" s="492" t="s">
        <v>61</v>
      </c>
    </row>
    <row r="503" spans="1:10" s="489" customFormat="1" ht="17.399999999999999" hidden="1" x14ac:dyDescent="0.3">
      <c r="A503" s="476" t="s">
        <v>795</v>
      </c>
      <c r="B503" s="484"/>
      <c r="C503" s="485"/>
      <c r="D503" s="486">
        <f t="shared" si="44"/>
        <v>21439.133333333339</v>
      </c>
      <c r="E503" s="475">
        <f>445297/1000</f>
        <v>445.29700000000003</v>
      </c>
      <c r="F503" s="475">
        <f>-123710/1000</f>
        <v>-123.71</v>
      </c>
      <c r="G503" s="475"/>
      <c r="H503" s="475"/>
      <c r="I503" s="487">
        <f t="shared" si="46"/>
        <v>321.58700000000005</v>
      </c>
      <c r="J503" s="492" t="s">
        <v>61</v>
      </c>
    </row>
    <row r="504" spans="1:10" s="489" customFormat="1" ht="17.399999999999999" hidden="1" x14ac:dyDescent="0.3">
      <c r="A504" s="476" t="s">
        <v>813</v>
      </c>
      <c r="B504" s="484"/>
      <c r="C504" s="485"/>
      <c r="D504" s="486">
        <f t="shared" si="44"/>
        <v>41432.600000000006</v>
      </c>
      <c r="E504" s="475">
        <f>843576/1000</f>
        <v>843.57600000000002</v>
      </c>
      <c r="F504" s="475">
        <f>-222087/1000</f>
        <v>-222.08699999999999</v>
      </c>
      <c r="G504" s="475"/>
      <c r="H504" s="475"/>
      <c r="I504" s="487">
        <f t="shared" si="46"/>
        <v>621.48900000000003</v>
      </c>
      <c r="J504" s="492" t="s">
        <v>61</v>
      </c>
    </row>
    <row r="505" spans="1:10" s="489" customFormat="1" ht="17.399999999999999" hidden="1" x14ac:dyDescent="0.3">
      <c r="A505" s="476" t="s">
        <v>713</v>
      </c>
      <c r="B505" s="484"/>
      <c r="C505" s="485"/>
      <c r="D505" s="486">
        <f t="shared" si="44"/>
        <v>9245.5333333333328</v>
      </c>
      <c r="E505" s="475">
        <f>190462/1000</f>
        <v>190.46199999999999</v>
      </c>
      <c r="F505" s="475">
        <f>-51779/1000</f>
        <v>-51.779000000000003</v>
      </c>
      <c r="G505" s="475"/>
      <c r="H505" s="475"/>
      <c r="I505" s="487">
        <f t="shared" si="46"/>
        <v>138.68299999999999</v>
      </c>
      <c r="J505" s="492" t="s">
        <v>61</v>
      </c>
    </row>
    <row r="506" spans="1:10" s="489" customFormat="1" ht="17.399999999999999" hidden="1" x14ac:dyDescent="0.3">
      <c r="A506" s="476" t="s">
        <v>703</v>
      </c>
      <c r="B506" s="484"/>
      <c r="C506" s="485"/>
      <c r="D506" s="486">
        <f t="shared" si="44"/>
        <v>5971.2666666666673</v>
      </c>
      <c r="E506" s="475">
        <f>123137/1000</f>
        <v>123.137</v>
      </c>
      <c r="F506" s="475">
        <f>-33568/1000</f>
        <v>-33.567999999999998</v>
      </c>
      <c r="G506" s="475"/>
      <c r="H506" s="475"/>
      <c r="I506" s="487">
        <f t="shared" si="46"/>
        <v>89.569000000000003</v>
      </c>
      <c r="J506" s="492" t="s">
        <v>61</v>
      </c>
    </row>
    <row r="507" spans="1:10" s="489" customFormat="1" ht="17.399999999999999" hidden="1" x14ac:dyDescent="0.3">
      <c r="A507" s="476" t="s">
        <v>718</v>
      </c>
      <c r="B507" s="484"/>
      <c r="C507" s="485"/>
      <c r="D507" s="486">
        <f t="shared" si="44"/>
        <v>6561.4000000000005</v>
      </c>
      <c r="E507" s="475">
        <f>100494/1000</f>
        <v>100.494</v>
      </c>
      <c r="F507" s="475">
        <v>-2.073</v>
      </c>
      <c r="G507" s="475"/>
      <c r="H507" s="475"/>
      <c r="I507" s="487">
        <f t="shared" si="46"/>
        <v>98.421000000000006</v>
      </c>
      <c r="J507" s="492" t="s">
        <v>61</v>
      </c>
    </row>
    <row r="508" spans="1:10" s="489" customFormat="1" ht="17.399999999999999" hidden="1" x14ac:dyDescent="0.3">
      <c r="A508" s="476" t="s">
        <v>715</v>
      </c>
      <c r="B508" s="484"/>
      <c r="C508" s="485"/>
      <c r="D508" s="486">
        <f t="shared" si="44"/>
        <v>5430.2000000000007</v>
      </c>
      <c r="E508" s="475">
        <f>85020/1000</f>
        <v>85.02</v>
      </c>
      <c r="F508" s="475">
        <v>-3.5670000000000002</v>
      </c>
      <c r="G508" s="475"/>
      <c r="H508" s="475"/>
      <c r="I508" s="487">
        <f t="shared" si="46"/>
        <v>81.453000000000003</v>
      </c>
      <c r="J508" s="492" t="s">
        <v>61</v>
      </c>
    </row>
    <row r="509" spans="1:10" s="489" customFormat="1" ht="17.399999999999999" hidden="1" x14ac:dyDescent="0.3">
      <c r="A509" s="476" t="s">
        <v>801</v>
      </c>
      <c r="B509" s="484"/>
      <c r="C509" s="485"/>
      <c r="D509" s="486">
        <f t="shared" si="44"/>
        <v>53.733333333333341</v>
      </c>
      <c r="E509" s="475">
        <f>2366/1000</f>
        <v>2.3660000000000001</v>
      </c>
      <c r="F509" s="475">
        <v>-1.56</v>
      </c>
      <c r="G509" s="475"/>
      <c r="H509" s="475"/>
      <c r="I509" s="487">
        <f t="shared" si="46"/>
        <v>0.80600000000000005</v>
      </c>
      <c r="J509" s="492" t="s">
        <v>61</v>
      </c>
    </row>
    <row r="510" spans="1:10" s="489" customFormat="1" ht="17.399999999999999" hidden="1" x14ac:dyDescent="0.3">
      <c r="A510" s="476" t="s">
        <v>802</v>
      </c>
      <c r="B510" s="484"/>
      <c r="C510" s="485"/>
      <c r="D510" s="486">
        <f t="shared" si="44"/>
        <v>22617.666666666668</v>
      </c>
      <c r="E510" s="475">
        <f>358065/1000</f>
        <v>358.065</v>
      </c>
      <c r="F510" s="475">
        <v>-18.8</v>
      </c>
      <c r="G510" s="475"/>
      <c r="H510" s="475"/>
      <c r="I510" s="487">
        <f t="shared" si="46"/>
        <v>339.26499999999999</v>
      </c>
      <c r="J510" s="492" t="s">
        <v>61</v>
      </c>
    </row>
    <row r="511" spans="1:10" s="489" customFormat="1" ht="17.399999999999999" hidden="1" x14ac:dyDescent="0.3">
      <c r="A511" s="476" t="s">
        <v>800</v>
      </c>
      <c r="B511" s="484"/>
      <c r="C511" s="485"/>
      <c r="D511" s="486">
        <f t="shared" si="44"/>
        <v>5172.4666666666662</v>
      </c>
      <c r="E511" s="475">
        <f>88047/1000</f>
        <v>88.046999999999997</v>
      </c>
      <c r="F511" s="475">
        <v>-10.46</v>
      </c>
      <c r="G511" s="475"/>
      <c r="H511" s="475"/>
      <c r="I511" s="487">
        <f t="shared" si="46"/>
        <v>77.586999999999989</v>
      </c>
      <c r="J511" s="492" t="s">
        <v>61</v>
      </c>
    </row>
    <row r="512" spans="1:10" s="489" customFormat="1" ht="17.399999999999999" hidden="1" x14ac:dyDescent="0.3">
      <c r="A512" s="476" t="s">
        <v>799</v>
      </c>
      <c r="B512" s="484"/>
      <c r="C512" s="485"/>
      <c r="D512" s="486">
        <f t="shared" si="44"/>
        <v>7610.4</v>
      </c>
      <c r="E512" s="475">
        <f>121056/1000</f>
        <v>121.056</v>
      </c>
      <c r="F512" s="475">
        <v>-6.9</v>
      </c>
      <c r="G512" s="475"/>
      <c r="H512" s="475"/>
      <c r="I512" s="487">
        <f t="shared" si="46"/>
        <v>114.15599999999999</v>
      </c>
      <c r="J512" s="492" t="s">
        <v>61</v>
      </c>
    </row>
    <row r="513" spans="1:13" s="489" customFormat="1" ht="17.399999999999999" hidden="1" x14ac:dyDescent="0.3">
      <c r="A513" s="476" t="s">
        <v>814</v>
      </c>
      <c r="B513" s="484"/>
      <c r="C513" s="485"/>
      <c r="D513" s="486">
        <f t="shared" si="44"/>
        <v>13545.133333333333</v>
      </c>
      <c r="E513" s="475">
        <f>213477/1000</f>
        <v>213.477</v>
      </c>
      <c r="F513" s="475">
        <v>-10.3</v>
      </c>
      <c r="G513" s="475"/>
      <c r="H513" s="475"/>
      <c r="I513" s="487">
        <f t="shared" si="46"/>
        <v>203.17699999999999</v>
      </c>
      <c r="J513" s="492" t="s">
        <v>61</v>
      </c>
    </row>
    <row r="514" spans="1:13" s="50" customFormat="1" ht="17.399999999999999" hidden="1" x14ac:dyDescent="0.3">
      <c r="A514" s="429" t="s">
        <v>628</v>
      </c>
      <c r="B514" s="154"/>
      <c r="C514" s="48"/>
      <c r="D514" s="138">
        <f t="shared" si="44"/>
        <v>-34.400000000000006</v>
      </c>
      <c r="E514" s="54">
        <v>-0.628</v>
      </c>
      <c r="F514" s="45">
        <f>112/1000</f>
        <v>0.112</v>
      </c>
      <c r="G514" s="45"/>
      <c r="H514" s="45"/>
      <c r="I514" s="55">
        <f t="shared" ref="I514:I537" si="47">F514+E514</f>
        <v>-0.51600000000000001</v>
      </c>
      <c r="J514" s="492" t="s">
        <v>141</v>
      </c>
    </row>
    <row r="515" spans="1:13" s="50" customFormat="1" ht="17.399999999999999" hidden="1" x14ac:dyDescent="0.3">
      <c r="A515" s="429" t="s">
        <v>615</v>
      </c>
      <c r="B515" s="154"/>
      <c r="C515" s="48"/>
      <c r="D515" s="138">
        <f t="shared" si="44"/>
        <v>-1234.9333333333334</v>
      </c>
      <c r="E515" s="54">
        <v>-21.969000000000001</v>
      </c>
      <c r="F515" s="45">
        <f>3445/1000</f>
        <v>3.4449999999999998</v>
      </c>
      <c r="G515" s="45"/>
      <c r="H515" s="45"/>
      <c r="I515" s="55">
        <f t="shared" si="47"/>
        <v>-18.524000000000001</v>
      </c>
      <c r="J515" s="492" t="s">
        <v>141</v>
      </c>
      <c r="K515" s="410"/>
      <c r="M515" s="410"/>
    </row>
    <row r="516" spans="1:13" s="50" customFormat="1" ht="17.399999999999999" hidden="1" x14ac:dyDescent="0.3">
      <c r="A516" s="429" t="s">
        <v>632</v>
      </c>
      <c r="B516" s="430"/>
      <c r="C516" s="431"/>
      <c r="D516" s="432">
        <f t="shared" si="44"/>
        <v>19432.466666666664</v>
      </c>
      <c r="E516" s="433">
        <f>400724/1000</f>
        <v>400.72399999999999</v>
      </c>
      <c r="F516" s="434">
        <f>-109237/1000</f>
        <v>-109.23699999999999</v>
      </c>
      <c r="G516" s="434"/>
      <c r="H516" s="434"/>
      <c r="I516" s="435">
        <f t="shared" si="47"/>
        <v>291.48699999999997</v>
      </c>
      <c r="J516" s="492" t="s">
        <v>61</v>
      </c>
    </row>
    <row r="517" spans="1:13" s="50" customFormat="1" ht="17.399999999999999" hidden="1" x14ac:dyDescent="0.3">
      <c r="A517" s="429" t="s">
        <v>614</v>
      </c>
      <c r="B517" s="430"/>
      <c r="C517" s="431"/>
      <c r="D517" s="432">
        <f t="shared" si="44"/>
        <v>3634.0000000000005</v>
      </c>
      <c r="E517" s="433">
        <f>75146/1000</f>
        <v>75.146000000000001</v>
      </c>
      <c r="F517" s="434">
        <v>-20.635999999999999</v>
      </c>
      <c r="G517" s="434"/>
      <c r="H517" s="434"/>
      <c r="I517" s="435">
        <f t="shared" si="47"/>
        <v>54.510000000000005</v>
      </c>
      <c r="J517" s="492" t="s">
        <v>61</v>
      </c>
    </row>
    <row r="518" spans="1:13" s="50" customFormat="1" ht="17.399999999999999" hidden="1" x14ac:dyDescent="0.3">
      <c r="A518" s="429" t="s">
        <v>637</v>
      </c>
      <c r="B518" s="154"/>
      <c r="C518" s="48"/>
      <c r="D518" s="138">
        <f t="shared" si="44"/>
        <v>3870.0666666666671</v>
      </c>
      <c r="E518" s="54">
        <f>79781/1000</f>
        <v>79.781000000000006</v>
      </c>
      <c r="F518" s="45">
        <v>-21.73</v>
      </c>
      <c r="G518" s="45"/>
      <c r="H518" s="45"/>
      <c r="I518" s="55">
        <f t="shared" si="47"/>
        <v>58.051000000000002</v>
      </c>
      <c r="J518" s="492" t="s">
        <v>61</v>
      </c>
    </row>
    <row r="519" spans="1:13" s="50" customFormat="1" ht="17.399999999999999" hidden="1" x14ac:dyDescent="0.3">
      <c r="A519" s="429" t="s">
        <v>607</v>
      </c>
      <c r="B519" s="154"/>
      <c r="C519" s="48"/>
      <c r="D519" s="138">
        <f t="shared" si="44"/>
        <v>1603.0000000000002</v>
      </c>
      <c r="E519" s="54">
        <f>33218/1000</f>
        <v>33.218000000000004</v>
      </c>
      <c r="F519" s="45">
        <v>-9.173</v>
      </c>
      <c r="G519" s="45"/>
      <c r="H519" s="45"/>
      <c r="I519" s="55">
        <f t="shared" si="47"/>
        <v>24.045000000000002</v>
      </c>
      <c r="J519" s="492" t="s">
        <v>61</v>
      </c>
    </row>
    <row r="520" spans="1:13" s="50" customFormat="1" ht="17.399999999999999" hidden="1" x14ac:dyDescent="0.3">
      <c r="A520" s="429" t="s">
        <v>635</v>
      </c>
      <c r="B520" s="154"/>
      <c r="C520" s="48"/>
      <c r="D520" s="138">
        <f t="shared" si="44"/>
        <v>10654.933333333332</v>
      </c>
      <c r="E520" s="54">
        <f>221164/1000</f>
        <v>221.16399999999999</v>
      </c>
      <c r="F520" s="45">
        <f>-61340/1000</f>
        <v>-61.34</v>
      </c>
      <c r="G520" s="45"/>
      <c r="H520" s="45"/>
      <c r="I520" s="55">
        <f t="shared" si="47"/>
        <v>159.82399999999998</v>
      </c>
      <c r="J520" s="492" t="s">
        <v>61</v>
      </c>
    </row>
    <row r="521" spans="1:13" s="50" customFormat="1" ht="17.399999999999999" hidden="1" x14ac:dyDescent="0.3">
      <c r="A521" s="429" t="s">
        <v>616</v>
      </c>
      <c r="B521" s="154"/>
      <c r="C521" s="48"/>
      <c r="D521" s="138">
        <f t="shared" si="44"/>
        <v>42.333333333333336</v>
      </c>
      <c r="E521" s="54">
        <f>869/1000</f>
        <v>0.86899999999999999</v>
      </c>
      <c r="F521" s="45">
        <v>-0.23400000000000001</v>
      </c>
      <c r="G521" s="45"/>
      <c r="H521" s="45"/>
      <c r="I521" s="55">
        <f t="shared" si="47"/>
        <v>0.63500000000000001</v>
      </c>
      <c r="J521" s="492" t="s">
        <v>141</v>
      </c>
    </row>
    <row r="522" spans="1:13" s="50" customFormat="1" ht="17.399999999999999" hidden="1" x14ac:dyDescent="0.3">
      <c r="A522" s="429" t="s">
        <v>618</v>
      </c>
      <c r="B522" s="154"/>
      <c r="C522" s="48"/>
      <c r="D522" s="138">
        <f t="shared" si="44"/>
        <v>6.9333333333333327</v>
      </c>
      <c r="E522" s="54">
        <f>146/1000</f>
        <v>0.14599999999999999</v>
      </c>
      <c r="F522" s="45">
        <v>-4.2000000000000003E-2</v>
      </c>
      <c r="G522" s="45"/>
      <c r="H522" s="45"/>
      <c r="I522" s="55">
        <f t="shared" si="47"/>
        <v>0.10399999999999998</v>
      </c>
      <c r="J522" s="492" t="s">
        <v>141</v>
      </c>
    </row>
    <row r="523" spans="1:13" s="50" customFormat="1" ht="17.399999999999999" hidden="1" x14ac:dyDescent="0.3">
      <c r="A523" s="429" t="s">
        <v>620</v>
      </c>
      <c r="B523" s="154"/>
      <c r="C523" s="48"/>
      <c r="D523" s="138">
        <f t="shared" si="44"/>
        <v>17</v>
      </c>
      <c r="E523" s="54">
        <f>351/1000</f>
        <v>0.35099999999999998</v>
      </c>
      <c r="F523" s="45">
        <v>-9.6000000000000002E-2</v>
      </c>
      <c r="G523" s="45"/>
      <c r="H523" s="45"/>
      <c r="I523" s="55">
        <f t="shared" si="47"/>
        <v>0.255</v>
      </c>
      <c r="J523" s="492" t="s">
        <v>141</v>
      </c>
    </row>
    <row r="524" spans="1:13" s="50" customFormat="1" ht="17.399999999999999" hidden="1" x14ac:dyDescent="0.3">
      <c r="A524" s="429" t="s">
        <v>622</v>
      </c>
      <c r="B524" s="154"/>
      <c r="C524" s="48"/>
      <c r="D524" s="138">
        <f t="shared" si="44"/>
        <v>11.799999999999999</v>
      </c>
      <c r="E524" s="54">
        <f>239/1000</f>
        <v>0.23899999999999999</v>
      </c>
      <c r="F524" s="45">
        <v>-6.2E-2</v>
      </c>
      <c r="G524" s="45"/>
      <c r="H524" s="45"/>
      <c r="I524" s="55">
        <f t="shared" si="47"/>
        <v>0.17699999999999999</v>
      </c>
      <c r="J524" s="492" t="s">
        <v>141</v>
      </c>
    </row>
    <row r="525" spans="1:13" s="50" customFormat="1" ht="17.399999999999999" hidden="1" x14ac:dyDescent="0.3">
      <c r="A525" s="429" t="s">
        <v>624</v>
      </c>
      <c r="B525" s="154"/>
      <c r="C525" s="48"/>
      <c r="D525" s="138">
        <f t="shared" si="44"/>
        <v>217.86666666666667</v>
      </c>
      <c r="E525" s="54">
        <f>4085/1000</f>
        <v>4.085</v>
      </c>
      <c r="F525" s="45">
        <v>-0.81699999999999995</v>
      </c>
      <c r="G525" s="45"/>
      <c r="H525" s="45"/>
      <c r="I525" s="55">
        <f t="shared" si="47"/>
        <v>3.2679999999999998</v>
      </c>
      <c r="J525" s="492" t="s">
        <v>141</v>
      </c>
    </row>
    <row r="526" spans="1:13" s="50" customFormat="1" ht="17.399999999999999" hidden="1" x14ac:dyDescent="0.3">
      <c r="A526" s="429" t="s">
        <v>626</v>
      </c>
      <c r="B526" s="154"/>
      <c r="C526" s="48"/>
      <c r="D526" s="138">
        <f t="shared" si="44"/>
        <v>55.066666666666656</v>
      </c>
      <c r="E526" s="54">
        <f>1023/1000</f>
        <v>1.0229999999999999</v>
      </c>
      <c r="F526" s="45">
        <v>-0.19700000000000001</v>
      </c>
      <c r="G526" s="45"/>
      <c r="H526" s="45"/>
      <c r="I526" s="55">
        <f t="shared" si="47"/>
        <v>0.82599999999999985</v>
      </c>
      <c r="J526" s="492" t="s">
        <v>141</v>
      </c>
    </row>
    <row r="527" spans="1:13" s="50" customFormat="1" ht="17.399999999999999" hidden="1" x14ac:dyDescent="0.3">
      <c r="A527" s="429" t="s">
        <v>617</v>
      </c>
      <c r="B527" s="154"/>
      <c r="C527" s="48"/>
      <c r="D527" s="138">
        <f t="shared" si="44"/>
        <v>20.133333333333333</v>
      </c>
      <c r="E527" s="54">
        <f>413/1000</f>
        <v>0.41299999999999998</v>
      </c>
      <c r="F527" s="45">
        <v>-0.111</v>
      </c>
      <c r="G527" s="45"/>
      <c r="H527" s="45"/>
      <c r="I527" s="55">
        <f t="shared" si="47"/>
        <v>0.30199999999999999</v>
      </c>
      <c r="J527" s="492" t="s">
        <v>141</v>
      </c>
    </row>
    <row r="528" spans="1:13" s="50" customFormat="1" ht="17.399999999999999" hidden="1" x14ac:dyDescent="0.3">
      <c r="A528" s="429" t="s">
        <v>619</v>
      </c>
      <c r="B528" s="154"/>
      <c r="C528" s="48"/>
      <c r="D528" s="138">
        <f t="shared" ref="D528:D537" si="48">I528/0.015</f>
        <v>41.2</v>
      </c>
      <c r="E528" s="54">
        <f>855/1000</f>
        <v>0.85499999999999998</v>
      </c>
      <c r="F528" s="45">
        <v>-0.23699999999999999</v>
      </c>
      <c r="G528" s="45"/>
      <c r="H528" s="45"/>
      <c r="I528" s="55">
        <f t="shared" si="47"/>
        <v>0.61799999999999999</v>
      </c>
      <c r="J528" s="492" t="s">
        <v>141</v>
      </c>
    </row>
    <row r="529" spans="1:10" s="50" customFormat="1" ht="17.399999999999999" hidden="1" x14ac:dyDescent="0.3">
      <c r="A529" s="429" t="s">
        <v>621</v>
      </c>
      <c r="B529" s="154"/>
      <c r="C529" s="48"/>
      <c r="D529" s="138">
        <f t="shared" si="48"/>
        <v>103.66666666666667</v>
      </c>
      <c r="E529" s="54">
        <f>2118/1000</f>
        <v>2.1179999999999999</v>
      </c>
      <c r="F529" s="45">
        <v>-0.56299999999999994</v>
      </c>
      <c r="G529" s="45"/>
      <c r="H529" s="45"/>
      <c r="I529" s="55">
        <f t="shared" si="47"/>
        <v>1.5549999999999999</v>
      </c>
      <c r="J529" s="492" t="s">
        <v>141</v>
      </c>
    </row>
    <row r="530" spans="1:10" s="50" customFormat="1" ht="17.399999999999999" hidden="1" x14ac:dyDescent="0.3">
      <c r="A530" s="429" t="s">
        <v>623</v>
      </c>
      <c r="B530" s="154"/>
      <c r="C530" s="48"/>
      <c r="D530" s="138">
        <f t="shared" si="48"/>
        <v>109.4</v>
      </c>
      <c r="E530" s="54">
        <f>2251/1000</f>
        <v>2.2509999999999999</v>
      </c>
      <c r="F530" s="45">
        <v>-0.61</v>
      </c>
      <c r="G530" s="45"/>
      <c r="H530" s="45"/>
      <c r="I530" s="55">
        <f t="shared" si="47"/>
        <v>1.641</v>
      </c>
      <c r="J530" s="492" t="s">
        <v>141</v>
      </c>
    </row>
    <row r="531" spans="1:10" s="50" customFormat="1" ht="17.399999999999999" hidden="1" x14ac:dyDescent="0.3">
      <c r="A531" s="429" t="s">
        <v>625</v>
      </c>
      <c r="B531" s="154"/>
      <c r="C531" s="48"/>
      <c r="D531" s="138">
        <f t="shared" si="48"/>
        <v>250.79999999999998</v>
      </c>
      <c r="E531" s="54">
        <f>5167/1000</f>
        <v>5.1669999999999998</v>
      </c>
      <c r="F531" s="45">
        <v>-1.405</v>
      </c>
      <c r="G531" s="45"/>
      <c r="H531" s="45"/>
      <c r="I531" s="55">
        <f t="shared" si="47"/>
        <v>3.7619999999999996</v>
      </c>
      <c r="J531" s="492" t="s">
        <v>141</v>
      </c>
    </row>
    <row r="532" spans="1:10" s="50" customFormat="1" ht="17.399999999999999" hidden="1" x14ac:dyDescent="0.3">
      <c r="A532" s="429" t="s">
        <v>627</v>
      </c>
      <c r="B532" s="154"/>
      <c r="C532" s="48"/>
      <c r="D532" s="138">
        <f t="shared" si="48"/>
        <v>247.06666666666666</v>
      </c>
      <c r="E532" s="54">
        <f>5064/1000</f>
        <v>5.0640000000000001</v>
      </c>
      <c r="F532" s="45">
        <v>-1.3580000000000001</v>
      </c>
      <c r="G532" s="45"/>
      <c r="H532" s="45"/>
      <c r="I532" s="55">
        <f t="shared" si="47"/>
        <v>3.706</v>
      </c>
      <c r="J532" s="492" t="s">
        <v>141</v>
      </c>
    </row>
    <row r="533" spans="1:10" s="50" customFormat="1" ht="17.399999999999999" hidden="1" x14ac:dyDescent="0.3">
      <c r="A533" s="429" t="s">
        <v>605</v>
      </c>
      <c r="B533" s="154"/>
      <c r="C533" s="48"/>
      <c r="D533" s="138">
        <f t="shared" si="48"/>
        <v>5760.0666666666675</v>
      </c>
      <c r="E533" s="54">
        <f>101549/1000</f>
        <v>101.54900000000001</v>
      </c>
      <c r="F533" s="45">
        <v>-15.148</v>
      </c>
      <c r="G533" s="45"/>
      <c r="H533" s="45"/>
      <c r="I533" s="55">
        <f t="shared" si="47"/>
        <v>86.40100000000001</v>
      </c>
      <c r="J533" s="492" t="s">
        <v>141</v>
      </c>
    </row>
    <row r="534" spans="1:10" s="50" customFormat="1" ht="17.399999999999999" hidden="1" x14ac:dyDescent="0.3">
      <c r="A534" s="429" t="s">
        <v>603</v>
      </c>
      <c r="B534" s="154"/>
      <c r="C534" s="48"/>
      <c r="D534" s="138">
        <f t="shared" si="48"/>
        <v>661.13333333333344</v>
      </c>
      <c r="E534" s="54">
        <f>14220/1000</f>
        <v>14.22</v>
      </c>
      <c r="F534" s="45">
        <v>-4.3029999999999999</v>
      </c>
      <c r="G534" s="45"/>
      <c r="H534" s="45"/>
      <c r="I534" s="55">
        <f t="shared" si="47"/>
        <v>9.9170000000000016</v>
      </c>
      <c r="J534" s="492" t="s">
        <v>141</v>
      </c>
    </row>
    <row r="535" spans="1:10" s="50" customFormat="1" ht="17.399999999999999" hidden="1" x14ac:dyDescent="0.3">
      <c r="A535" s="429" t="s">
        <v>629</v>
      </c>
      <c r="B535" s="154"/>
      <c r="C535" s="48"/>
      <c r="D535" s="138">
        <f t="shared" si="48"/>
        <v>520.33333333333337</v>
      </c>
      <c r="E535" s="54">
        <f>11707/1000</f>
        <v>11.707000000000001</v>
      </c>
      <c r="F535" s="45">
        <v>-3.9020000000000001</v>
      </c>
      <c r="G535" s="45"/>
      <c r="H535" s="45"/>
      <c r="I535" s="55">
        <f t="shared" si="47"/>
        <v>7.8050000000000006</v>
      </c>
      <c r="J535" s="492" t="s">
        <v>141</v>
      </c>
    </row>
    <row r="536" spans="1:10" s="50" customFormat="1" ht="17.399999999999999" hidden="1" x14ac:dyDescent="0.3">
      <c r="A536" s="429" t="s">
        <v>606</v>
      </c>
      <c r="B536" s="154"/>
      <c r="C536" s="48"/>
      <c r="D536" s="138">
        <f t="shared" si="48"/>
        <v>3620.6666666666665</v>
      </c>
      <c r="E536" s="54">
        <f>74609/1000</f>
        <v>74.608999999999995</v>
      </c>
      <c r="F536" s="45">
        <v>-20.298999999999999</v>
      </c>
      <c r="G536" s="45"/>
      <c r="H536" s="45"/>
      <c r="I536" s="55">
        <f t="shared" si="47"/>
        <v>54.309999999999995</v>
      </c>
      <c r="J536" s="492" t="s">
        <v>141</v>
      </c>
    </row>
    <row r="537" spans="1:10" s="50" customFormat="1" ht="17.399999999999999" hidden="1" x14ac:dyDescent="0.3">
      <c r="A537" s="429" t="s">
        <v>602</v>
      </c>
      <c r="B537" s="154"/>
      <c r="C537" s="48"/>
      <c r="D537" s="138">
        <f t="shared" si="48"/>
        <v>322</v>
      </c>
      <c r="E537" s="54">
        <f>7052/1000</f>
        <v>7.0519999999999996</v>
      </c>
      <c r="F537" s="45">
        <v>-2.222</v>
      </c>
      <c r="G537" s="45"/>
      <c r="H537" s="45"/>
      <c r="I537" s="55">
        <f t="shared" si="47"/>
        <v>4.83</v>
      </c>
      <c r="J537" s="492" t="s">
        <v>141</v>
      </c>
    </row>
    <row r="538" spans="1:10" s="50" customFormat="1" ht="15.6" hidden="1" x14ac:dyDescent="0.3">
      <c r="A538" s="133" t="s">
        <v>537</v>
      </c>
      <c r="B538" s="47"/>
      <c r="C538" s="48"/>
      <c r="D538" s="138">
        <f t="shared" ref="D538:D550" si="49">I538/0.015</f>
        <v>5322.4000000000015</v>
      </c>
      <c r="E538" s="54">
        <v>112.191</v>
      </c>
      <c r="F538" s="45">
        <v>-32.354999999999997</v>
      </c>
      <c r="G538" s="45"/>
      <c r="H538" s="45"/>
      <c r="I538" s="55">
        <f t="shared" ref="I538:I550" si="50">SUM(E538:H538)</f>
        <v>79.836000000000013</v>
      </c>
      <c r="J538" s="492" t="s">
        <v>141</v>
      </c>
    </row>
    <row r="539" spans="1:10" s="50" customFormat="1" ht="15.6" hidden="1" x14ac:dyDescent="0.3">
      <c r="A539" s="133" t="s">
        <v>552</v>
      </c>
      <c r="B539" s="47"/>
      <c r="C539" s="48"/>
      <c r="D539" s="138">
        <f t="shared" si="49"/>
        <v>825.26666666666665</v>
      </c>
      <c r="E539" s="54">
        <v>16.981999999999999</v>
      </c>
      <c r="F539" s="45">
        <v>-4.6029999999999998</v>
      </c>
      <c r="G539" s="45"/>
      <c r="H539" s="45"/>
      <c r="I539" s="55">
        <f t="shared" si="50"/>
        <v>12.379</v>
      </c>
      <c r="J539" s="492" t="s">
        <v>141</v>
      </c>
    </row>
    <row r="540" spans="1:10" s="50" customFormat="1" ht="15.6" hidden="1" x14ac:dyDescent="0.3">
      <c r="A540" s="133" t="s">
        <v>558</v>
      </c>
      <c r="B540" s="47"/>
      <c r="C540" s="48"/>
      <c r="D540" s="138">
        <f t="shared" si="49"/>
        <v>6002</v>
      </c>
      <c r="E540" s="54">
        <v>112.026</v>
      </c>
      <c r="F540" s="45">
        <v>-21.995999999999999</v>
      </c>
      <c r="G540" s="45"/>
      <c r="H540" s="45"/>
      <c r="I540" s="55">
        <f t="shared" si="50"/>
        <v>90.03</v>
      </c>
      <c r="J540" s="492" t="s">
        <v>141</v>
      </c>
    </row>
    <row r="541" spans="1:10" s="50" customFormat="1" ht="15.6" hidden="1" x14ac:dyDescent="0.3">
      <c r="A541" s="133" t="s">
        <v>541</v>
      </c>
      <c r="B541" s="47"/>
      <c r="C541" s="48"/>
      <c r="D541" s="138">
        <f t="shared" si="49"/>
        <v>2554.0666666666666</v>
      </c>
      <c r="E541" s="54">
        <v>48.677</v>
      </c>
      <c r="F541" s="45">
        <v>-10.366</v>
      </c>
      <c r="G541" s="45"/>
      <c r="H541" s="45"/>
      <c r="I541" s="55">
        <f t="shared" si="50"/>
        <v>38.311</v>
      </c>
      <c r="J541" s="492" t="s">
        <v>141</v>
      </c>
    </row>
    <row r="542" spans="1:10" s="50" customFormat="1" ht="15.6" hidden="1" x14ac:dyDescent="0.3">
      <c r="A542" s="133" t="s">
        <v>551</v>
      </c>
      <c r="B542" s="47"/>
      <c r="C542" s="48"/>
      <c r="D542" s="138">
        <f t="shared" si="49"/>
        <v>3098.3333333333339</v>
      </c>
      <c r="E542" s="54">
        <v>65.87</v>
      </c>
      <c r="F542" s="45">
        <v>-19.395</v>
      </c>
      <c r="G542" s="45"/>
      <c r="H542" s="45"/>
      <c r="I542" s="55">
        <f t="shared" si="50"/>
        <v>46.475000000000009</v>
      </c>
      <c r="J542" s="492" t="s">
        <v>141</v>
      </c>
    </row>
    <row r="543" spans="1:10" s="50" customFormat="1" ht="15.6" hidden="1" x14ac:dyDescent="0.3">
      <c r="A543" s="133" t="s">
        <v>557</v>
      </c>
      <c r="B543" s="47"/>
      <c r="C543" s="48"/>
      <c r="D543" s="138">
        <f t="shared" si="49"/>
        <v>7001.3333333333321</v>
      </c>
      <c r="E543" s="54">
        <v>149.89099999999999</v>
      </c>
      <c r="F543" s="45">
        <v>-44.871000000000002</v>
      </c>
      <c r="G543" s="45"/>
      <c r="H543" s="45"/>
      <c r="I543" s="55">
        <f t="shared" si="50"/>
        <v>105.01999999999998</v>
      </c>
      <c r="J543" s="492" t="s">
        <v>141</v>
      </c>
    </row>
    <row r="544" spans="1:10" s="50" customFormat="1" ht="15.6" hidden="1" x14ac:dyDescent="0.3">
      <c r="A544" s="133" t="s">
        <v>553</v>
      </c>
      <c r="B544" s="47"/>
      <c r="C544" s="48"/>
      <c r="D544" s="138">
        <f t="shared" si="49"/>
        <v>4991.1333333333341</v>
      </c>
      <c r="E544" s="54">
        <v>107.471</v>
      </c>
      <c r="F544" s="45">
        <v>-32.603999999999999</v>
      </c>
      <c r="G544" s="45"/>
      <c r="H544" s="45"/>
      <c r="I544" s="55">
        <f t="shared" si="50"/>
        <v>74.867000000000004</v>
      </c>
      <c r="J544" s="492" t="s">
        <v>141</v>
      </c>
    </row>
    <row r="545" spans="1:10" s="50" customFormat="1" ht="15.6" hidden="1" x14ac:dyDescent="0.3">
      <c r="A545" s="133" t="s">
        <v>556</v>
      </c>
      <c r="B545" s="47"/>
      <c r="C545" s="48"/>
      <c r="D545" s="138">
        <f t="shared" si="49"/>
        <v>11622.6</v>
      </c>
      <c r="E545" s="54">
        <v>235.72300000000001</v>
      </c>
      <c r="F545" s="45">
        <v>-61.384</v>
      </c>
      <c r="G545" s="45"/>
      <c r="H545" s="45"/>
      <c r="I545" s="55">
        <f t="shared" si="50"/>
        <v>174.339</v>
      </c>
      <c r="J545" s="492" t="s">
        <v>61</v>
      </c>
    </row>
    <row r="546" spans="1:10" s="50" customFormat="1" ht="15.6" hidden="1" x14ac:dyDescent="0.3">
      <c r="A546" s="133" t="s">
        <v>548</v>
      </c>
      <c r="B546" s="47"/>
      <c r="C546" s="48"/>
      <c r="D546" s="138">
        <f t="shared" si="49"/>
        <v>14275.066666666666</v>
      </c>
      <c r="E546" s="54">
        <v>295.71699999999998</v>
      </c>
      <c r="F546" s="45">
        <v>-81.590999999999994</v>
      </c>
      <c r="G546" s="45"/>
      <c r="H546" s="45"/>
      <c r="I546" s="55">
        <f t="shared" si="50"/>
        <v>214.12599999999998</v>
      </c>
      <c r="J546" s="492" t="s">
        <v>61</v>
      </c>
    </row>
    <row r="547" spans="1:10" s="50" customFormat="1" ht="15.6" hidden="1" x14ac:dyDescent="0.3">
      <c r="A547" s="133" t="s">
        <v>539</v>
      </c>
      <c r="B547" s="47"/>
      <c r="C547" s="48"/>
      <c r="D547" s="138">
        <f t="shared" si="49"/>
        <v>30850.066666666669</v>
      </c>
      <c r="E547" s="54">
        <v>635.48900000000003</v>
      </c>
      <c r="F547" s="45">
        <v>-172.738</v>
      </c>
      <c r="G547" s="45"/>
      <c r="H547" s="45"/>
      <c r="I547" s="55">
        <f t="shared" si="50"/>
        <v>462.75100000000003</v>
      </c>
      <c r="J547" s="492" t="s">
        <v>61</v>
      </c>
    </row>
    <row r="548" spans="1:10" s="50" customFormat="1" ht="15.6" hidden="1" x14ac:dyDescent="0.3">
      <c r="A548" s="133" t="s">
        <v>538</v>
      </c>
      <c r="B548" s="47"/>
      <c r="C548" s="48"/>
      <c r="D548" s="138">
        <f t="shared" si="49"/>
        <v>18274.533333333333</v>
      </c>
      <c r="E548" s="54">
        <v>378.23500000000001</v>
      </c>
      <c r="F548" s="45">
        <v>-104.117</v>
      </c>
      <c r="G548" s="45"/>
      <c r="H548" s="45"/>
      <c r="I548" s="55">
        <f t="shared" si="50"/>
        <v>274.11799999999999</v>
      </c>
      <c r="J548" s="492" t="s">
        <v>61</v>
      </c>
    </row>
    <row r="549" spans="1:10" s="50" customFormat="1" ht="15.6" hidden="1" x14ac:dyDescent="0.3">
      <c r="A549" s="133" t="s">
        <v>549</v>
      </c>
      <c r="B549" s="47"/>
      <c r="C549" s="48"/>
      <c r="D549" s="138">
        <f t="shared" si="49"/>
        <v>7248.2000000000007</v>
      </c>
      <c r="E549" s="54">
        <v>149.81700000000001</v>
      </c>
      <c r="F549" s="45">
        <v>-41.094000000000001</v>
      </c>
      <c r="G549" s="45"/>
      <c r="H549" s="45"/>
      <c r="I549" s="55">
        <f t="shared" si="50"/>
        <v>108.72300000000001</v>
      </c>
      <c r="J549" s="492" t="s">
        <v>61</v>
      </c>
    </row>
    <row r="550" spans="1:10" s="50" customFormat="1" ht="15.6" hidden="1" x14ac:dyDescent="0.3">
      <c r="A550" s="133" t="s">
        <v>550</v>
      </c>
      <c r="B550" s="47"/>
      <c r="C550" s="48"/>
      <c r="D550" s="138">
        <f t="shared" si="49"/>
        <v>1315.2666666666667</v>
      </c>
      <c r="E550" s="54">
        <v>20.265999999999998</v>
      </c>
      <c r="F550" s="45">
        <v>-0.53700000000000003</v>
      </c>
      <c r="G550" s="45"/>
      <c r="H550" s="45"/>
      <c r="I550" s="55">
        <f t="shared" si="50"/>
        <v>19.728999999999999</v>
      </c>
      <c r="J550" s="492" t="s">
        <v>61</v>
      </c>
    </row>
    <row r="551" spans="1:10" s="50" customFormat="1" ht="15.6" hidden="1" x14ac:dyDescent="0.3">
      <c r="A551" s="133" t="s">
        <v>278</v>
      </c>
      <c r="B551" s="47"/>
      <c r="C551" s="48"/>
      <c r="D551" s="138">
        <f t="shared" ref="D551:D612" si="51">I551/0.015</f>
        <v>506.53333333333342</v>
      </c>
      <c r="E551" s="54">
        <v>10.755000000000001</v>
      </c>
      <c r="F551" s="45">
        <v>-3.157</v>
      </c>
      <c r="G551" s="45"/>
      <c r="H551" s="45"/>
      <c r="I551" s="55">
        <f t="shared" ref="I551:I581" si="52">SUM(E551:G551)</f>
        <v>7.5980000000000008</v>
      </c>
      <c r="J551" s="492" t="s">
        <v>141</v>
      </c>
    </row>
    <row r="552" spans="1:10" s="50" customFormat="1" ht="15.6" hidden="1" x14ac:dyDescent="0.3">
      <c r="A552" s="133" t="s">
        <v>279</v>
      </c>
      <c r="B552" s="47"/>
      <c r="C552" s="48"/>
      <c r="D552" s="138">
        <f t="shared" si="51"/>
        <v>54.333333333333336</v>
      </c>
      <c r="E552" s="54">
        <v>1.163</v>
      </c>
      <c r="F552" s="45">
        <v>-0.34799999999999998</v>
      </c>
      <c r="G552" s="45"/>
      <c r="H552" s="45"/>
      <c r="I552" s="55">
        <f t="shared" si="52"/>
        <v>0.81500000000000006</v>
      </c>
      <c r="J552" s="492" t="s">
        <v>141</v>
      </c>
    </row>
    <row r="553" spans="1:10" s="50" customFormat="1" ht="15.6" hidden="1" x14ac:dyDescent="0.3">
      <c r="A553" s="133" t="s">
        <v>280</v>
      </c>
      <c r="B553" s="47"/>
      <c r="C553" s="48"/>
      <c r="D553" s="138">
        <f t="shared" si="51"/>
        <v>871.13333333333333</v>
      </c>
      <c r="E553" s="54">
        <v>16.04</v>
      </c>
      <c r="F553" s="45">
        <v>-2.9729999999999999</v>
      </c>
      <c r="G553" s="45"/>
      <c r="H553" s="45"/>
      <c r="I553" s="55">
        <f t="shared" si="52"/>
        <v>13.067</v>
      </c>
      <c r="J553" s="492" t="s">
        <v>141</v>
      </c>
    </row>
    <row r="554" spans="1:10" s="50" customFormat="1" ht="15.6" hidden="1" x14ac:dyDescent="0.3">
      <c r="A554" s="133" t="s">
        <v>281</v>
      </c>
      <c r="B554" s="47"/>
      <c r="C554" s="48"/>
      <c r="D554" s="138">
        <f t="shared" si="51"/>
        <v>2774.4666666666667</v>
      </c>
      <c r="E554" s="54">
        <v>56.351999999999997</v>
      </c>
      <c r="F554" s="45">
        <v>-14.734999999999999</v>
      </c>
      <c r="G554" s="45"/>
      <c r="H554" s="45"/>
      <c r="I554" s="55">
        <f t="shared" si="52"/>
        <v>41.616999999999997</v>
      </c>
      <c r="J554" s="492" t="s">
        <v>141</v>
      </c>
    </row>
    <row r="555" spans="1:10" s="50" customFormat="1" ht="15.6" hidden="1" x14ac:dyDescent="0.3">
      <c r="A555" s="133" t="s">
        <v>282</v>
      </c>
      <c r="B555" s="47"/>
      <c r="C555" s="48"/>
      <c r="D555" s="138">
        <f t="shared" si="51"/>
        <v>646.93333333333339</v>
      </c>
      <c r="E555" s="54">
        <v>13.709</v>
      </c>
      <c r="F555" s="45">
        <v>-4.0049999999999999</v>
      </c>
      <c r="G555" s="45"/>
      <c r="H555" s="45"/>
      <c r="I555" s="55">
        <f t="shared" si="52"/>
        <v>9.7040000000000006</v>
      </c>
      <c r="J555" s="492" t="s">
        <v>141</v>
      </c>
    </row>
    <row r="556" spans="1:10" s="50" customFormat="1" ht="15.6" hidden="1" x14ac:dyDescent="0.3">
      <c r="A556" s="133" t="s">
        <v>283</v>
      </c>
      <c r="B556" s="47"/>
      <c r="C556" s="48"/>
      <c r="D556" s="138">
        <f t="shared" si="51"/>
        <v>779.00000000000011</v>
      </c>
      <c r="E556" s="54">
        <v>16.239000000000001</v>
      </c>
      <c r="F556" s="45">
        <v>-4.5540000000000003</v>
      </c>
      <c r="G556" s="45"/>
      <c r="H556" s="45"/>
      <c r="I556" s="55">
        <f t="shared" si="52"/>
        <v>11.685</v>
      </c>
      <c r="J556" s="492" t="s">
        <v>141</v>
      </c>
    </row>
    <row r="557" spans="1:10" s="50" customFormat="1" ht="15.6" hidden="1" x14ac:dyDescent="0.3">
      <c r="A557" s="133" t="s">
        <v>284</v>
      </c>
      <c r="B557" s="47"/>
      <c r="C557" s="48"/>
      <c r="D557" s="138">
        <f t="shared" si="51"/>
        <v>223.26666666666668</v>
      </c>
      <c r="E557" s="54">
        <v>4.6059999999999999</v>
      </c>
      <c r="F557" s="45">
        <v>-1.2569999999999999</v>
      </c>
      <c r="G557" s="45"/>
      <c r="H557" s="45"/>
      <c r="I557" s="55">
        <f t="shared" si="52"/>
        <v>3.3490000000000002</v>
      </c>
      <c r="J557" s="492" t="s">
        <v>141</v>
      </c>
    </row>
    <row r="558" spans="1:10" s="50" customFormat="1" ht="15.6" hidden="1" x14ac:dyDescent="0.3">
      <c r="A558" s="133" t="s">
        <v>285</v>
      </c>
      <c r="B558" s="47"/>
      <c r="C558" s="48"/>
      <c r="D558" s="138">
        <f t="shared" si="51"/>
        <v>904.00000000000023</v>
      </c>
      <c r="E558" s="54">
        <v>19.475000000000001</v>
      </c>
      <c r="F558" s="45">
        <v>-5.915</v>
      </c>
      <c r="G558" s="45"/>
      <c r="H558" s="45"/>
      <c r="I558" s="55">
        <f t="shared" si="52"/>
        <v>13.560000000000002</v>
      </c>
      <c r="J558" s="492" t="s">
        <v>141</v>
      </c>
    </row>
    <row r="559" spans="1:10" s="50" customFormat="1" ht="15.6" hidden="1" x14ac:dyDescent="0.3">
      <c r="A559" s="133" t="s">
        <v>286</v>
      </c>
      <c r="B559" s="47"/>
      <c r="C559" s="48"/>
      <c r="D559" s="138">
        <f t="shared" si="51"/>
        <v>1920.5333333333333</v>
      </c>
      <c r="E559" s="54">
        <v>36.301000000000002</v>
      </c>
      <c r="F559" s="45">
        <v>-7.4930000000000003</v>
      </c>
      <c r="G559" s="45"/>
      <c r="H559" s="45"/>
      <c r="I559" s="55">
        <f t="shared" si="52"/>
        <v>28.808</v>
      </c>
      <c r="J559" s="492" t="s">
        <v>141</v>
      </c>
    </row>
    <row r="560" spans="1:10" s="50" customFormat="1" ht="15.6" hidden="1" x14ac:dyDescent="0.3">
      <c r="A560" s="133" t="s">
        <v>287</v>
      </c>
      <c r="B560" s="47"/>
      <c r="C560" s="48"/>
      <c r="D560" s="138">
        <f t="shared" si="51"/>
        <v>618.86666666666667</v>
      </c>
      <c r="E560" s="54">
        <v>11.295999999999999</v>
      </c>
      <c r="F560" s="45">
        <v>-2.0129999999999999</v>
      </c>
      <c r="G560" s="45"/>
      <c r="H560" s="45"/>
      <c r="I560" s="55">
        <f t="shared" si="52"/>
        <v>9.2829999999999995</v>
      </c>
      <c r="J560" s="492" t="s">
        <v>141</v>
      </c>
    </row>
    <row r="561" spans="1:10" s="50" customFormat="1" ht="15.6" hidden="1" x14ac:dyDescent="0.3">
      <c r="A561" s="133" t="s">
        <v>288</v>
      </c>
      <c r="B561" s="47"/>
      <c r="C561" s="48"/>
      <c r="D561" s="138">
        <f t="shared" si="51"/>
        <v>412.33333333333331</v>
      </c>
      <c r="E561" s="54">
        <v>8.5579999999999998</v>
      </c>
      <c r="F561" s="45">
        <v>-2.3730000000000002</v>
      </c>
      <c r="G561" s="45"/>
      <c r="H561" s="45"/>
      <c r="I561" s="55">
        <f t="shared" si="52"/>
        <v>6.1849999999999996</v>
      </c>
      <c r="J561" s="492" t="s">
        <v>141</v>
      </c>
    </row>
    <row r="562" spans="1:10" s="50" customFormat="1" ht="15.6" hidden="1" x14ac:dyDescent="0.3">
      <c r="A562" s="133" t="s">
        <v>289</v>
      </c>
      <c r="B562" s="47"/>
      <c r="C562" s="48"/>
      <c r="D562" s="138">
        <f t="shared" si="51"/>
        <v>384.73333333333341</v>
      </c>
      <c r="E562" s="54">
        <v>7.91</v>
      </c>
      <c r="F562" s="45">
        <v>-2.1389999999999998</v>
      </c>
      <c r="G562" s="45"/>
      <c r="H562" s="45"/>
      <c r="I562" s="55">
        <f t="shared" si="52"/>
        <v>5.7710000000000008</v>
      </c>
      <c r="J562" s="492" t="s">
        <v>141</v>
      </c>
    </row>
    <row r="563" spans="1:10" s="50" customFormat="1" ht="15.6" hidden="1" x14ac:dyDescent="0.3">
      <c r="A563" s="133" t="s">
        <v>290</v>
      </c>
      <c r="B563" s="47"/>
      <c r="C563" s="48"/>
      <c r="D563" s="138">
        <f t="shared" si="51"/>
        <v>285.73333333333329</v>
      </c>
      <c r="E563" s="54">
        <v>5.952</v>
      </c>
      <c r="F563" s="45">
        <v>-1.6659999999999999</v>
      </c>
      <c r="G563" s="45"/>
      <c r="H563" s="45"/>
      <c r="I563" s="55">
        <f t="shared" si="52"/>
        <v>4.2859999999999996</v>
      </c>
      <c r="J563" s="492" t="s">
        <v>141</v>
      </c>
    </row>
    <row r="564" spans="1:10" s="50" customFormat="1" ht="15.6" hidden="1" x14ac:dyDescent="0.3">
      <c r="A564" s="133" t="s">
        <v>291</v>
      </c>
      <c r="B564" s="47"/>
      <c r="C564" s="48"/>
      <c r="D564" s="138">
        <f t="shared" si="51"/>
        <v>1750.5333333333333</v>
      </c>
      <c r="E564" s="54">
        <v>35.86</v>
      </c>
      <c r="F564" s="45">
        <v>-9.6020000000000003</v>
      </c>
      <c r="G564" s="45"/>
      <c r="H564" s="45"/>
      <c r="I564" s="55">
        <f t="shared" si="52"/>
        <v>26.257999999999999</v>
      </c>
      <c r="J564" s="492" t="s">
        <v>141</v>
      </c>
    </row>
    <row r="565" spans="1:10" s="50" customFormat="1" ht="15.6" hidden="1" x14ac:dyDescent="0.3">
      <c r="A565" s="133" t="s">
        <v>292</v>
      </c>
      <c r="B565" s="47"/>
      <c r="C565" s="48"/>
      <c r="D565" s="138">
        <f t="shared" si="51"/>
        <v>369.93333333333339</v>
      </c>
      <c r="E565" s="54">
        <v>7.15</v>
      </c>
      <c r="F565" s="45">
        <v>-1.601</v>
      </c>
      <c r="G565" s="45"/>
      <c r="H565" s="45"/>
      <c r="I565" s="55">
        <f t="shared" si="52"/>
        <v>5.5490000000000004</v>
      </c>
      <c r="J565" s="492" t="s">
        <v>141</v>
      </c>
    </row>
    <row r="566" spans="1:10" s="50" customFormat="1" ht="15.6" hidden="1" x14ac:dyDescent="0.3">
      <c r="A566" s="133" t="s">
        <v>293</v>
      </c>
      <c r="B566" s="47"/>
      <c r="C566" s="48"/>
      <c r="D566" s="138">
        <f t="shared" si="51"/>
        <v>772.20000000000016</v>
      </c>
      <c r="E566" s="54">
        <v>16.207000000000001</v>
      </c>
      <c r="F566" s="45">
        <v>-4.6239999999999997</v>
      </c>
      <c r="G566" s="45"/>
      <c r="H566" s="45"/>
      <c r="I566" s="55">
        <f t="shared" si="52"/>
        <v>11.583000000000002</v>
      </c>
      <c r="J566" s="492" t="s">
        <v>141</v>
      </c>
    </row>
    <row r="567" spans="1:10" s="50" customFormat="1" ht="15.6" hidden="1" x14ac:dyDescent="0.3">
      <c r="A567" s="133" t="s">
        <v>294</v>
      </c>
      <c r="B567" s="47"/>
      <c r="C567" s="48"/>
      <c r="D567" s="138">
        <f t="shared" si="51"/>
        <v>-1441.3333333333333</v>
      </c>
      <c r="E567" s="54">
        <v>-17.597999999999999</v>
      </c>
      <c r="F567" s="45">
        <v>-4.0220000000000002</v>
      </c>
      <c r="G567" s="45"/>
      <c r="H567" s="45"/>
      <c r="I567" s="55">
        <f t="shared" si="52"/>
        <v>-21.619999999999997</v>
      </c>
      <c r="J567" s="492" t="s">
        <v>141</v>
      </c>
    </row>
    <row r="568" spans="1:10" s="50" customFormat="1" ht="15.6" hidden="1" x14ac:dyDescent="0.3">
      <c r="A568" s="133" t="s">
        <v>295</v>
      </c>
      <c r="B568" s="47"/>
      <c r="C568" s="48"/>
      <c r="D568" s="138">
        <f t="shared" si="51"/>
        <v>1759.7333333333333</v>
      </c>
      <c r="E568" s="54">
        <v>36.572000000000003</v>
      </c>
      <c r="F568" s="45">
        <v>-10.176</v>
      </c>
      <c r="G568" s="45"/>
      <c r="H568" s="45"/>
      <c r="I568" s="55">
        <f t="shared" si="52"/>
        <v>26.396000000000001</v>
      </c>
      <c r="J568" s="492" t="s">
        <v>141</v>
      </c>
    </row>
    <row r="569" spans="1:10" s="50" customFormat="1" ht="15.6" hidden="1" x14ac:dyDescent="0.3">
      <c r="A569" s="133" t="s">
        <v>296</v>
      </c>
      <c r="B569" s="47"/>
      <c r="C569" s="48"/>
      <c r="D569" s="138">
        <f t="shared" si="51"/>
        <v>670.8</v>
      </c>
      <c r="E569" s="54">
        <v>14.013</v>
      </c>
      <c r="F569" s="45">
        <v>-3.9510000000000001</v>
      </c>
      <c r="G569" s="45"/>
      <c r="H569" s="45"/>
      <c r="I569" s="55">
        <f t="shared" si="52"/>
        <v>10.061999999999999</v>
      </c>
      <c r="J569" s="492" t="s">
        <v>141</v>
      </c>
    </row>
    <row r="570" spans="1:10" s="50" customFormat="1" ht="15.6" hidden="1" x14ac:dyDescent="0.3">
      <c r="A570" s="133" t="s">
        <v>297</v>
      </c>
      <c r="B570" s="47"/>
      <c r="C570" s="48"/>
      <c r="D570" s="138">
        <f t="shared" si="51"/>
        <v>1006.2</v>
      </c>
      <c r="E570" s="54">
        <v>22.094000000000001</v>
      </c>
      <c r="F570" s="45">
        <v>-7.0010000000000003</v>
      </c>
      <c r="G570" s="45"/>
      <c r="H570" s="45"/>
      <c r="I570" s="55">
        <f t="shared" si="52"/>
        <v>15.093</v>
      </c>
      <c r="J570" s="492" t="s">
        <v>141</v>
      </c>
    </row>
    <row r="571" spans="1:10" s="50" customFormat="1" ht="15.6" hidden="1" x14ac:dyDescent="0.3">
      <c r="A571" s="133" t="s">
        <v>298</v>
      </c>
      <c r="B571" s="47"/>
      <c r="C571" s="48"/>
      <c r="D571" s="138">
        <f t="shared" si="51"/>
        <v>3247.5333333333328</v>
      </c>
      <c r="E571" s="54">
        <v>68.194999999999993</v>
      </c>
      <c r="F571" s="45">
        <v>-19.481999999999999</v>
      </c>
      <c r="G571" s="45"/>
      <c r="H571" s="45"/>
      <c r="I571" s="55">
        <f t="shared" si="52"/>
        <v>48.712999999999994</v>
      </c>
      <c r="J571" s="492" t="s">
        <v>141</v>
      </c>
    </row>
    <row r="572" spans="1:10" s="50" customFormat="1" ht="15.6" hidden="1" x14ac:dyDescent="0.3">
      <c r="A572" s="133" t="s">
        <v>299</v>
      </c>
      <c r="B572" s="47"/>
      <c r="C572" s="48"/>
      <c r="D572" s="138">
        <f t="shared" si="51"/>
        <v>2084.6</v>
      </c>
      <c r="E572" s="54">
        <v>43.750999999999998</v>
      </c>
      <c r="F572" s="45">
        <v>-12.481999999999999</v>
      </c>
      <c r="G572" s="45"/>
      <c r="H572" s="45"/>
      <c r="I572" s="55">
        <f t="shared" si="52"/>
        <v>31.268999999999998</v>
      </c>
      <c r="J572" s="492" t="s">
        <v>141</v>
      </c>
    </row>
    <row r="573" spans="1:10" s="50" customFormat="1" ht="15.6" hidden="1" x14ac:dyDescent="0.3">
      <c r="A573" s="133" t="s">
        <v>300</v>
      </c>
      <c r="B573" s="47"/>
      <c r="C573" s="48"/>
      <c r="D573" s="138">
        <f t="shared" si="51"/>
        <v>7711.6666666666679</v>
      </c>
      <c r="E573" s="54">
        <v>159.709</v>
      </c>
      <c r="F573" s="45">
        <v>-44.033999999999999</v>
      </c>
      <c r="G573" s="45"/>
      <c r="H573" s="45"/>
      <c r="I573" s="55">
        <f t="shared" si="52"/>
        <v>115.67500000000001</v>
      </c>
      <c r="J573" s="492" t="s">
        <v>61</v>
      </c>
    </row>
    <row r="574" spans="1:10" s="50" customFormat="1" ht="15.6" hidden="1" x14ac:dyDescent="0.3">
      <c r="A574" s="133" t="s">
        <v>301</v>
      </c>
      <c r="B574" s="47"/>
      <c r="C574" s="48"/>
      <c r="D574" s="138">
        <f t="shared" si="51"/>
        <v>14088.266666666666</v>
      </c>
      <c r="E574" s="54">
        <v>283.14</v>
      </c>
      <c r="F574" s="45">
        <v>-71.816000000000003</v>
      </c>
      <c r="G574" s="45"/>
      <c r="H574" s="45"/>
      <c r="I574" s="55">
        <f t="shared" si="52"/>
        <v>211.32399999999998</v>
      </c>
      <c r="J574" s="492" t="s">
        <v>61</v>
      </c>
    </row>
    <row r="575" spans="1:10" s="50" customFormat="1" ht="15.6" hidden="1" x14ac:dyDescent="0.3">
      <c r="A575" s="133" t="s">
        <v>302</v>
      </c>
      <c r="B575" s="47"/>
      <c r="C575" s="48"/>
      <c r="D575" s="138">
        <f t="shared" si="51"/>
        <v>15380.066666666668</v>
      </c>
      <c r="E575" s="54">
        <v>308.601</v>
      </c>
      <c r="F575" s="45">
        <v>-77.900000000000006</v>
      </c>
      <c r="G575" s="45"/>
      <c r="H575" s="45"/>
      <c r="I575" s="55">
        <f t="shared" si="52"/>
        <v>230.70099999999999</v>
      </c>
      <c r="J575" s="492" t="s">
        <v>61</v>
      </c>
    </row>
    <row r="576" spans="1:10" s="50" customFormat="1" ht="15.6" hidden="1" x14ac:dyDescent="0.3">
      <c r="A576" s="133" t="s">
        <v>303</v>
      </c>
      <c r="B576" s="47"/>
      <c r="C576" s="48"/>
      <c r="D576" s="138">
        <f t="shared" si="51"/>
        <v>23402.266666666666</v>
      </c>
      <c r="E576" s="54">
        <v>474.14800000000002</v>
      </c>
      <c r="F576" s="45">
        <v>-123.114</v>
      </c>
      <c r="G576" s="45"/>
      <c r="H576" s="45"/>
      <c r="I576" s="55">
        <f t="shared" si="52"/>
        <v>351.03399999999999</v>
      </c>
      <c r="J576" s="492" t="s">
        <v>61</v>
      </c>
    </row>
    <row r="577" spans="1:10" s="50" customFormat="1" ht="15.6" hidden="1" x14ac:dyDescent="0.3">
      <c r="A577" s="133" t="s">
        <v>304</v>
      </c>
      <c r="B577" s="47"/>
      <c r="C577" s="48"/>
      <c r="D577" s="138">
        <f t="shared" si="51"/>
        <v>21739.800000000003</v>
      </c>
      <c r="E577" s="54">
        <v>443.86200000000002</v>
      </c>
      <c r="F577" s="45">
        <v>-117.765</v>
      </c>
      <c r="G577" s="45"/>
      <c r="H577" s="45"/>
      <c r="I577" s="55">
        <f t="shared" si="52"/>
        <v>326.09700000000004</v>
      </c>
      <c r="J577" s="492" t="s">
        <v>61</v>
      </c>
    </row>
    <row r="578" spans="1:10" s="50" customFormat="1" ht="15.6" hidden="1" x14ac:dyDescent="0.3">
      <c r="A578" s="133" t="s">
        <v>305</v>
      </c>
      <c r="B578" s="47"/>
      <c r="C578" s="48"/>
      <c r="D578" s="138">
        <f t="shared" si="51"/>
        <v>14198.600000000004</v>
      </c>
      <c r="E578" s="54">
        <v>293.73700000000002</v>
      </c>
      <c r="F578" s="45">
        <v>-80.757999999999996</v>
      </c>
      <c r="G578" s="45"/>
      <c r="H578" s="45"/>
      <c r="I578" s="55">
        <f t="shared" si="52"/>
        <v>212.97900000000004</v>
      </c>
      <c r="J578" s="492" t="s">
        <v>61</v>
      </c>
    </row>
    <row r="579" spans="1:10" s="50" customFormat="1" ht="15.6" hidden="1" x14ac:dyDescent="0.3">
      <c r="A579" s="133" t="s">
        <v>306</v>
      </c>
      <c r="B579" s="47"/>
      <c r="C579" s="48"/>
      <c r="D579" s="138">
        <f t="shared" si="51"/>
        <v>-29212.533333333333</v>
      </c>
      <c r="E579" s="54">
        <v>-356.04</v>
      </c>
      <c r="F579" s="45">
        <v>-82.147999999999996</v>
      </c>
      <c r="G579" s="45"/>
      <c r="H579" s="45"/>
      <c r="I579" s="55">
        <f t="shared" si="52"/>
        <v>-438.18799999999999</v>
      </c>
      <c r="J579" s="492" t="s">
        <v>61</v>
      </c>
    </row>
    <row r="580" spans="1:10" s="50" customFormat="1" ht="15.6" hidden="1" x14ac:dyDescent="0.3">
      <c r="A580" s="133" t="s">
        <v>307</v>
      </c>
      <c r="B580" s="47"/>
      <c r="C580" s="48"/>
      <c r="D580" s="138">
        <f t="shared" si="51"/>
        <v>13438.199999999999</v>
      </c>
      <c r="E580" s="54">
        <v>268.50299999999999</v>
      </c>
      <c r="F580" s="45">
        <v>-66.930000000000007</v>
      </c>
      <c r="G580" s="45"/>
      <c r="H580" s="45"/>
      <c r="I580" s="55">
        <f t="shared" si="52"/>
        <v>201.57299999999998</v>
      </c>
      <c r="J580" s="492" t="s">
        <v>61</v>
      </c>
    </row>
    <row r="581" spans="1:10" s="50" customFormat="1" ht="15.6" hidden="1" x14ac:dyDescent="0.3">
      <c r="A581" s="133" t="s">
        <v>308</v>
      </c>
      <c r="B581" s="47"/>
      <c r="C581" s="48"/>
      <c r="D581" s="138">
        <f t="shared" si="51"/>
        <v>4602.5333333333328</v>
      </c>
      <c r="E581" s="54">
        <v>95.012</v>
      </c>
      <c r="F581" s="45">
        <v>-25.974</v>
      </c>
      <c r="G581" s="45"/>
      <c r="H581" s="45"/>
      <c r="I581" s="55">
        <f t="shared" si="52"/>
        <v>69.037999999999997</v>
      </c>
      <c r="J581" s="492" t="s">
        <v>61</v>
      </c>
    </row>
    <row r="582" spans="1:10" s="50" customFormat="1" ht="15.6" hidden="1" x14ac:dyDescent="0.3">
      <c r="A582" s="133" t="s">
        <v>311</v>
      </c>
      <c r="B582" s="47"/>
      <c r="C582" s="48"/>
      <c r="D582" s="138">
        <f t="shared" si="51"/>
        <v>221.8666666666667</v>
      </c>
      <c r="E582" s="54">
        <v>3.7250000000000001</v>
      </c>
      <c r="F582" s="45">
        <v>-0.39700000000000002</v>
      </c>
      <c r="G582" s="45"/>
      <c r="H582" s="45"/>
      <c r="I582" s="55">
        <v>3.3280000000000003</v>
      </c>
      <c r="J582" s="492" t="s">
        <v>141</v>
      </c>
    </row>
    <row r="583" spans="1:10" s="50" customFormat="1" ht="15.6" hidden="1" x14ac:dyDescent="0.3">
      <c r="A583" s="133" t="s">
        <v>312</v>
      </c>
      <c r="B583" s="47"/>
      <c r="C583" s="48"/>
      <c r="D583" s="138">
        <f t="shared" si="51"/>
        <v>174.26666666666665</v>
      </c>
      <c r="E583" s="54">
        <v>3.62</v>
      </c>
      <c r="F583" s="45">
        <v>-1.006</v>
      </c>
      <c r="G583" s="45"/>
      <c r="H583" s="45"/>
      <c r="I583" s="55">
        <v>2.6139999999999999</v>
      </c>
      <c r="J583" s="492" t="s">
        <v>141</v>
      </c>
    </row>
    <row r="584" spans="1:10" s="50" customFormat="1" ht="15.6" hidden="1" x14ac:dyDescent="0.3">
      <c r="A584" s="133" t="s">
        <v>313</v>
      </c>
      <c r="B584" s="47"/>
      <c r="C584" s="48"/>
      <c r="D584" s="138">
        <f t="shared" si="51"/>
        <v>256.73333333333335</v>
      </c>
      <c r="E584" s="54">
        <v>5.6070000000000002</v>
      </c>
      <c r="F584" s="45">
        <v>-1.756</v>
      </c>
      <c r="G584" s="45"/>
      <c r="H584" s="45"/>
      <c r="I584" s="55">
        <v>3.851</v>
      </c>
      <c r="J584" s="492" t="s">
        <v>141</v>
      </c>
    </row>
    <row r="585" spans="1:10" s="50" customFormat="1" ht="15.6" hidden="1" x14ac:dyDescent="0.3">
      <c r="A585" s="133" t="s">
        <v>314</v>
      </c>
      <c r="B585" s="47"/>
      <c r="C585" s="48"/>
      <c r="D585" s="138">
        <f t="shared" si="51"/>
        <v>1530.2666666666667</v>
      </c>
      <c r="E585" s="54">
        <v>32.204999999999998</v>
      </c>
      <c r="F585" s="45">
        <v>-9.2509999999999994</v>
      </c>
      <c r="G585" s="45"/>
      <c r="H585" s="45"/>
      <c r="I585" s="55">
        <v>22.954000000000001</v>
      </c>
      <c r="J585" s="492" t="s">
        <v>141</v>
      </c>
    </row>
    <row r="586" spans="1:10" s="50" customFormat="1" ht="15.6" hidden="1" x14ac:dyDescent="0.3">
      <c r="A586" s="133" t="s">
        <v>315</v>
      </c>
      <c r="B586" s="47"/>
      <c r="C586" s="48"/>
      <c r="D586" s="138">
        <f t="shared" si="51"/>
        <v>214.06666666666666</v>
      </c>
      <c r="E586" s="54">
        <v>4.4859999999999998</v>
      </c>
      <c r="F586" s="45">
        <v>-1.2749999999999999</v>
      </c>
      <c r="G586" s="45"/>
      <c r="H586" s="45"/>
      <c r="I586" s="55">
        <v>3.2109999999999999</v>
      </c>
      <c r="J586" s="492" t="s">
        <v>141</v>
      </c>
    </row>
    <row r="587" spans="1:10" s="50" customFormat="1" ht="15.6" hidden="1" x14ac:dyDescent="0.3">
      <c r="A587" s="133" t="s">
        <v>316</v>
      </c>
      <c r="B587" s="47"/>
      <c r="C587" s="48"/>
      <c r="D587" s="138">
        <f t="shared" si="51"/>
        <v>126.06666666666669</v>
      </c>
      <c r="E587" s="54">
        <v>2.7120000000000002</v>
      </c>
      <c r="F587" s="45">
        <v>-0.82099999999999995</v>
      </c>
      <c r="G587" s="45"/>
      <c r="H587" s="45"/>
      <c r="I587" s="55">
        <v>1.8910000000000002</v>
      </c>
      <c r="J587" s="492" t="s">
        <v>141</v>
      </c>
    </row>
    <row r="588" spans="1:10" s="50" customFormat="1" ht="15.6" hidden="1" x14ac:dyDescent="0.3">
      <c r="A588" s="133" t="s">
        <v>317</v>
      </c>
      <c r="B588" s="47"/>
      <c r="C588" s="48"/>
      <c r="D588" s="138">
        <f t="shared" si="51"/>
        <v>321.39999999999998</v>
      </c>
      <c r="E588" s="54">
        <v>6.68</v>
      </c>
      <c r="F588" s="45">
        <v>-1.859</v>
      </c>
      <c r="G588" s="45"/>
      <c r="H588" s="45"/>
      <c r="I588" s="55">
        <v>4.8209999999999997</v>
      </c>
      <c r="J588" s="492" t="s">
        <v>141</v>
      </c>
    </row>
    <row r="589" spans="1:10" s="50" customFormat="1" ht="15.6" hidden="1" x14ac:dyDescent="0.3">
      <c r="A589" s="133" t="s">
        <v>318</v>
      </c>
      <c r="B589" s="47"/>
      <c r="C589" s="48"/>
      <c r="D589" s="138">
        <f t="shared" si="51"/>
        <v>742.86666666666679</v>
      </c>
      <c r="E589" s="54">
        <v>15.802</v>
      </c>
      <c r="F589" s="45">
        <v>-4.6589999999999998</v>
      </c>
      <c r="G589" s="45"/>
      <c r="H589" s="45"/>
      <c r="I589" s="55">
        <v>11.143000000000001</v>
      </c>
      <c r="J589" s="492" t="s">
        <v>141</v>
      </c>
    </row>
    <row r="590" spans="1:10" s="50" customFormat="1" ht="15.6" hidden="1" x14ac:dyDescent="0.3">
      <c r="A590" s="133" t="s">
        <v>319</v>
      </c>
      <c r="B590" s="47"/>
      <c r="C590" s="48"/>
      <c r="D590" s="138">
        <f t="shared" si="51"/>
        <v>80.866666666666674</v>
      </c>
      <c r="E590" s="54">
        <v>1.6879999999999999</v>
      </c>
      <c r="F590" s="45">
        <v>-0.47499999999999998</v>
      </c>
      <c r="G590" s="45"/>
      <c r="H590" s="45"/>
      <c r="I590" s="55">
        <v>1.2130000000000001</v>
      </c>
      <c r="J590" s="492" t="s">
        <v>141</v>
      </c>
    </row>
    <row r="591" spans="1:10" s="50" customFormat="1" ht="15.6" hidden="1" x14ac:dyDescent="0.3">
      <c r="A591" s="133" t="s">
        <v>320</v>
      </c>
      <c r="B591" s="47"/>
      <c r="C591" s="48"/>
      <c r="D591" s="138">
        <f t="shared" si="51"/>
        <v>304.93333333333334</v>
      </c>
      <c r="E591" s="54">
        <v>6.5049999999999999</v>
      </c>
      <c r="F591" s="45">
        <v>-1.931</v>
      </c>
      <c r="G591" s="45"/>
      <c r="H591" s="45"/>
      <c r="I591" s="55">
        <v>4.5739999999999998</v>
      </c>
      <c r="J591" s="492" t="s">
        <v>141</v>
      </c>
    </row>
    <row r="592" spans="1:10" s="50" customFormat="1" ht="15.6" hidden="1" x14ac:dyDescent="0.3">
      <c r="A592" s="133" t="s">
        <v>321</v>
      </c>
      <c r="B592" s="47"/>
      <c r="C592" s="48"/>
      <c r="D592" s="138">
        <f t="shared" si="51"/>
        <v>15018.133333333333</v>
      </c>
      <c r="E592" s="54">
        <v>300.81599999999997</v>
      </c>
      <c r="F592" s="45">
        <v>-75.543999999999997</v>
      </c>
      <c r="G592" s="45"/>
      <c r="H592" s="45"/>
      <c r="I592" s="55">
        <v>225.27199999999999</v>
      </c>
      <c r="J592" s="492" t="s">
        <v>61</v>
      </c>
    </row>
    <row r="593" spans="1:10" s="50" customFormat="1" ht="15.6" hidden="1" x14ac:dyDescent="0.3">
      <c r="A593" s="133" t="s">
        <v>322</v>
      </c>
      <c r="B593" s="47"/>
      <c r="C593" s="48"/>
      <c r="D593" s="138">
        <f t="shared" si="51"/>
        <v>489.86666666666673</v>
      </c>
      <c r="E593" s="54">
        <v>10.521000000000001</v>
      </c>
      <c r="F593" s="45">
        <v>-3.173</v>
      </c>
      <c r="G593" s="45"/>
      <c r="H593" s="45"/>
      <c r="I593" s="55">
        <v>7.3480000000000008</v>
      </c>
      <c r="J593" s="492" t="s">
        <v>141</v>
      </c>
    </row>
    <row r="594" spans="1:10" s="50" customFormat="1" ht="15.6" hidden="1" x14ac:dyDescent="0.3">
      <c r="A594" s="133" t="s">
        <v>323</v>
      </c>
      <c r="B594" s="47"/>
      <c r="C594" s="48"/>
      <c r="D594" s="138">
        <f t="shared" si="51"/>
        <v>10099.733333333334</v>
      </c>
      <c r="E594" s="54">
        <v>208.06</v>
      </c>
      <c r="F594" s="45">
        <v>-56.564</v>
      </c>
      <c r="G594" s="45"/>
      <c r="H594" s="45"/>
      <c r="I594" s="55">
        <v>151.49600000000001</v>
      </c>
      <c r="J594" s="492" t="s">
        <v>61</v>
      </c>
    </row>
    <row r="595" spans="1:10" s="50" customFormat="1" ht="15.6" hidden="1" x14ac:dyDescent="0.3">
      <c r="A595" s="133" t="s">
        <v>324</v>
      </c>
      <c r="B595" s="47"/>
      <c r="C595" s="48"/>
      <c r="D595" s="138">
        <f t="shared" si="51"/>
        <v>14250</v>
      </c>
      <c r="E595" s="54">
        <v>290.46100000000001</v>
      </c>
      <c r="F595" s="45">
        <v>-76.710999999999999</v>
      </c>
      <c r="G595" s="45"/>
      <c r="H595" s="45"/>
      <c r="I595" s="55">
        <v>213.75</v>
      </c>
      <c r="J595" s="492" t="s">
        <v>61</v>
      </c>
    </row>
    <row r="596" spans="1:10" s="50" customFormat="1" ht="15.6" hidden="1" x14ac:dyDescent="0.3">
      <c r="A596" s="133" t="s">
        <v>325</v>
      </c>
      <c r="B596" s="47"/>
      <c r="C596" s="48"/>
      <c r="D596" s="138">
        <f t="shared" si="51"/>
        <v>5571.8</v>
      </c>
      <c r="E596" s="54">
        <v>113.373</v>
      </c>
      <c r="F596" s="45">
        <v>-29.795999999999999</v>
      </c>
      <c r="G596" s="45"/>
      <c r="H596" s="45"/>
      <c r="I596" s="55">
        <v>83.576999999999998</v>
      </c>
      <c r="J596" s="492" t="s">
        <v>61</v>
      </c>
    </row>
    <row r="597" spans="1:10" s="50" customFormat="1" ht="15.6" hidden="1" x14ac:dyDescent="0.3">
      <c r="A597" s="133" t="s">
        <v>326</v>
      </c>
      <c r="B597" s="47"/>
      <c r="C597" s="48"/>
      <c r="D597" s="138">
        <f t="shared" si="51"/>
        <v>123.60000000000001</v>
      </c>
      <c r="E597" s="54">
        <v>2.6120000000000001</v>
      </c>
      <c r="F597" s="45">
        <v>-0.75800000000000001</v>
      </c>
      <c r="G597" s="45"/>
      <c r="H597" s="45"/>
      <c r="I597" s="55">
        <v>1.8540000000000001</v>
      </c>
      <c r="J597" s="492" t="s">
        <v>141</v>
      </c>
    </row>
    <row r="598" spans="1:10" s="50" customFormat="1" ht="15.6" hidden="1" x14ac:dyDescent="0.3">
      <c r="A598" s="133" t="s">
        <v>327</v>
      </c>
      <c r="B598" s="47"/>
      <c r="C598" s="48"/>
      <c r="D598" s="138">
        <f t="shared" si="51"/>
        <v>339.6</v>
      </c>
      <c r="E598" s="54">
        <v>7.4210000000000003</v>
      </c>
      <c r="F598" s="45">
        <v>-2.327</v>
      </c>
      <c r="G598" s="45"/>
      <c r="H598" s="45"/>
      <c r="I598" s="55">
        <v>5.0940000000000003</v>
      </c>
      <c r="J598" s="492" t="s">
        <v>141</v>
      </c>
    </row>
    <row r="599" spans="1:10" s="50" customFormat="1" ht="17.399999999999999" hidden="1" x14ac:dyDescent="0.3">
      <c r="A599" s="133" t="s">
        <v>328</v>
      </c>
      <c r="B599" s="134"/>
      <c r="C599" s="75" t="s">
        <v>329</v>
      </c>
      <c r="D599" s="138">
        <f t="shared" si="51"/>
        <v>4574.6000000000004</v>
      </c>
      <c r="E599" s="54">
        <v>77.447000000000003</v>
      </c>
      <c r="F599" s="45">
        <v>-8.8279999999999994</v>
      </c>
      <c r="G599" s="45"/>
      <c r="H599" s="45"/>
      <c r="I599" s="55">
        <f>SUM(E599:G599)</f>
        <v>68.619</v>
      </c>
      <c r="J599" s="492"/>
    </row>
    <row r="600" spans="1:10" s="50" customFormat="1" ht="15.6" hidden="1" x14ac:dyDescent="0.3">
      <c r="A600" s="133" t="s">
        <v>330</v>
      </c>
      <c r="B600" s="47"/>
      <c r="C600" s="48"/>
      <c r="D600" s="138">
        <f t="shared" si="51"/>
        <v>8304.4</v>
      </c>
      <c r="E600" s="54">
        <v>166.08600000000001</v>
      </c>
      <c r="F600" s="45">
        <v>-41.52</v>
      </c>
      <c r="G600" s="45"/>
      <c r="H600" s="45"/>
      <c r="I600" s="55">
        <f t="shared" ref="I600:I614" si="53">SUM(E600:H600)</f>
        <v>124.566</v>
      </c>
      <c r="J600" s="492" t="s">
        <v>61</v>
      </c>
    </row>
    <row r="601" spans="1:10" s="50" customFormat="1" ht="15.6" hidden="1" x14ac:dyDescent="0.3">
      <c r="A601" s="133" t="s">
        <v>331</v>
      </c>
      <c r="B601" s="47"/>
      <c r="C601" s="48"/>
      <c r="D601" s="138">
        <f t="shared" si="51"/>
        <v>7115.3333333333339</v>
      </c>
      <c r="E601" s="54">
        <v>142.04900000000001</v>
      </c>
      <c r="F601" s="45">
        <v>-35.319000000000003</v>
      </c>
      <c r="G601" s="45"/>
      <c r="H601" s="45"/>
      <c r="I601" s="55">
        <f t="shared" si="53"/>
        <v>106.73</v>
      </c>
      <c r="J601" s="492" t="s">
        <v>61</v>
      </c>
    </row>
    <row r="602" spans="1:10" s="50" customFormat="1" ht="15.6" hidden="1" x14ac:dyDescent="0.3">
      <c r="A602" s="133" t="s">
        <v>332</v>
      </c>
      <c r="B602" s="47"/>
      <c r="C602" s="48"/>
      <c r="D602" s="138">
        <f t="shared" si="51"/>
        <v>9527.8666666666668</v>
      </c>
      <c r="E602" s="54">
        <v>193.20699999999999</v>
      </c>
      <c r="F602" s="45">
        <v>-50.289000000000001</v>
      </c>
      <c r="G602" s="45"/>
      <c r="H602" s="45"/>
      <c r="I602" s="55">
        <f t="shared" si="53"/>
        <v>142.91800000000001</v>
      </c>
      <c r="J602" s="492" t="s">
        <v>61</v>
      </c>
    </row>
    <row r="603" spans="1:10" s="50" customFormat="1" ht="15.6" hidden="1" x14ac:dyDescent="0.3">
      <c r="A603" s="133" t="s">
        <v>333</v>
      </c>
      <c r="B603" s="47"/>
      <c r="C603" s="48"/>
      <c r="D603" s="138">
        <f t="shared" si="51"/>
        <v>6488.5333333333338</v>
      </c>
      <c r="E603" s="54">
        <v>132.66200000000001</v>
      </c>
      <c r="F603" s="45">
        <v>-35.334000000000003</v>
      </c>
      <c r="G603" s="45"/>
      <c r="H603" s="45"/>
      <c r="I603" s="55">
        <f t="shared" si="53"/>
        <v>97.328000000000003</v>
      </c>
      <c r="J603" s="492" t="s">
        <v>61</v>
      </c>
    </row>
    <row r="604" spans="1:10" s="50" customFormat="1" ht="15.6" hidden="1" x14ac:dyDescent="0.3">
      <c r="A604" s="133" t="s">
        <v>334</v>
      </c>
      <c r="B604" s="47"/>
      <c r="C604" s="48"/>
      <c r="D604" s="138">
        <f t="shared" si="51"/>
        <v>7035</v>
      </c>
      <c r="E604" s="54">
        <v>136.58099999999999</v>
      </c>
      <c r="F604" s="45">
        <v>-31.056000000000001</v>
      </c>
      <c r="G604" s="45"/>
      <c r="H604" s="45"/>
      <c r="I604" s="55">
        <f t="shared" si="53"/>
        <v>105.52499999999999</v>
      </c>
      <c r="J604" s="492" t="s">
        <v>61</v>
      </c>
    </row>
    <row r="605" spans="1:10" s="50" customFormat="1" ht="15.6" hidden="1" x14ac:dyDescent="0.3">
      <c r="A605" s="133" t="s">
        <v>335</v>
      </c>
      <c r="B605" s="47"/>
      <c r="C605" s="48"/>
      <c r="D605" s="138">
        <f t="shared" si="51"/>
        <v>6054.0666666666675</v>
      </c>
      <c r="E605" s="54">
        <v>120.036</v>
      </c>
      <c r="F605" s="45">
        <v>-29.225000000000001</v>
      </c>
      <c r="G605" s="45"/>
      <c r="H605" s="45"/>
      <c r="I605" s="55">
        <f t="shared" si="53"/>
        <v>90.811000000000007</v>
      </c>
      <c r="J605" s="492" t="s">
        <v>61</v>
      </c>
    </row>
    <row r="606" spans="1:10" s="50" customFormat="1" ht="15.6" hidden="1" x14ac:dyDescent="0.3">
      <c r="A606" s="133" t="s">
        <v>336</v>
      </c>
      <c r="B606" s="47"/>
      <c r="C606" s="48"/>
      <c r="D606" s="138">
        <f t="shared" si="51"/>
        <v>-63.13333333333334</v>
      </c>
      <c r="E606" s="54">
        <v>-1.2110000000000001</v>
      </c>
      <c r="F606" s="45">
        <v>0.26400000000000001</v>
      </c>
      <c r="G606" s="45"/>
      <c r="H606" s="45"/>
      <c r="I606" s="55">
        <f t="shared" si="53"/>
        <v>-0.94700000000000006</v>
      </c>
      <c r="J606" s="492"/>
    </row>
    <row r="607" spans="1:10" s="50" customFormat="1" ht="15.6" hidden="1" x14ac:dyDescent="0.3">
      <c r="A607" s="133" t="s">
        <v>337</v>
      </c>
      <c r="B607" s="47"/>
      <c r="C607" s="48"/>
      <c r="D607" s="138">
        <f t="shared" si="51"/>
        <v>606.4</v>
      </c>
      <c r="E607" s="54">
        <v>9.7870000000000008</v>
      </c>
      <c r="F607" s="45">
        <v>-0.69099999999999995</v>
      </c>
      <c r="G607" s="45"/>
      <c r="H607" s="45"/>
      <c r="I607" s="55">
        <f t="shared" si="53"/>
        <v>9.0960000000000001</v>
      </c>
      <c r="J607" s="492" t="s">
        <v>141</v>
      </c>
    </row>
    <row r="608" spans="1:10" s="50" customFormat="1" ht="15.6" hidden="1" x14ac:dyDescent="0.3">
      <c r="A608" s="133" t="s">
        <v>338</v>
      </c>
      <c r="B608" s="47"/>
      <c r="C608" s="48"/>
      <c r="D608" s="138">
        <f t="shared" si="51"/>
        <v>175</v>
      </c>
      <c r="E608" s="54">
        <v>3.157</v>
      </c>
      <c r="F608" s="45">
        <v>-0.53200000000000003</v>
      </c>
      <c r="G608" s="45"/>
      <c r="H608" s="45"/>
      <c r="I608" s="55">
        <f t="shared" si="53"/>
        <v>2.625</v>
      </c>
      <c r="J608" s="492" t="s">
        <v>141</v>
      </c>
    </row>
    <row r="609" spans="1:10" s="50" customFormat="1" ht="15.6" hidden="1" x14ac:dyDescent="0.3">
      <c r="A609" s="133" t="s">
        <v>339</v>
      </c>
      <c r="B609" s="47"/>
      <c r="C609" s="48"/>
      <c r="D609" s="138">
        <f t="shared" si="51"/>
        <v>362.46666666666664</v>
      </c>
      <c r="E609" s="54">
        <v>5.9379999999999997</v>
      </c>
      <c r="F609" s="45">
        <v>-0.501</v>
      </c>
      <c r="G609" s="45"/>
      <c r="H609" s="45"/>
      <c r="I609" s="55">
        <f t="shared" si="53"/>
        <v>5.4369999999999994</v>
      </c>
      <c r="J609" s="492" t="s">
        <v>141</v>
      </c>
    </row>
    <row r="610" spans="1:10" s="50" customFormat="1" ht="13.5" hidden="1" customHeight="1" x14ac:dyDescent="0.3">
      <c r="A610" s="133" t="s">
        <v>340</v>
      </c>
      <c r="B610" s="47"/>
      <c r="C610" s="48"/>
      <c r="D610" s="138">
        <f t="shared" si="51"/>
        <v>161.86666666666667</v>
      </c>
      <c r="E610" s="54">
        <v>2.7890000000000001</v>
      </c>
      <c r="F610" s="45">
        <v>-0.36099999999999999</v>
      </c>
      <c r="G610" s="45"/>
      <c r="H610" s="45"/>
      <c r="I610" s="55">
        <f t="shared" si="53"/>
        <v>2.4279999999999999</v>
      </c>
      <c r="J610" s="492" t="s">
        <v>141</v>
      </c>
    </row>
    <row r="611" spans="1:10" s="50" customFormat="1" ht="15.6" hidden="1" x14ac:dyDescent="0.3">
      <c r="A611" s="133" t="s">
        <v>341</v>
      </c>
      <c r="B611" s="47"/>
      <c r="C611" s="48"/>
      <c r="D611" s="138">
        <f t="shared" si="51"/>
        <v>528.26666666666665</v>
      </c>
      <c r="E611" s="54">
        <v>8.76</v>
      </c>
      <c r="F611" s="45">
        <v>-0.83599999999999997</v>
      </c>
      <c r="G611" s="45"/>
      <c r="H611" s="45"/>
      <c r="I611" s="55">
        <f t="shared" si="53"/>
        <v>7.9239999999999995</v>
      </c>
      <c r="J611" s="492" t="s">
        <v>141</v>
      </c>
    </row>
    <row r="612" spans="1:10" s="50" customFormat="1" ht="15.6" hidden="1" x14ac:dyDescent="0.3">
      <c r="A612" s="133" t="s">
        <v>342</v>
      </c>
      <c r="B612" s="47"/>
      <c r="C612" s="48"/>
      <c r="D612" s="138">
        <f t="shared" si="51"/>
        <v>1458.5333333333333</v>
      </c>
      <c r="E612" s="54">
        <v>23.234999999999999</v>
      </c>
      <c r="F612" s="45">
        <v>-1.357</v>
      </c>
      <c r="G612" s="45"/>
      <c r="H612" s="45"/>
      <c r="I612" s="55">
        <f t="shared" si="53"/>
        <v>21.878</v>
      </c>
      <c r="J612" s="492" t="s">
        <v>141</v>
      </c>
    </row>
    <row r="613" spans="1:10" s="50" customFormat="1" ht="15.6" hidden="1" x14ac:dyDescent="0.3">
      <c r="A613" s="133" t="s">
        <v>343</v>
      </c>
      <c r="B613" s="47"/>
      <c r="C613" s="48"/>
      <c r="D613" s="138">
        <f t="shared" ref="D613:D629" si="54">I613/0.015</f>
        <v>354.79999999999995</v>
      </c>
      <c r="E613" s="54">
        <v>5.9189999999999996</v>
      </c>
      <c r="F613" s="45">
        <v>-0.59699999999999998</v>
      </c>
      <c r="G613" s="45"/>
      <c r="H613" s="45"/>
      <c r="I613" s="55">
        <f t="shared" si="53"/>
        <v>5.3219999999999992</v>
      </c>
      <c r="J613" s="492" t="s">
        <v>141</v>
      </c>
    </row>
    <row r="614" spans="1:10" s="50" customFormat="1" ht="15.6" hidden="1" x14ac:dyDescent="0.3">
      <c r="A614" s="133" t="s">
        <v>344</v>
      </c>
      <c r="B614" s="47"/>
      <c r="C614" s="48"/>
      <c r="D614" s="138">
        <f t="shared" si="54"/>
        <v>-466.06666666666666</v>
      </c>
      <c r="E614" s="54">
        <v>-7.3369999999999997</v>
      </c>
      <c r="F614" s="45">
        <v>0.34599999999999997</v>
      </c>
      <c r="G614" s="45"/>
      <c r="H614" s="45"/>
      <c r="I614" s="55">
        <f t="shared" si="53"/>
        <v>-6.9909999999999997</v>
      </c>
      <c r="J614" s="492" t="s">
        <v>141</v>
      </c>
    </row>
    <row r="615" spans="1:10" s="50" customFormat="1" ht="17.399999999999999" hidden="1" x14ac:dyDescent="0.3">
      <c r="A615" s="133" t="s">
        <v>345</v>
      </c>
      <c r="B615" s="134"/>
      <c r="C615" s="75" t="s">
        <v>329</v>
      </c>
      <c r="D615" s="138">
        <f t="shared" si="54"/>
        <v>6624.333333333333</v>
      </c>
      <c r="E615" s="54">
        <v>124.94499999999999</v>
      </c>
      <c r="F615" s="45">
        <v>-25.58</v>
      </c>
      <c r="G615" s="45"/>
      <c r="H615" s="45"/>
      <c r="I615" s="55">
        <f t="shared" ref="I615:I629" si="55">SUM(E615:G615)</f>
        <v>99.364999999999995</v>
      </c>
      <c r="J615" s="492" t="s">
        <v>61</v>
      </c>
    </row>
    <row r="616" spans="1:10" s="50" customFormat="1" ht="17.399999999999999" hidden="1" x14ac:dyDescent="0.3">
      <c r="A616" s="133" t="s">
        <v>346</v>
      </c>
      <c r="B616" s="134"/>
      <c r="C616" s="75" t="s">
        <v>329</v>
      </c>
      <c r="D616" s="138">
        <f t="shared" si="54"/>
        <v>422.93333333333339</v>
      </c>
      <c r="E616" s="54">
        <v>6.7530000000000001</v>
      </c>
      <c r="F616" s="45">
        <v>-0.40899999999999997</v>
      </c>
      <c r="G616" s="45"/>
      <c r="H616" s="45"/>
      <c r="I616" s="55">
        <f t="shared" si="55"/>
        <v>6.3440000000000003</v>
      </c>
      <c r="J616" s="492" t="s">
        <v>141</v>
      </c>
    </row>
    <row r="617" spans="1:10" s="50" customFormat="1" ht="17.399999999999999" hidden="1" x14ac:dyDescent="0.3">
      <c r="A617" s="133" t="s">
        <v>347</v>
      </c>
      <c r="B617" s="134"/>
      <c r="C617" s="75" t="s">
        <v>329</v>
      </c>
      <c r="D617" s="138">
        <f t="shared" si="54"/>
        <v>-299.86666666666667</v>
      </c>
      <c r="E617" s="54">
        <v>0</v>
      </c>
      <c r="F617" s="45">
        <v>-4.4980000000000002</v>
      </c>
      <c r="G617" s="45"/>
      <c r="H617" s="45"/>
      <c r="I617" s="55">
        <f t="shared" si="55"/>
        <v>-4.4980000000000002</v>
      </c>
      <c r="J617" s="492"/>
    </row>
    <row r="618" spans="1:10" s="50" customFormat="1" ht="17.399999999999999" hidden="1" x14ac:dyDescent="0.3">
      <c r="A618" s="133" t="s">
        <v>348</v>
      </c>
      <c r="B618" s="134"/>
      <c r="C618" s="75" t="s">
        <v>329</v>
      </c>
      <c r="D618" s="138">
        <f t="shared" si="54"/>
        <v>-68.933333333333337</v>
      </c>
      <c r="E618" s="54">
        <v>0</v>
      </c>
      <c r="F618" s="45">
        <v>-1.034</v>
      </c>
      <c r="G618" s="45"/>
      <c r="H618" s="45"/>
      <c r="I618" s="55">
        <f t="shared" si="55"/>
        <v>-1.034</v>
      </c>
      <c r="J618" s="492"/>
    </row>
    <row r="619" spans="1:10" s="50" customFormat="1" ht="17.399999999999999" hidden="1" x14ac:dyDescent="0.3">
      <c r="A619" s="133" t="s">
        <v>349</v>
      </c>
      <c r="B619" s="134"/>
      <c r="C619" s="75" t="s">
        <v>329</v>
      </c>
      <c r="D619" s="138">
        <f t="shared" si="54"/>
        <v>-625</v>
      </c>
      <c r="E619" s="54">
        <v>0</v>
      </c>
      <c r="F619" s="45">
        <v>-9.375</v>
      </c>
      <c r="G619" s="45"/>
      <c r="H619" s="45"/>
      <c r="I619" s="55">
        <f t="shared" si="55"/>
        <v>-9.375</v>
      </c>
      <c r="J619" s="492"/>
    </row>
    <row r="620" spans="1:10" s="50" customFormat="1" ht="17.399999999999999" hidden="1" x14ac:dyDescent="0.3">
      <c r="A620" s="133" t="s">
        <v>350</v>
      </c>
      <c r="B620" s="134"/>
      <c r="C620" s="75" t="s">
        <v>329</v>
      </c>
      <c r="D620" s="138">
        <f t="shared" si="54"/>
        <v>-429</v>
      </c>
      <c r="E620" s="54">
        <v>0</v>
      </c>
      <c r="F620" s="45">
        <v>-6.4349999999999996</v>
      </c>
      <c r="G620" s="45"/>
      <c r="H620" s="45"/>
      <c r="I620" s="55">
        <f t="shared" si="55"/>
        <v>-6.4349999999999996</v>
      </c>
      <c r="J620" s="492"/>
    </row>
    <row r="621" spans="1:10" s="50" customFormat="1" ht="17.399999999999999" hidden="1" x14ac:dyDescent="0.3">
      <c r="A621" s="133" t="s">
        <v>351</v>
      </c>
      <c r="B621" s="134"/>
      <c r="C621" s="75" t="s">
        <v>329</v>
      </c>
      <c r="D621" s="138">
        <f t="shared" si="54"/>
        <v>-130.4</v>
      </c>
      <c r="E621" s="54">
        <v>-2.008</v>
      </c>
      <c r="F621" s="45">
        <v>5.1999999999999998E-2</v>
      </c>
      <c r="G621" s="45"/>
      <c r="H621" s="45"/>
      <c r="I621" s="55">
        <f t="shared" si="55"/>
        <v>-1.956</v>
      </c>
      <c r="J621" s="492"/>
    </row>
    <row r="622" spans="1:10" s="50" customFormat="1" ht="17.399999999999999" hidden="1" x14ac:dyDescent="0.3">
      <c r="A622" s="133" t="s">
        <v>352</v>
      </c>
      <c r="B622" s="134"/>
      <c r="C622" s="75" t="s">
        <v>329</v>
      </c>
      <c r="D622" s="138">
        <f t="shared" si="54"/>
        <v>-2277.9999999999995</v>
      </c>
      <c r="E622" s="54">
        <v>-34.784999999999997</v>
      </c>
      <c r="F622" s="45">
        <v>0.61499999999999999</v>
      </c>
      <c r="G622" s="45"/>
      <c r="H622" s="45"/>
      <c r="I622" s="55">
        <f t="shared" si="55"/>
        <v>-34.169999999999995</v>
      </c>
      <c r="J622" s="492"/>
    </row>
    <row r="623" spans="1:10" s="50" customFormat="1" ht="17.399999999999999" hidden="1" x14ac:dyDescent="0.3">
      <c r="A623" s="133" t="s">
        <v>353</v>
      </c>
      <c r="B623" s="134"/>
      <c r="C623" s="75" t="s">
        <v>329</v>
      </c>
      <c r="D623" s="138">
        <f t="shared" si="54"/>
        <v>3949.1333333333341</v>
      </c>
      <c r="E623" s="54">
        <v>69.650000000000006</v>
      </c>
      <c r="F623" s="45">
        <v>-10.413</v>
      </c>
      <c r="G623" s="45"/>
      <c r="H623" s="45"/>
      <c r="I623" s="55">
        <f t="shared" si="55"/>
        <v>59.237000000000009</v>
      </c>
      <c r="J623" s="492"/>
    </row>
    <row r="624" spans="1:10" s="50" customFormat="1" ht="17.399999999999999" hidden="1" x14ac:dyDescent="0.3">
      <c r="A624" s="133" t="s">
        <v>354</v>
      </c>
      <c r="B624" s="134"/>
      <c r="C624" s="75" t="s">
        <v>329</v>
      </c>
      <c r="D624" s="138">
        <f t="shared" si="54"/>
        <v>14474.333333333334</v>
      </c>
      <c r="E624" s="54">
        <v>266.11799999999999</v>
      </c>
      <c r="F624" s="45">
        <v>-49.003</v>
      </c>
      <c r="G624" s="45"/>
      <c r="H624" s="45"/>
      <c r="I624" s="55">
        <f t="shared" si="55"/>
        <v>217.11500000000001</v>
      </c>
      <c r="J624" s="492"/>
    </row>
    <row r="625" spans="1:10" s="50" customFormat="1" ht="17.399999999999999" hidden="1" x14ac:dyDescent="0.3">
      <c r="A625" s="133" t="s">
        <v>355</v>
      </c>
      <c r="B625" s="134"/>
      <c r="C625" s="75" t="s">
        <v>329</v>
      </c>
      <c r="D625" s="138">
        <f t="shared" si="54"/>
        <v>6073.4000000000005</v>
      </c>
      <c r="E625" s="54">
        <v>120.84699999999999</v>
      </c>
      <c r="F625" s="45">
        <v>-29.745999999999999</v>
      </c>
      <c r="G625" s="45"/>
      <c r="H625" s="45"/>
      <c r="I625" s="55">
        <f t="shared" si="55"/>
        <v>91.100999999999999</v>
      </c>
      <c r="J625" s="492" t="s">
        <v>61</v>
      </c>
    </row>
    <row r="626" spans="1:10" s="50" customFormat="1" ht="17.399999999999999" hidden="1" x14ac:dyDescent="0.3">
      <c r="A626" s="133" t="s">
        <v>356</v>
      </c>
      <c r="B626" s="134"/>
      <c r="C626" s="75" t="s">
        <v>329</v>
      </c>
      <c r="D626" s="138">
        <f t="shared" si="54"/>
        <v>367.40000000000003</v>
      </c>
      <c r="E626" s="54">
        <v>6.0030000000000001</v>
      </c>
      <c r="F626" s="45">
        <v>-0.49199999999999999</v>
      </c>
      <c r="G626" s="45"/>
      <c r="H626" s="45"/>
      <c r="I626" s="55">
        <f t="shared" si="55"/>
        <v>5.5110000000000001</v>
      </c>
      <c r="J626" s="492" t="s">
        <v>141</v>
      </c>
    </row>
    <row r="627" spans="1:10" s="50" customFormat="1" ht="17.399999999999999" hidden="1" x14ac:dyDescent="0.3">
      <c r="A627" s="133" t="s">
        <v>357</v>
      </c>
      <c r="B627" s="134"/>
      <c r="C627" s="75" t="s">
        <v>329</v>
      </c>
      <c r="D627" s="138">
        <f t="shared" si="54"/>
        <v>1488.2</v>
      </c>
      <c r="E627" s="54">
        <v>25.616</v>
      </c>
      <c r="F627" s="45">
        <v>-3.2930000000000001</v>
      </c>
      <c r="G627" s="45"/>
      <c r="H627" s="45"/>
      <c r="I627" s="55">
        <f t="shared" si="55"/>
        <v>22.323</v>
      </c>
      <c r="J627" s="492" t="s">
        <v>141</v>
      </c>
    </row>
    <row r="628" spans="1:10" s="50" customFormat="1" ht="17.399999999999999" hidden="1" x14ac:dyDescent="0.3">
      <c r="A628" s="133" t="s">
        <v>358</v>
      </c>
      <c r="B628" s="134"/>
      <c r="C628" s="75" t="s">
        <v>329</v>
      </c>
      <c r="D628" s="138">
        <f t="shared" si="54"/>
        <v>626.13333333333333</v>
      </c>
      <c r="E628" s="54">
        <v>10.08</v>
      </c>
      <c r="F628" s="45">
        <v>-0.68799999999999994</v>
      </c>
      <c r="G628" s="45"/>
      <c r="H628" s="45"/>
      <c r="I628" s="55">
        <f t="shared" si="55"/>
        <v>9.3919999999999995</v>
      </c>
      <c r="J628" s="492" t="s">
        <v>141</v>
      </c>
    </row>
    <row r="629" spans="1:10" s="50" customFormat="1" ht="15.75" hidden="1" customHeight="1" x14ac:dyDescent="0.3">
      <c r="A629" s="133" t="s">
        <v>359</v>
      </c>
      <c r="B629" s="134"/>
      <c r="C629" s="75" t="s">
        <v>329</v>
      </c>
      <c r="D629" s="138">
        <f t="shared" si="54"/>
        <v>755.4666666666667</v>
      </c>
      <c r="E629" s="54">
        <v>12.474</v>
      </c>
      <c r="F629" s="45">
        <v>-1.1419999999999999</v>
      </c>
      <c r="G629" s="45"/>
      <c r="H629" s="45"/>
      <c r="I629" s="55">
        <f t="shared" si="55"/>
        <v>11.332000000000001</v>
      </c>
      <c r="J629" s="492" t="s">
        <v>141</v>
      </c>
    </row>
    <row r="630" spans="1:10" s="50" customFormat="1" ht="15.75" hidden="1" customHeight="1" x14ac:dyDescent="0.3">
      <c r="A630" s="133" t="s">
        <v>360</v>
      </c>
      <c r="B630" s="52">
        <v>37083</v>
      </c>
      <c r="C630" s="53" t="s">
        <v>277</v>
      </c>
      <c r="D630" s="138">
        <f t="shared" ref="D630:D664" si="56">I630/0.015</f>
        <v>-48.666666666666664</v>
      </c>
      <c r="E630" s="54">
        <v>-0.76900000000000002</v>
      </c>
      <c r="F630" s="45">
        <v>3.9E-2</v>
      </c>
      <c r="G630" s="45">
        <v>0</v>
      </c>
      <c r="H630" s="45">
        <v>0</v>
      </c>
      <c r="I630" s="55">
        <f t="shared" ref="I630:I668" si="57">SUM(E630:H630)</f>
        <v>-0.73</v>
      </c>
      <c r="J630" s="492"/>
    </row>
    <row r="631" spans="1:10" s="50" customFormat="1" ht="15.75" hidden="1" customHeight="1" x14ac:dyDescent="0.3">
      <c r="A631" s="133" t="s">
        <v>361</v>
      </c>
      <c r="B631" s="52">
        <v>37083</v>
      </c>
      <c r="C631" s="53" t="s">
        <v>277</v>
      </c>
      <c r="D631" s="138">
        <f t="shared" si="56"/>
        <v>-323.66666666666669</v>
      </c>
      <c r="E631" s="54">
        <v>-4.9400000000000004</v>
      </c>
      <c r="F631" s="45">
        <v>8.5000000000000006E-2</v>
      </c>
      <c r="G631" s="45">
        <v>0</v>
      </c>
      <c r="H631" s="45">
        <v>0</v>
      </c>
      <c r="I631" s="55">
        <f t="shared" si="57"/>
        <v>-4.8550000000000004</v>
      </c>
      <c r="J631" s="492"/>
    </row>
    <row r="632" spans="1:10" s="50" customFormat="1" ht="15.75" hidden="1" customHeight="1" x14ac:dyDescent="0.3">
      <c r="A632" s="133" t="s">
        <v>362</v>
      </c>
      <c r="B632" s="52">
        <v>37083</v>
      </c>
      <c r="C632" s="53" t="s">
        <v>277</v>
      </c>
      <c r="D632" s="138">
        <f t="shared" si="56"/>
        <v>-507.13333333333338</v>
      </c>
      <c r="E632" s="54">
        <v>-7.6950000000000003</v>
      </c>
      <c r="F632" s="45">
        <v>8.7999999999999995E-2</v>
      </c>
      <c r="G632" s="45">
        <v>0</v>
      </c>
      <c r="H632" s="45">
        <v>0</v>
      </c>
      <c r="I632" s="55">
        <f t="shared" si="57"/>
        <v>-7.6070000000000002</v>
      </c>
      <c r="J632" s="492"/>
    </row>
    <row r="633" spans="1:10" s="50" customFormat="1" ht="15.75" hidden="1" customHeight="1" x14ac:dyDescent="0.3">
      <c r="A633" s="133" t="s">
        <v>363</v>
      </c>
      <c r="B633" s="52">
        <v>37083</v>
      </c>
      <c r="C633" s="53" t="s">
        <v>277</v>
      </c>
      <c r="D633" s="138">
        <f t="shared" si="56"/>
        <v>-295.26666666666671</v>
      </c>
      <c r="E633" s="54">
        <v>-4.5659999999999998</v>
      </c>
      <c r="F633" s="45">
        <v>0.13700000000000001</v>
      </c>
      <c r="G633" s="45">
        <v>0</v>
      </c>
      <c r="H633" s="45">
        <v>0</v>
      </c>
      <c r="I633" s="55">
        <f t="shared" si="57"/>
        <v>-4.4290000000000003</v>
      </c>
      <c r="J633" s="492"/>
    </row>
    <row r="634" spans="1:10" s="50" customFormat="1" ht="15.75" hidden="1" customHeight="1" x14ac:dyDescent="0.3">
      <c r="A634" s="133" t="s">
        <v>364</v>
      </c>
      <c r="B634" s="52">
        <v>37083</v>
      </c>
      <c r="C634" s="53" t="s">
        <v>277</v>
      </c>
      <c r="D634" s="138">
        <f t="shared" si="56"/>
        <v>-866.2</v>
      </c>
      <c r="E634" s="54">
        <v>-13.226000000000001</v>
      </c>
      <c r="F634" s="45">
        <v>0.23300000000000001</v>
      </c>
      <c r="G634" s="45">
        <v>0</v>
      </c>
      <c r="H634" s="45">
        <v>0</v>
      </c>
      <c r="I634" s="55">
        <f t="shared" si="57"/>
        <v>-12.993</v>
      </c>
      <c r="J634" s="492"/>
    </row>
    <row r="635" spans="1:10" s="50" customFormat="1" ht="15.75" hidden="1" customHeight="1" x14ac:dyDescent="0.3">
      <c r="A635" s="133" t="s">
        <v>365</v>
      </c>
      <c r="B635" s="52">
        <v>37083</v>
      </c>
      <c r="C635" s="53" t="s">
        <v>277</v>
      </c>
      <c r="D635" s="138">
        <f t="shared" si="56"/>
        <v>-74.000000000000014</v>
      </c>
      <c r="E635" s="54">
        <v>-1.131</v>
      </c>
      <c r="F635" s="45">
        <v>2.1000000000000001E-2</v>
      </c>
      <c r="G635" s="45">
        <v>0</v>
      </c>
      <c r="H635" s="45">
        <v>0</v>
      </c>
      <c r="I635" s="55">
        <f t="shared" si="57"/>
        <v>-1.1100000000000001</v>
      </c>
      <c r="J635" s="492"/>
    </row>
    <row r="636" spans="1:10" s="50" customFormat="1" ht="15.75" hidden="1" customHeight="1" x14ac:dyDescent="0.3">
      <c r="A636" s="133" t="s">
        <v>366</v>
      </c>
      <c r="B636" s="52">
        <v>37083</v>
      </c>
      <c r="C636" s="53" t="s">
        <v>277</v>
      </c>
      <c r="D636" s="138">
        <f t="shared" si="56"/>
        <v>-57.2</v>
      </c>
      <c r="E636" s="54">
        <v>-0.876</v>
      </c>
      <c r="F636" s="45">
        <v>1.7999999999999999E-2</v>
      </c>
      <c r="G636" s="45">
        <v>0</v>
      </c>
      <c r="H636" s="45">
        <v>0</v>
      </c>
      <c r="I636" s="55">
        <f t="shared" si="57"/>
        <v>-0.85799999999999998</v>
      </c>
      <c r="J636" s="492"/>
    </row>
    <row r="637" spans="1:10" s="50" customFormat="1" ht="15.75" hidden="1" customHeight="1" x14ac:dyDescent="0.3">
      <c r="A637" s="133" t="s">
        <v>367</v>
      </c>
      <c r="B637" s="52">
        <v>37083</v>
      </c>
      <c r="C637" s="53" t="s">
        <v>277</v>
      </c>
      <c r="D637" s="138">
        <f t="shared" si="56"/>
        <v>-107.26666666666667</v>
      </c>
      <c r="E637" s="54">
        <v>-1.6679999999999999</v>
      </c>
      <c r="F637" s="45">
        <v>5.8999999999999997E-2</v>
      </c>
      <c r="G637" s="45">
        <v>0</v>
      </c>
      <c r="H637" s="45">
        <v>0</v>
      </c>
      <c r="I637" s="55">
        <f t="shared" si="57"/>
        <v>-1.609</v>
      </c>
      <c r="J637" s="492"/>
    </row>
    <row r="638" spans="1:10" s="50" customFormat="1" ht="15.75" hidden="1" customHeight="1" x14ac:dyDescent="0.3">
      <c r="A638" s="133" t="s">
        <v>368</v>
      </c>
      <c r="B638" s="52">
        <v>37083</v>
      </c>
      <c r="C638" s="53" t="s">
        <v>277</v>
      </c>
      <c r="D638" s="138">
        <f t="shared" si="56"/>
        <v>-85.800000000000011</v>
      </c>
      <c r="E638" s="54">
        <v>-1.3140000000000001</v>
      </c>
      <c r="F638" s="45">
        <v>2.7E-2</v>
      </c>
      <c r="G638" s="45">
        <v>0</v>
      </c>
      <c r="H638" s="45">
        <v>0</v>
      </c>
      <c r="I638" s="55">
        <f t="shared" si="57"/>
        <v>-1.2870000000000001</v>
      </c>
      <c r="J638" s="492"/>
    </row>
    <row r="639" spans="1:10" s="50" customFormat="1" ht="15.75" hidden="1" customHeight="1" x14ac:dyDescent="0.3">
      <c r="A639" s="133" t="s">
        <v>369</v>
      </c>
      <c r="B639" s="52">
        <v>37083</v>
      </c>
      <c r="C639" s="53" t="s">
        <v>277</v>
      </c>
      <c r="D639" s="138">
        <f t="shared" si="56"/>
        <v>-346.86666666666667</v>
      </c>
      <c r="E639" s="54">
        <v>-5.2850000000000001</v>
      </c>
      <c r="F639" s="45">
        <v>8.2000000000000003E-2</v>
      </c>
      <c r="G639" s="45">
        <v>0</v>
      </c>
      <c r="H639" s="45">
        <v>0</v>
      </c>
      <c r="I639" s="55">
        <f t="shared" si="57"/>
        <v>-5.2030000000000003</v>
      </c>
      <c r="J639" s="492"/>
    </row>
    <row r="640" spans="1:10" s="50" customFormat="1" ht="15.75" hidden="1" customHeight="1" x14ac:dyDescent="0.3">
      <c r="A640" s="133" t="s">
        <v>370</v>
      </c>
      <c r="B640" s="52">
        <v>37083</v>
      </c>
      <c r="C640" s="53" t="s">
        <v>277</v>
      </c>
      <c r="D640" s="138">
        <f t="shared" si="56"/>
        <v>-80.600000000000009</v>
      </c>
      <c r="E640" s="54">
        <v>-1.232</v>
      </c>
      <c r="F640" s="45">
        <v>2.3E-2</v>
      </c>
      <c r="G640" s="45">
        <v>0</v>
      </c>
      <c r="H640" s="45">
        <v>0</v>
      </c>
      <c r="I640" s="55">
        <f t="shared" si="57"/>
        <v>-1.2090000000000001</v>
      </c>
      <c r="J640" s="492"/>
    </row>
    <row r="641" spans="1:10" s="50" customFormat="1" ht="15.75" hidden="1" customHeight="1" x14ac:dyDescent="0.3">
      <c r="A641" s="133" t="s">
        <v>371</v>
      </c>
      <c r="B641" s="52">
        <v>37083</v>
      </c>
      <c r="C641" s="53" t="s">
        <v>277</v>
      </c>
      <c r="D641" s="138">
        <f t="shared" si="56"/>
        <v>-633.53333333333342</v>
      </c>
      <c r="E641" s="54">
        <v>-9.673</v>
      </c>
      <c r="F641" s="45">
        <v>0.17</v>
      </c>
      <c r="G641" s="45">
        <v>0</v>
      </c>
      <c r="H641" s="45">
        <v>0</v>
      </c>
      <c r="I641" s="55">
        <f t="shared" si="57"/>
        <v>-9.5030000000000001</v>
      </c>
      <c r="J641" s="492"/>
    </row>
    <row r="642" spans="1:10" s="50" customFormat="1" ht="15.75" hidden="1" customHeight="1" x14ac:dyDescent="0.3">
      <c r="A642" s="133" t="s">
        <v>372</v>
      </c>
      <c r="B642" s="52">
        <v>37083</v>
      </c>
      <c r="C642" s="53" t="s">
        <v>277</v>
      </c>
      <c r="D642" s="138">
        <f t="shared" si="56"/>
        <v>-691.2</v>
      </c>
      <c r="E642" s="54">
        <v>-10.568</v>
      </c>
      <c r="F642" s="45">
        <v>0.2</v>
      </c>
      <c r="G642" s="45">
        <v>0</v>
      </c>
      <c r="H642" s="45">
        <v>0</v>
      </c>
      <c r="I642" s="55">
        <f t="shared" si="57"/>
        <v>-10.368</v>
      </c>
      <c r="J642" s="492"/>
    </row>
    <row r="643" spans="1:10" s="50" customFormat="1" ht="15.75" hidden="1" customHeight="1" x14ac:dyDescent="0.3">
      <c r="A643" s="133" t="s">
        <v>373</v>
      </c>
      <c r="B643" s="52">
        <v>37083</v>
      </c>
      <c r="C643" s="53" t="s">
        <v>277</v>
      </c>
      <c r="D643" s="138">
        <f t="shared" si="56"/>
        <v>-43.533333333333339</v>
      </c>
      <c r="E643" s="54">
        <v>-0.66600000000000004</v>
      </c>
      <c r="F643" s="45">
        <v>1.2999999999999999E-2</v>
      </c>
      <c r="G643" s="45">
        <v>0</v>
      </c>
      <c r="H643" s="45">
        <v>0</v>
      </c>
      <c r="I643" s="55">
        <f t="shared" si="57"/>
        <v>-0.65300000000000002</v>
      </c>
      <c r="J643" s="492"/>
    </row>
    <row r="644" spans="1:10" s="50" customFormat="1" ht="15.75" hidden="1" customHeight="1" x14ac:dyDescent="0.3">
      <c r="A644" s="133" t="s">
        <v>374</v>
      </c>
      <c r="B644" s="52">
        <v>37083</v>
      </c>
      <c r="C644" s="53" t="s">
        <v>277</v>
      </c>
      <c r="D644" s="138">
        <f t="shared" si="56"/>
        <v>-81.26666666666668</v>
      </c>
      <c r="E644" s="54">
        <v>-1.2390000000000001</v>
      </c>
      <c r="F644" s="45">
        <v>0.02</v>
      </c>
      <c r="G644" s="45">
        <v>0</v>
      </c>
      <c r="H644" s="45">
        <v>0</v>
      </c>
      <c r="I644" s="55">
        <f t="shared" si="57"/>
        <v>-1.2190000000000001</v>
      </c>
      <c r="J644" s="492"/>
    </row>
    <row r="645" spans="1:10" s="50" customFormat="1" ht="15.75" hidden="1" customHeight="1" x14ac:dyDescent="0.3">
      <c r="A645" s="133" t="s">
        <v>375</v>
      </c>
      <c r="B645" s="52">
        <v>37083</v>
      </c>
      <c r="C645" s="53" t="s">
        <v>277</v>
      </c>
      <c r="D645" s="138">
        <f t="shared" si="56"/>
        <v>-70.933333333333337</v>
      </c>
      <c r="E645" s="54">
        <v>-1.085</v>
      </c>
      <c r="F645" s="45">
        <v>2.1000000000000001E-2</v>
      </c>
      <c r="G645" s="45">
        <v>0</v>
      </c>
      <c r="H645" s="45">
        <v>0</v>
      </c>
      <c r="I645" s="55">
        <f t="shared" si="57"/>
        <v>-1.0640000000000001</v>
      </c>
      <c r="J645" s="492"/>
    </row>
    <row r="646" spans="1:10" s="50" customFormat="1" ht="15.75" hidden="1" customHeight="1" x14ac:dyDescent="0.3">
      <c r="A646" s="133" t="s">
        <v>376</v>
      </c>
      <c r="B646" s="52">
        <v>37083</v>
      </c>
      <c r="C646" s="53" t="s">
        <v>277</v>
      </c>
      <c r="D646" s="138">
        <f t="shared" si="56"/>
        <v>973.80000000000007</v>
      </c>
      <c r="E646" s="54">
        <v>14.829000000000001</v>
      </c>
      <c r="F646" s="45">
        <v>-0.222</v>
      </c>
      <c r="G646" s="45">
        <v>0</v>
      </c>
      <c r="H646" s="45">
        <v>0</v>
      </c>
      <c r="I646" s="55">
        <f t="shared" si="57"/>
        <v>14.607000000000001</v>
      </c>
      <c r="J646" s="492"/>
    </row>
    <row r="647" spans="1:10" s="50" customFormat="1" ht="15.6" hidden="1" x14ac:dyDescent="0.3">
      <c r="A647" s="133" t="s">
        <v>377</v>
      </c>
      <c r="B647" s="52">
        <v>37083</v>
      </c>
      <c r="C647" s="53" t="s">
        <v>277</v>
      </c>
      <c r="D647" s="138">
        <f t="shared" si="56"/>
        <v>4550.4666666666672</v>
      </c>
      <c r="E647" s="54">
        <v>69.777000000000001</v>
      </c>
      <c r="F647" s="45">
        <v>-1.52</v>
      </c>
      <c r="G647" s="45">
        <v>0</v>
      </c>
      <c r="H647" s="45">
        <v>0</v>
      </c>
      <c r="I647" s="55">
        <f t="shared" si="57"/>
        <v>68.257000000000005</v>
      </c>
      <c r="J647" s="492"/>
    </row>
    <row r="648" spans="1:10" s="50" customFormat="1" ht="15.6" hidden="1" x14ac:dyDescent="0.3">
      <c r="A648" s="133" t="s">
        <v>378</v>
      </c>
      <c r="B648" s="52">
        <v>37083</v>
      </c>
      <c r="C648" s="53" t="s">
        <v>277</v>
      </c>
      <c r="D648" s="138">
        <f t="shared" si="56"/>
        <v>4381.8</v>
      </c>
      <c r="E648" s="54">
        <v>67.241</v>
      </c>
      <c r="F648" s="45">
        <v>-1.514</v>
      </c>
      <c r="G648" s="45">
        <v>0</v>
      </c>
      <c r="H648" s="45">
        <v>0</v>
      </c>
      <c r="I648" s="55">
        <f t="shared" si="57"/>
        <v>65.727000000000004</v>
      </c>
      <c r="J648" s="492"/>
    </row>
    <row r="649" spans="1:10" s="50" customFormat="1" ht="15.6" hidden="1" x14ac:dyDescent="0.3">
      <c r="A649" s="437" t="s">
        <v>659</v>
      </c>
      <c r="B649" s="52"/>
      <c r="C649" s="53"/>
      <c r="D649" s="138">
        <f t="shared" si="56"/>
        <v>2954.3333333333335</v>
      </c>
      <c r="E649" s="54">
        <v>45.274000000000001</v>
      </c>
      <c r="F649" s="45">
        <v>-0.95899999999999996</v>
      </c>
      <c r="G649" s="45">
        <v>0</v>
      </c>
      <c r="H649" s="45">
        <v>0</v>
      </c>
      <c r="I649" s="55">
        <f>SUM(E649:H649)</f>
        <v>44.314999999999998</v>
      </c>
      <c r="J649" s="492"/>
    </row>
    <row r="650" spans="1:10" s="50" customFormat="1" ht="15.6" hidden="1" x14ac:dyDescent="0.3">
      <c r="A650" s="133" t="s">
        <v>379</v>
      </c>
      <c r="B650" s="52">
        <v>37091</v>
      </c>
      <c r="C650" s="53" t="s">
        <v>277</v>
      </c>
      <c r="D650" s="138">
        <f t="shared" si="56"/>
        <v>6759.4</v>
      </c>
      <c r="E650" s="54">
        <v>103.553</v>
      </c>
      <c r="F650" s="45">
        <v>-2.1619999999999999</v>
      </c>
      <c r="G650" s="45">
        <v>0</v>
      </c>
      <c r="H650" s="45">
        <v>0</v>
      </c>
      <c r="I650" s="55">
        <f t="shared" si="57"/>
        <v>101.39099999999999</v>
      </c>
      <c r="J650" s="492"/>
    </row>
    <row r="651" spans="1:10" s="50" customFormat="1" ht="15.6" hidden="1" x14ac:dyDescent="0.3">
      <c r="A651" s="133" t="s">
        <v>380</v>
      </c>
      <c r="B651" s="52">
        <v>37091</v>
      </c>
      <c r="C651" s="53" t="s">
        <v>277</v>
      </c>
      <c r="D651" s="138">
        <f t="shared" si="56"/>
        <v>832.66666666666674</v>
      </c>
      <c r="E651" s="54">
        <v>12.768000000000001</v>
      </c>
      <c r="F651" s="45">
        <v>-0.27800000000000002</v>
      </c>
      <c r="G651" s="45">
        <v>0</v>
      </c>
      <c r="H651" s="45">
        <v>0</v>
      </c>
      <c r="I651" s="55">
        <f t="shared" si="57"/>
        <v>12.49</v>
      </c>
      <c r="J651" s="492"/>
    </row>
    <row r="652" spans="1:10" s="50" customFormat="1" ht="15.6" hidden="1" x14ac:dyDescent="0.3">
      <c r="A652" s="133" t="s">
        <v>381</v>
      </c>
      <c r="B652" s="52">
        <v>37091</v>
      </c>
      <c r="C652" s="53" t="s">
        <v>277</v>
      </c>
      <c r="D652" s="138">
        <f t="shared" si="56"/>
        <v>5787.8666666666668</v>
      </c>
      <c r="E652" s="54">
        <v>88.867000000000004</v>
      </c>
      <c r="F652" s="45">
        <v>-2.0489999999999999</v>
      </c>
      <c r="G652" s="45">
        <v>0</v>
      </c>
      <c r="H652" s="45">
        <v>0</v>
      </c>
      <c r="I652" s="55">
        <f t="shared" si="57"/>
        <v>86.817999999999998</v>
      </c>
      <c r="J652" s="492"/>
    </row>
    <row r="653" spans="1:10" s="50" customFormat="1" ht="15.6" hidden="1" x14ac:dyDescent="0.3">
      <c r="A653" s="133" t="s">
        <v>382</v>
      </c>
      <c r="B653" s="52">
        <v>37091</v>
      </c>
      <c r="C653" s="53" t="s">
        <v>277</v>
      </c>
      <c r="D653" s="138">
        <f t="shared" si="56"/>
        <v>5021.1333333333341</v>
      </c>
      <c r="E653" s="54">
        <v>77.257000000000005</v>
      </c>
      <c r="F653" s="45">
        <v>-1.94</v>
      </c>
      <c r="G653" s="45">
        <v>0</v>
      </c>
      <c r="H653" s="45">
        <v>0</v>
      </c>
      <c r="I653" s="55">
        <f t="shared" si="57"/>
        <v>75.317000000000007</v>
      </c>
      <c r="J653" s="492"/>
    </row>
    <row r="654" spans="1:10" s="50" customFormat="1" ht="15.6" hidden="1" x14ac:dyDescent="0.3">
      <c r="A654" s="133" t="s">
        <v>383</v>
      </c>
      <c r="B654" s="52">
        <v>37091</v>
      </c>
      <c r="C654" s="53" t="s">
        <v>277</v>
      </c>
      <c r="D654" s="138">
        <f t="shared" si="56"/>
        <v>2352.0666666666666</v>
      </c>
      <c r="E654" s="54">
        <v>48.259</v>
      </c>
      <c r="F654" s="45">
        <v>-12.978</v>
      </c>
      <c r="G654" s="45">
        <v>0</v>
      </c>
      <c r="H654" s="45">
        <v>0</v>
      </c>
      <c r="I654" s="55">
        <f t="shared" si="57"/>
        <v>35.280999999999999</v>
      </c>
      <c r="J654" s="492"/>
    </row>
    <row r="655" spans="1:10" s="50" customFormat="1" ht="15.6" hidden="1" x14ac:dyDescent="0.3">
      <c r="A655" s="133" t="s">
        <v>384</v>
      </c>
      <c r="B655" s="52">
        <v>37091</v>
      </c>
      <c r="C655" s="53" t="s">
        <v>277</v>
      </c>
      <c r="D655" s="138">
        <f t="shared" si="56"/>
        <v>3434.5333333333333</v>
      </c>
      <c r="E655" s="54">
        <v>61.369</v>
      </c>
      <c r="F655" s="45">
        <v>-9.8510000000000009</v>
      </c>
      <c r="G655" s="45">
        <v>0</v>
      </c>
      <c r="H655" s="45">
        <v>0</v>
      </c>
      <c r="I655" s="55">
        <f t="shared" si="57"/>
        <v>51.518000000000001</v>
      </c>
      <c r="J655" s="492"/>
    </row>
    <row r="656" spans="1:10" s="50" customFormat="1" ht="15.6" hidden="1" x14ac:dyDescent="0.3">
      <c r="A656" s="133" t="s">
        <v>385</v>
      </c>
      <c r="B656" s="52">
        <v>37091</v>
      </c>
      <c r="C656" s="53" t="s">
        <v>277</v>
      </c>
      <c r="D656" s="138">
        <f t="shared" si="56"/>
        <v>-270.73333333333335</v>
      </c>
      <c r="E656" s="54">
        <v>-4.1310000000000002</v>
      </c>
      <c r="F656" s="45">
        <v>7.0000000000000007E-2</v>
      </c>
      <c r="G656" s="45">
        <v>0</v>
      </c>
      <c r="H656" s="45">
        <v>0</v>
      </c>
      <c r="I656" s="55">
        <f t="shared" si="57"/>
        <v>-4.0609999999999999</v>
      </c>
      <c r="J656" s="492"/>
    </row>
    <row r="657" spans="1:255" s="50" customFormat="1" ht="15.6" hidden="1" x14ac:dyDescent="0.3">
      <c r="A657" s="133" t="s">
        <v>386</v>
      </c>
      <c r="B657" s="52">
        <v>37091</v>
      </c>
      <c r="C657" s="53" t="s">
        <v>277</v>
      </c>
      <c r="D657" s="138">
        <f t="shared" si="56"/>
        <v>-633.26666666666677</v>
      </c>
      <c r="E657" s="54">
        <v>-9.6669999999999998</v>
      </c>
      <c r="F657" s="45">
        <v>0.16800000000000001</v>
      </c>
      <c r="G657" s="45">
        <v>0</v>
      </c>
      <c r="H657" s="45">
        <v>0</v>
      </c>
      <c r="I657" s="55">
        <f t="shared" si="57"/>
        <v>-9.4990000000000006</v>
      </c>
      <c r="J657" s="492"/>
    </row>
    <row r="658" spans="1:255" s="50" customFormat="1" ht="15.6" hidden="1" x14ac:dyDescent="0.3">
      <c r="A658" s="133" t="s">
        <v>387</v>
      </c>
      <c r="B658" s="52">
        <v>37091</v>
      </c>
      <c r="C658" s="53" t="s">
        <v>277</v>
      </c>
      <c r="D658" s="138">
        <f t="shared" si="56"/>
        <v>-118.93333333333334</v>
      </c>
      <c r="E658" s="54">
        <v>-1.875</v>
      </c>
      <c r="F658" s="45">
        <v>9.0999999999999998E-2</v>
      </c>
      <c r="G658" s="45">
        <v>0</v>
      </c>
      <c r="H658" s="45">
        <v>0</v>
      </c>
      <c r="I658" s="55">
        <f t="shared" si="57"/>
        <v>-1.784</v>
      </c>
      <c r="J658" s="492"/>
    </row>
    <row r="659" spans="1:255" s="50" customFormat="1" ht="15.6" hidden="1" x14ac:dyDescent="0.3">
      <c r="A659" s="133" t="s">
        <v>388</v>
      </c>
      <c r="B659" s="52">
        <v>37091</v>
      </c>
      <c r="C659" s="53" t="s">
        <v>277</v>
      </c>
      <c r="D659" s="138">
        <f t="shared" si="56"/>
        <v>-1307.8666666666668</v>
      </c>
      <c r="E659" s="54">
        <v>-19.977</v>
      </c>
      <c r="F659" s="45">
        <v>0.35899999999999999</v>
      </c>
      <c r="G659" s="45">
        <v>0</v>
      </c>
      <c r="H659" s="45">
        <v>0</v>
      </c>
      <c r="I659" s="55">
        <f t="shared" si="57"/>
        <v>-19.618000000000002</v>
      </c>
      <c r="J659" s="492"/>
    </row>
    <row r="660" spans="1:255" s="50" customFormat="1" ht="15.6" hidden="1" x14ac:dyDescent="0.3">
      <c r="A660" s="133" t="s">
        <v>389</v>
      </c>
      <c r="B660" s="52">
        <v>37091</v>
      </c>
      <c r="C660" s="53" t="s">
        <v>277</v>
      </c>
      <c r="D660" s="138">
        <f t="shared" si="56"/>
        <v>-253.06666666666669</v>
      </c>
      <c r="E660" s="54">
        <v>-3.8540000000000001</v>
      </c>
      <c r="F660" s="45">
        <v>5.8000000000000003E-2</v>
      </c>
      <c r="G660" s="45">
        <v>0</v>
      </c>
      <c r="H660" s="45">
        <v>0</v>
      </c>
      <c r="I660" s="55">
        <f t="shared" si="57"/>
        <v>-3.7960000000000003</v>
      </c>
      <c r="J660" s="492"/>
    </row>
    <row r="661" spans="1:255" s="50" customFormat="1" ht="15.6" hidden="1" x14ac:dyDescent="0.3">
      <c r="A661" s="133" t="s">
        <v>390</v>
      </c>
      <c r="B661" s="52">
        <v>37091</v>
      </c>
      <c r="C661" s="53" t="s">
        <v>277</v>
      </c>
      <c r="D661" s="138">
        <f t="shared" si="56"/>
        <v>-34.266666666666666</v>
      </c>
      <c r="E661" s="54">
        <v>-0.52500000000000002</v>
      </c>
      <c r="F661" s="45">
        <v>1.0999999999999999E-2</v>
      </c>
      <c r="G661" s="45">
        <v>0</v>
      </c>
      <c r="H661" s="45">
        <v>0</v>
      </c>
      <c r="I661" s="55">
        <f t="shared" si="57"/>
        <v>-0.51400000000000001</v>
      </c>
      <c r="J661" s="492"/>
    </row>
    <row r="662" spans="1:255" s="50" customFormat="1" ht="15.6" hidden="1" x14ac:dyDescent="0.3">
      <c r="A662" s="133" t="s">
        <v>391</v>
      </c>
      <c r="B662" s="52">
        <v>37091</v>
      </c>
      <c r="C662" s="53" t="s">
        <v>277</v>
      </c>
      <c r="D662" s="138">
        <f t="shared" si="56"/>
        <v>-465.13333333333338</v>
      </c>
      <c r="E662" s="54">
        <v>-7.1070000000000002</v>
      </c>
      <c r="F662" s="45">
        <v>0.13</v>
      </c>
      <c r="G662" s="45">
        <v>0</v>
      </c>
      <c r="H662" s="45">
        <v>0</v>
      </c>
      <c r="I662" s="55">
        <f t="shared" si="57"/>
        <v>-6.9770000000000003</v>
      </c>
      <c r="J662" s="492"/>
    </row>
    <row r="663" spans="1:255" s="50" customFormat="1" ht="15.6" hidden="1" x14ac:dyDescent="0.3">
      <c r="A663" s="133" t="s">
        <v>392</v>
      </c>
      <c r="B663" s="52">
        <v>37091</v>
      </c>
      <c r="C663" s="53" t="s">
        <v>277</v>
      </c>
      <c r="D663" s="138">
        <f t="shared" si="56"/>
        <v>-562.53333333333342</v>
      </c>
      <c r="E663" s="54">
        <v>-8.593</v>
      </c>
      <c r="F663" s="45">
        <v>0.155</v>
      </c>
      <c r="G663" s="45">
        <v>0</v>
      </c>
      <c r="H663" s="45">
        <v>0</v>
      </c>
      <c r="I663" s="55">
        <f t="shared" si="57"/>
        <v>-8.4380000000000006</v>
      </c>
      <c r="J663" s="492"/>
    </row>
    <row r="664" spans="1:255" s="50" customFormat="1" ht="15.6" hidden="1" x14ac:dyDescent="0.3">
      <c r="A664" s="133" t="s">
        <v>393</v>
      </c>
      <c r="B664" s="52">
        <v>37091</v>
      </c>
      <c r="C664" s="53" t="s">
        <v>277</v>
      </c>
      <c r="D664" s="138">
        <f t="shared" si="56"/>
        <v>-244.93333333333334</v>
      </c>
      <c r="E664" s="54">
        <v>-3.7309999999999999</v>
      </c>
      <c r="F664" s="45">
        <v>5.7000000000000002E-2</v>
      </c>
      <c r="G664" s="45">
        <v>0</v>
      </c>
      <c r="H664" s="45">
        <v>0</v>
      </c>
      <c r="I664" s="55">
        <f t="shared" si="57"/>
        <v>-3.6739999999999999</v>
      </c>
      <c r="J664" s="492"/>
    </row>
    <row r="665" spans="1:255" s="50" customFormat="1" ht="15.6" hidden="1" x14ac:dyDescent="0.3">
      <c r="A665" s="133" t="s">
        <v>394</v>
      </c>
      <c r="B665" s="52">
        <v>37098</v>
      </c>
      <c r="C665" s="53" t="s">
        <v>277</v>
      </c>
      <c r="D665" s="417">
        <f>I665/0.03</f>
        <v>2077.1333333333332</v>
      </c>
      <c r="E665" s="54">
        <v>85.382999999999996</v>
      </c>
      <c r="F665" s="45">
        <v>-23.068999999999999</v>
      </c>
      <c r="G665" s="45"/>
      <c r="H665" s="45"/>
      <c r="I665" s="55">
        <f t="shared" si="57"/>
        <v>62.313999999999993</v>
      </c>
      <c r="J665" s="492"/>
    </row>
    <row r="666" spans="1:255" s="50" customFormat="1" ht="15.6" hidden="1" x14ac:dyDescent="0.3">
      <c r="A666" s="133" t="s">
        <v>395</v>
      </c>
      <c r="B666" s="52">
        <v>37098</v>
      </c>
      <c r="C666" s="53" t="s">
        <v>277</v>
      </c>
      <c r="D666" s="417">
        <f>I666/0.03</f>
        <v>-645.20000000000005</v>
      </c>
      <c r="E666" s="54">
        <v>-19.699000000000002</v>
      </c>
      <c r="F666" s="45">
        <v>0.34300000000000003</v>
      </c>
      <c r="G666" s="45"/>
      <c r="H666" s="45"/>
      <c r="I666" s="55">
        <f t="shared" si="57"/>
        <v>-19.356000000000002</v>
      </c>
      <c r="J666" s="492"/>
    </row>
    <row r="667" spans="1:255" s="62" customFormat="1" ht="15.6" hidden="1" x14ac:dyDescent="0.3">
      <c r="A667" s="133" t="s">
        <v>396</v>
      </c>
      <c r="B667" s="52">
        <v>37098</v>
      </c>
      <c r="C667" s="53" t="s">
        <v>277</v>
      </c>
      <c r="D667" s="417">
        <f>I667/0.03</f>
        <v>-88.333333333333329</v>
      </c>
      <c r="E667" s="54">
        <v>-3.4550000000000001</v>
      </c>
      <c r="F667" s="45">
        <v>0.80500000000000005</v>
      </c>
      <c r="G667" s="45"/>
      <c r="H667" s="45"/>
      <c r="I667" s="55">
        <f t="shared" si="57"/>
        <v>-2.65</v>
      </c>
      <c r="J667" s="492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  <c r="BT667" s="50"/>
      <c r="BU667" s="50"/>
      <c r="BV667" s="50"/>
      <c r="BW667" s="50"/>
      <c r="BX667" s="50"/>
      <c r="BY667" s="50"/>
      <c r="BZ667" s="50"/>
      <c r="CA667" s="50"/>
      <c r="CB667" s="50"/>
      <c r="CC667" s="50"/>
      <c r="CD667" s="50"/>
      <c r="CE667" s="50"/>
      <c r="CF667" s="50"/>
      <c r="CG667" s="50"/>
      <c r="CH667" s="50"/>
      <c r="CI667" s="50"/>
      <c r="CJ667" s="50"/>
      <c r="CK667" s="50"/>
      <c r="CL667" s="50"/>
      <c r="CM667" s="50"/>
      <c r="CN667" s="50"/>
      <c r="CO667" s="50"/>
      <c r="CP667" s="50"/>
      <c r="CQ667" s="50"/>
      <c r="CR667" s="50"/>
      <c r="CS667" s="50"/>
      <c r="CT667" s="50"/>
      <c r="CU667" s="50"/>
      <c r="CV667" s="50"/>
      <c r="CW667" s="50"/>
      <c r="CX667" s="50"/>
      <c r="CY667" s="50"/>
      <c r="CZ667" s="50"/>
      <c r="DA667" s="50"/>
      <c r="DB667" s="50"/>
      <c r="DC667" s="50"/>
      <c r="DD667" s="50"/>
      <c r="DE667" s="50"/>
      <c r="DF667" s="50"/>
      <c r="DG667" s="50"/>
      <c r="DH667" s="50"/>
      <c r="DI667" s="50"/>
      <c r="DJ667" s="50"/>
      <c r="DK667" s="50"/>
      <c r="DL667" s="50"/>
      <c r="DM667" s="50"/>
      <c r="DN667" s="50"/>
      <c r="DO667" s="50"/>
      <c r="DP667" s="50"/>
      <c r="DQ667" s="50"/>
      <c r="DR667" s="50"/>
      <c r="DS667" s="50"/>
      <c r="DT667" s="50"/>
      <c r="DU667" s="50"/>
      <c r="DV667" s="50"/>
      <c r="DW667" s="50"/>
      <c r="DX667" s="50"/>
      <c r="DY667" s="50"/>
      <c r="DZ667" s="50"/>
      <c r="EA667" s="50"/>
      <c r="EB667" s="50"/>
      <c r="EC667" s="50"/>
      <c r="ED667" s="50"/>
      <c r="EE667" s="50"/>
      <c r="EF667" s="50"/>
      <c r="EG667" s="50"/>
      <c r="EH667" s="50"/>
      <c r="EI667" s="50"/>
      <c r="EJ667" s="50"/>
      <c r="EK667" s="50"/>
      <c r="EL667" s="50"/>
      <c r="EM667" s="50"/>
      <c r="EN667" s="50"/>
      <c r="EO667" s="50"/>
      <c r="EP667" s="50"/>
      <c r="EQ667" s="50"/>
      <c r="ER667" s="50"/>
      <c r="ES667" s="50"/>
      <c r="ET667" s="50"/>
      <c r="EU667" s="50"/>
      <c r="EV667" s="50"/>
      <c r="EW667" s="50"/>
      <c r="EX667" s="50"/>
      <c r="EY667" s="50"/>
      <c r="EZ667" s="50"/>
      <c r="FA667" s="50"/>
      <c r="FB667" s="50"/>
      <c r="FC667" s="50"/>
      <c r="FD667" s="50"/>
      <c r="FE667" s="50"/>
      <c r="FF667" s="50"/>
      <c r="FG667" s="50"/>
      <c r="FH667" s="50"/>
      <c r="FI667" s="50"/>
      <c r="FJ667" s="50"/>
      <c r="FK667" s="50"/>
      <c r="FL667" s="50"/>
      <c r="FM667" s="50"/>
      <c r="FN667" s="50"/>
      <c r="FO667" s="50"/>
      <c r="FP667" s="50"/>
      <c r="FQ667" s="50"/>
      <c r="FR667" s="50"/>
      <c r="FS667" s="50"/>
      <c r="FT667" s="50"/>
      <c r="FU667" s="50"/>
      <c r="FV667" s="50"/>
      <c r="FW667" s="50"/>
      <c r="FX667" s="50"/>
      <c r="FY667" s="50"/>
      <c r="FZ667" s="50"/>
      <c r="GA667" s="50"/>
      <c r="GB667" s="50"/>
      <c r="GC667" s="50"/>
      <c r="GD667" s="50"/>
      <c r="GE667" s="50"/>
      <c r="GF667" s="50"/>
      <c r="GG667" s="50"/>
      <c r="GH667" s="50"/>
      <c r="GI667" s="50"/>
      <c r="GJ667" s="50"/>
      <c r="GK667" s="50"/>
      <c r="GL667" s="50"/>
      <c r="GM667" s="50"/>
      <c r="GN667" s="50"/>
      <c r="GO667" s="50"/>
      <c r="GP667" s="50"/>
      <c r="GQ667" s="50"/>
      <c r="GR667" s="50"/>
      <c r="GS667" s="50"/>
      <c r="GT667" s="50"/>
      <c r="GU667" s="50"/>
      <c r="GV667" s="50"/>
      <c r="GW667" s="50"/>
      <c r="GX667" s="50"/>
      <c r="GY667" s="50"/>
      <c r="GZ667" s="50"/>
      <c r="HA667" s="50"/>
      <c r="HB667" s="50"/>
      <c r="HC667" s="50"/>
      <c r="HD667" s="50"/>
      <c r="HE667" s="50"/>
      <c r="HF667" s="50"/>
      <c r="HG667" s="50"/>
      <c r="HH667" s="50"/>
      <c r="HI667" s="50"/>
      <c r="HJ667" s="50"/>
      <c r="HK667" s="50"/>
      <c r="HL667" s="50"/>
      <c r="HM667" s="50"/>
      <c r="HN667" s="50"/>
      <c r="HO667" s="50"/>
      <c r="HP667" s="50"/>
      <c r="HQ667" s="50"/>
      <c r="HR667" s="50"/>
      <c r="HS667" s="50"/>
      <c r="HT667" s="50"/>
      <c r="HU667" s="50"/>
      <c r="HV667" s="50"/>
      <c r="HW667" s="50"/>
      <c r="HX667" s="50"/>
      <c r="HY667" s="50"/>
      <c r="HZ667" s="50"/>
      <c r="IA667" s="50"/>
      <c r="IB667" s="50"/>
      <c r="IC667" s="50"/>
      <c r="ID667" s="50"/>
      <c r="IE667" s="50"/>
      <c r="IF667" s="50"/>
      <c r="IG667" s="50"/>
      <c r="IH667" s="50"/>
      <c r="II667" s="50"/>
      <c r="IJ667" s="50"/>
      <c r="IK667" s="50"/>
      <c r="IL667" s="50"/>
      <c r="IM667" s="50"/>
      <c r="IN667" s="50"/>
      <c r="IO667" s="50"/>
      <c r="IP667" s="50"/>
      <c r="IQ667" s="50"/>
      <c r="IR667" s="50"/>
      <c r="IS667" s="50"/>
      <c r="IT667" s="50"/>
      <c r="IU667" s="50"/>
    </row>
    <row r="668" spans="1:255" s="62" customFormat="1" ht="15.6" hidden="1" x14ac:dyDescent="0.3">
      <c r="A668" s="133" t="s">
        <v>397</v>
      </c>
      <c r="B668" s="52">
        <v>37098</v>
      </c>
      <c r="C668" s="53" t="s">
        <v>277</v>
      </c>
      <c r="D668" s="417">
        <f>I668/0.03</f>
        <v>2112.8333333333335</v>
      </c>
      <c r="E668" s="54">
        <v>86.811999999999998</v>
      </c>
      <c r="F668" s="45">
        <v>-23.427</v>
      </c>
      <c r="G668" s="45"/>
      <c r="H668" s="45"/>
      <c r="I668" s="55">
        <f t="shared" si="57"/>
        <v>63.384999999999998</v>
      </c>
      <c r="J668" s="492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  <c r="BT668" s="50"/>
      <c r="BU668" s="50"/>
      <c r="BV668" s="50"/>
      <c r="BW668" s="50"/>
      <c r="BX668" s="50"/>
      <c r="BY668" s="50"/>
      <c r="BZ668" s="50"/>
      <c r="CA668" s="50"/>
      <c r="CB668" s="50"/>
      <c r="CC668" s="50"/>
      <c r="CD668" s="50"/>
      <c r="CE668" s="50"/>
      <c r="CF668" s="50"/>
      <c r="CG668" s="50"/>
      <c r="CH668" s="50"/>
      <c r="CI668" s="50"/>
      <c r="CJ668" s="50"/>
      <c r="CK668" s="50"/>
      <c r="CL668" s="50"/>
      <c r="CM668" s="50"/>
      <c r="CN668" s="50"/>
      <c r="CO668" s="50"/>
      <c r="CP668" s="50"/>
      <c r="CQ668" s="50"/>
      <c r="CR668" s="50"/>
      <c r="CS668" s="50"/>
      <c r="CT668" s="50"/>
      <c r="CU668" s="50"/>
      <c r="CV668" s="50"/>
      <c r="CW668" s="50"/>
      <c r="CX668" s="50"/>
      <c r="CY668" s="50"/>
      <c r="CZ668" s="50"/>
      <c r="DA668" s="50"/>
      <c r="DB668" s="50"/>
      <c r="DC668" s="50"/>
      <c r="DD668" s="50"/>
      <c r="DE668" s="50"/>
      <c r="DF668" s="50"/>
      <c r="DG668" s="50"/>
      <c r="DH668" s="50"/>
      <c r="DI668" s="50"/>
      <c r="DJ668" s="50"/>
      <c r="DK668" s="50"/>
      <c r="DL668" s="50"/>
      <c r="DM668" s="50"/>
      <c r="DN668" s="50"/>
      <c r="DO668" s="50"/>
      <c r="DP668" s="50"/>
      <c r="DQ668" s="50"/>
      <c r="DR668" s="50"/>
      <c r="DS668" s="50"/>
      <c r="DT668" s="50"/>
      <c r="DU668" s="50"/>
      <c r="DV668" s="50"/>
      <c r="DW668" s="50"/>
      <c r="DX668" s="50"/>
      <c r="DY668" s="50"/>
      <c r="DZ668" s="50"/>
      <c r="EA668" s="50"/>
      <c r="EB668" s="50"/>
      <c r="EC668" s="50"/>
      <c r="ED668" s="50"/>
      <c r="EE668" s="50"/>
      <c r="EF668" s="50"/>
      <c r="EG668" s="50"/>
      <c r="EH668" s="50"/>
      <c r="EI668" s="50"/>
      <c r="EJ668" s="50"/>
      <c r="EK668" s="50"/>
      <c r="EL668" s="50"/>
      <c r="EM668" s="50"/>
      <c r="EN668" s="50"/>
      <c r="EO668" s="50"/>
      <c r="EP668" s="50"/>
      <c r="EQ668" s="50"/>
      <c r="ER668" s="50"/>
      <c r="ES668" s="50"/>
      <c r="ET668" s="50"/>
      <c r="EU668" s="50"/>
      <c r="EV668" s="50"/>
      <c r="EW668" s="50"/>
      <c r="EX668" s="50"/>
      <c r="EY668" s="50"/>
      <c r="EZ668" s="50"/>
      <c r="FA668" s="50"/>
      <c r="FB668" s="50"/>
      <c r="FC668" s="50"/>
      <c r="FD668" s="50"/>
      <c r="FE668" s="50"/>
      <c r="FF668" s="50"/>
      <c r="FG668" s="50"/>
      <c r="FH668" s="50"/>
      <c r="FI668" s="50"/>
      <c r="FJ668" s="50"/>
      <c r="FK668" s="50"/>
      <c r="FL668" s="50"/>
      <c r="FM668" s="50"/>
      <c r="FN668" s="50"/>
      <c r="FO668" s="50"/>
      <c r="FP668" s="50"/>
      <c r="FQ668" s="50"/>
      <c r="FR668" s="50"/>
      <c r="FS668" s="50"/>
      <c r="FT668" s="50"/>
      <c r="FU668" s="50"/>
      <c r="FV668" s="50"/>
      <c r="FW668" s="50"/>
      <c r="FX668" s="50"/>
      <c r="FY668" s="50"/>
      <c r="FZ668" s="50"/>
      <c r="GA668" s="50"/>
      <c r="GB668" s="50"/>
      <c r="GC668" s="50"/>
      <c r="GD668" s="50"/>
      <c r="GE668" s="50"/>
      <c r="GF668" s="50"/>
      <c r="GG668" s="50"/>
      <c r="GH668" s="50"/>
      <c r="GI668" s="50"/>
      <c r="GJ668" s="50"/>
      <c r="GK668" s="50"/>
      <c r="GL668" s="50"/>
      <c r="GM668" s="50"/>
      <c r="GN668" s="50"/>
      <c r="GO668" s="50"/>
      <c r="GP668" s="50"/>
      <c r="GQ668" s="50"/>
      <c r="GR668" s="50"/>
      <c r="GS668" s="50"/>
      <c r="GT668" s="50"/>
      <c r="GU668" s="50"/>
      <c r="GV668" s="50"/>
      <c r="GW668" s="50"/>
      <c r="GX668" s="50"/>
      <c r="GY668" s="50"/>
      <c r="GZ668" s="50"/>
      <c r="HA668" s="50"/>
      <c r="HB668" s="50"/>
      <c r="HC668" s="50"/>
      <c r="HD668" s="50"/>
      <c r="HE668" s="50"/>
      <c r="HF668" s="50"/>
      <c r="HG668" s="50"/>
      <c r="HH668" s="50"/>
      <c r="HI668" s="50"/>
      <c r="HJ668" s="50"/>
      <c r="HK668" s="50"/>
      <c r="HL668" s="50"/>
      <c r="HM668" s="50"/>
      <c r="HN668" s="50"/>
      <c r="HO668" s="50"/>
      <c r="HP668" s="50"/>
      <c r="HQ668" s="50"/>
      <c r="HR668" s="50"/>
      <c r="HS668" s="50"/>
      <c r="HT668" s="50"/>
      <c r="HU668" s="50"/>
      <c r="HV668" s="50"/>
      <c r="HW668" s="50"/>
      <c r="HX668" s="50"/>
      <c r="HY668" s="50"/>
      <c r="HZ668" s="50"/>
      <c r="IA668" s="50"/>
      <c r="IB668" s="50"/>
      <c r="IC668" s="50"/>
      <c r="ID668" s="50"/>
      <c r="IE668" s="50"/>
      <c r="IF668" s="50"/>
      <c r="IG668" s="50"/>
      <c r="IH668" s="50"/>
      <c r="II668" s="50"/>
      <c r="IJ668" s="50"/>
      <c r="IK668" s="50"/>
      <c r="IL668" s="50"/>
      <c r="IM668" s="50"/>
      <c r="IN668" s="50"/>
      <c r="IO668" s="50"/>
      <c r="IP668" s="50"/>
      <c r="IQ668" s="50"/>
      <c r="IR668" s="50"/>
      <c r="IS668" s="50"/>
      <c r="IT668" s="50"/>
      <c r="IU668" s="50"/>
    </row>
    <row r="669" spans="1:255" s="62" customFormat="1" ht="15.6" hidden="1" x14ac:dyDescent="0.3">
      <c r="A669" s="133" t="s">
        <v>398</v>
      </c>
      <c r="B669" s="52"/>
      <c r="C669" s="53"/>
      <c r="D669" s="138">
        <f t="shared" ref="D669:D674" si="58">I669/0.06</f>
        <v>1740.3333333333335</v>
      </c>
      <c r="E669" s="54">
        <v>142.85900000000001</v>
      </c>
      <c r="F669" s="45">
        <v>-38.439</v>
      </c>
      <c r="G669" s="45">
        <v>0</v>
      </c>
      <c r="H669" s="45"/>
      <c r="I669" s="55">
        <v>104.42</v>
      </c>
      <c r="J669" s="492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  <c r="BT669" s="50"/>
      <c r="BU669" s="50"/>
      <c r="BV669" s="50"/>
      <c r="BW669" s="50"/>
      <c r="BX669" s="50"/>
      <c r="BY669" s="50"/>
      <c r="BZ669" s="50"/>
      <c r="CA669" s="50"/>
      <c r="CB669" s="50"/>
      <c r="CC669" s="50"/>
      <c r="CD669" s="50"/>
      <c r="CE669" s="50"/>
      <c r="CF669" s="50"/>
      <c r="CG669" s="50"/>
      <c r="CH669" s="50"/>
      <c r="CI669" s="50"/>
      <c r="CJ669" s="50"/>
      <c r="CK669" s="50"/>
      <c r="CL669" s="50"/>
      <c r="CM669" s="50"/>
      <c r="CN669" s="50"/>
      <c r="CO669" s="50"/>
      <c r="CP669" s="50"/>
      <c r="CQ669" s="50"/>
      <c r="CR669" s="50"/>
      <c r="CS669" s="50"/>
      <c r="CT669" s="50"/>
      <c r="CU669" s="50"/>
      <c r="CV669" s="50"/>
      <c r="CW669" s="50"/>
      <c r="CX669" s="50"/>
      <c r="CY669" s="50"/>
      <c r="CZ669" s="50"/>
      <c r="DA669" s="50"/>
      <c r="DB669" s="50"/>
      <c r="DC669" s="50"/>
      <c r="DD669" s="50"/>
      <c r="DE669" s="50"/>
      <c r="DF669" s="50"/>
      <c r="DG669" s="50"/>
      <c r="DH669" s="50"/>
      <c r="DI669" s="50"/>
      <c r="DJ669" s="50"/>
      <c r="DK669" s="50"/>
      <c r="DL669" s="50"/>
      <c r="DM669" s="50"/>
      <c r="DN669" s="50"/>
      <c r="DO669" s="50"/>
      <c r="DP669" s="50"/>
      <c r="DQ669" s="50"/>
      <c r="DR669" s="50"/>
      <c r="DS669" s="50"/>
      <c r="DT669" s="50"/>
      <c r="DU669" s="50"/>
      <c r="DV669" s="50"/>
      <c r="DW669" s="50"/>
      <c r="DX669" s="50"/>
      <c r="DY669" s="50"/>
      <c r="DZ669" s="50"/>
      <c r="EA669" s="50"/>
      <c r="EB669" s="50"/>
      <c r="EC669" s="50"/>
      <c r="ED669" s="50"/>
      <c r="EE669" s="50"/>
      <c r="EF669" s="50"/>
      <c r="EG669" s="50"/>
      <c r="EH669" s="50"/>
      <c r="EI669" s="50"/>
      <c r="EJ669" s="50"/>
      <c r="EK669" s="50"/>
      <c r="EL669" s="50"/>
      <c r="EM669" s="50"/>
      <c r="EN669" s="50"/>
      <c r="EO669" s="50"/>
      <c r="EP669" s="50"/>
      <c r="EQ669" s="50"/>
      <c r="ER669" s="50"/>
      <c r="ES669" s="50"/>
      <c r="ET669" s="50"/>
      <c r="EU669" s="50"/>
      <c r="EV669" s="50"/>
      <c r="EW669" s="50"/>
      <c r="EX669" s="50"/>
      <c r="EY669" s="50"/>
      <c r="EZ669" s="50"/>
      <c r="FA669" s="50"/>
      <c r="FB669" s="50"/>
      <c r="FC669" s="50"/>
      <c r="FD669" s="50"/>
      <c r="FE669" s="50"/>
      <c r="FF669" s="50"/>
      <c r="FG669" s="50"/>
      <c r="FH669" s="50"/>
      <c r="FI669" s="50"/>
      <c r="FJ669" s="50"/>
      <c r="FK669" s="50"/>
      <c r="FL669" s="50"/>
      <c r="FM669" s="50"/>
      <c r="FN669" s="50"/>
      <c r="FO669" s="50"/>
      <c r="FP669" s="50"/>
      <c r="FQ669" s="50"/>
      <c r="FR669" s="50"/>
      <c r="FS669" s="50"/>
      <c r="FT669" s="50"/>
      <c r="FU669" s="50"/>
      <c r="FV669" s="50"/>
      <c r="FW669" s="50"/>
      <c r="FX669" s="50"/>
      <c r="FY669" s="50"/>
      <c r="FZ669" s="50"/>
      <c r="GA669" s="50"/>
      <c r="GB669" s="50"/>
      <c r="GC669" s="50"/>
      <c r="GD669" s="50"/>
      <c r="GE669" s="50"/>
      <c r="GF669" s="50"/>
      <c r="GG669" s="50"/>
      <c r="GH669" s="50"/>
      <c r="GI669" s="50"/>
      <c r="GJ669" s="50"/>
      <c r="GK669" s="50"/>
      <c r="GL669" s="50"/>
      <c r="GM669" s="50"/>
      <c r="GN669" s="50"/>
      <c r="GO669" s="50"/>
      <c r="GP669" s="50"/>
      <c r="GQ669" s="50"/>
      <c r="GR669" s="50"/>
      <c r="GS669" s="50"/>
      <c r="GT669" s="50"/>
      <c r="GU669" s="50"/>
      <c r="GV669" s="50"/>
      <c r="GW669" s="50"/>
      <c r="GX669" s="50"/>
      <c r="GY669" s="50"/>
      <c r="GZ669" s="50"/>
      <c r="HA669" s="50"/>
      <c r="HB669" s="50"/>
      <c r="HC669" s="50"/>
      <c r="HD669" s="50"/>
      <c r="HE669" s="50"/>
      <c r="HF669" s="50"/>
      <c r="HG669" s="50"/>
      <c r="HH669" s="50"/>
      <c r="HI669" s="50"/>
      <c r="HJ669" s="50"/>
      <c r="HK669" s="50"/>
      <c r="HL669" s="50"/>
      <c r="HM669" s="50"/>
      <c r="HN669" s="50"/>
      <c r="HO669" s="50"/>
      <c r="HP669" s="50"/>
      <c r="HQ669" s="50"/>
      <c r="HR669" s="50"/>
      <c r="HS669" s="50"/>
      <c r="HT669" s="50"/>
      <c r="HU669" s="50"/>
      <c r="HV669" s="50"/>
      <c r="HW669" s="50"/>
      <c r="HX669" s="50"/>
      <c r="HY669" s="50"/>
      <c r="HZ669" s="50"/>
      <c r="IA669" s="50"/>
      <c r="IB669" s="50"/>
      <c r="IC669" s="50"/>
      <c r="ID669" s="50"/>
      <c r="IE669" s="50"/>
      <c r="IF669" s="50"/>
      <c r="IG669" s="50"/>
      <c r="IH669" s="50"/>
      <c r="II669" s="50"/>
      <c r="IJ669" s="50"/>
      <c r="IK669" s="50"/>
      <c r="IL669" s="50"/>
      <c r="IM669" s="50"/>
      <c r="IN669" s="50"/>
      <c r="IO669" s="50"/>
      <c r="IP669" s="50"/>
      <c r="IQ669" s="50"/>
      <c r="IR669" s="50"/>
      <c r="IS669" s="50"/>
      <c r="IT669" s="50"/>
      <c r="IU669" s="50"/>
    </row>
    <row r="670" spans="1:255" s="62" customFormat="1" ht="15.6" hidden="1" x14ac:dyDescent="0.3">
      <c r="A670" s="133" t="s">
        <v>399</v>
      </c>
      <c r="B670" s="52"/>
      <c r="C670" s="53"/>
      <c r="D670" s="138">
        <f t="shared" si="58"/>
        <v>1287.9333333333334</v>
      </c>
      <c r="E670" s="54">
        <v>105.095</v>
      </c>
      <c r="F670" s="45">
        <v>-27.818999999999999</v>
      </c>
      <c r="G670" s="45">
        <v>0</v>
      </c>
      <c r="H670" s="45"/>
      <c r="I670" s="55">
        <v>77.275999999999996</v>
      </c>
      <c r="J670" s="492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  <c r="BT670" s="50"/>
      <c r="BU670" s="50"/>
      <c r="BV670" s="50"/>
      <c r="BW670" s="50"/>
      <c r="BX670" s="50"/>
      <c r="BY670" s="50"/>
      <c r="BZ670" s="50"/>
      <c r="CA670" s="50"/>
      <c r="CB670" s="50"/>
      <c r="CC670" s="50"/>
      <c r="CD670" s="50"/>
      <c r="CE670" s="50"/>
      <c r="CF670" s="50"/>
      <c r="CG670" s="50"/>
      <c r="CH670" s="50"/>
      <c r="CI670" s="50"/>
      <c r="CJ670" s="50"/>
      <c r="CK670" s="50"/>
      <c r="CL670" s="50"/>
      <c r="CM670" s="50"/>
      <c r="CN670" s="50"/>
      <c r="CO670" s="50"/>
      <c r="CP670" s="50"/>
      <c r="CQ670" s="50"/>
      <c r="CR670" s="50"/>
      <c r="CS670" s="50"/>
      <c r="CT670" s="50"/>
      <c r="CU670" s="50"/>
      <c r="CV670" s="50"/>
      <c r="CW670" s="50"/>
      <c r="CX670" s="50"/>
      <c r="CY670" s="50"/>
      <c r="CZ670" s="50"/>
      <c r="DA670" s="50"/>
      <c r="DB670" s="50"/>
      <c r="DC670" s="50"/>
      <c r="DD670" s="50"/>
      <c r="DE670" s="50"/>
      <c r="DF670" s="50"/>
      <c r="DG670" s="50"/>
      <c r="DH670" s="50"/>
      <c r="DI670" s="50"/>
      <c r="DJ670" s="50"/>
      <c r="DK670" s="50"/>
      <c r="DL670" s="50"/>
      <c r="DM670" s="50"/>
      <c r="DN670" s="50"/>
      <c r="DO670" s="50"/>
      <c r="DP670" s="50"/>
      <c r="DQ670" s="50"/>
      <c r="DR670" s="50"/>
      <c r="DS670" s="50"/>
      <c r="DT670" s="50"/>
      <c r="DU670" s="50"/>
      <c r="DV670" s="50"/>
      <c r="DW670" s="50"/>
      <c r="DX670" s="50"/>
      <c r="DY670" s="50"/>
      <c r="DZ670" s="50"/>
      <c r="EA670" s="50"/>
      <c r="EB670" s="50"/>
      <c r="EC670" s="50"/>
      <c r="ED670" s="50"/>
      <c r="EE670" s="50"/>
      <c r="EF670" s="50"/>
      <c r="EG670" s="50"/>
      <c r="EH670" s="50"/>
      <c r="EI670" s="50"/>
      <c r="EJ670" s="50"/>
      <c r="EK670" s="50"/>
      <c r="EL670" s="50"/>
      <c r="EM670" s="50"/>
      <c r="EN670" s="50"/>
      <c r="EO670" s="50"/>
      <c r="EP670" s="50"/>
      <c r="EQ670" s="50"/>
      <c r="ER670" s="50"/>
      <c r="ES670" s="50"/>
      <c r="ET670" s="50"/>
      <c r="EU670" s="50"/>
      <c r="EV670" s="50"/>
      <c r="EW670" s="50"/>
      <c r="EX670" s="50"/>
      <c r="EY670" s="50"/>
      <c r="EZ670" s="50"/>
      <c r="FA670" s="50"/>
      <c r="FB670" s="50"/>
      <c r="FC670" s="50"/>
      <c r="FD670" s="50"/>
      <c r="FE670" s="50"/>
      <c r="FF670" s="50"/>
      <c r="FG670" s="50"/>
      <c r="FH670" s="50"/>
      <c r="FI670" s="50"/>
      <c r="FJ670" s="50"/>
      <c r="FK670" s="50"/>
      <c r="FL670" s="50"/>
      <c r="FM670" s="50"/>
      <c r="FN670" s="50"/>
      <c r="FO670" s="50"/>
      <c r="FP670" s="50"/>
      <c r="FQ670" s="50"/>
      <c r="FR670" s="50"/>
      <c r="FS670" s="50"/>
      <c r="FT670" s="50"/>
      <c r="FU670" s="50"/>
      <c r="FV670" s="50"/>
      <c r="FW670" s="50"/>
      <c r="FX670" s="50"/>
      <c r="FY670" s="50"/>
      <c r="FZ670" s="50"/>
      <c r="GA670" s="50"/>
      <c r="GB670" s="50"/>
      <c r="GC670" s="50"/>
      <c r="GD670" s="50"/>
      <c r="GE670" s="50"/>
      <c r="GF670" s="50"/>
      <c r="GG670" s="50"/>
      <c r="GH670" s="50"/>
      <c r="GI670" s="50"/>
      <c r="GJ670" s="50"/>
      <c r="GK670" s="50"/>
      <c r="GL670" s="50"/>
      <c r="GM670" s="50"/>
      <c r="GN670" s="50"/>
      <c r="GO670" s="50"/>
      <c r="GP670" s="50"/>
      <c r="GQ670" s="50"/>
      <c r="GR670" s="50"/>
      <c r="GS670" s="50"/>
      <c r="GT670" s="50"/>
      <c r="GU670" s="50"/>
      <c r="GV670" s="50"/>
      <c r="GW670" s="50"/>
      <c r="GX670" s="50"/>
      <c r="GY670" s="50"/>
      <c r="GZ670" s="50"/>
      <c r="HA670" s="50"/>
      <c r="HB670" s="50"/>
      <c r="HC670" s="50"/>
      <c r="HD670" s="50"/>
      <c r="HE670" s="50"/>
      <c r="HF670" s="50"/>
      <c r="HG670" s="50"/>
      <c r="HH670" s="50"/>
      <c r="HI670" s="50"/>
      <c r="HJ670" s="50"/>
      <c r="HK670" s="50"/>
      <c r="HL670" s="50"/>
      <c r="HM670" s="50"/>
      <c r="HN670" s="50"/>
      <c r="HO670" s="50"/>
      <c r="HP670" s="50"/>
      <c r="HQ670" s="50"/>
      <c r="HR670" s="50"/>
      <c r="HS670" s="50"/>
      <c r="HT670" s="50"/>
      <c r="HU670" s="50"/>
      <c r="HV670" s="50"/>
      <c r="HW670" s="50"/>
      <c r="HX670" s="50"/>
      <c r="HY670" s="50"/>
      <c r="HZ670" s="50"/>
      <c r="IA670" s="50"/>
      <c r="IB670" s="50"/>
      <c r="IC670" s="50"/>
      <c r="ID670" s="50"/>
      <c r="IE670" s="50"/>
      <c r="IF670" s="50"/>
      <c r="IG670" s="50"/>
      <c r="IH670" s="50"/>
      <c r="II670" s="50"/>
      <c r="IJ670" s="50"/>
      <c r="IK670" s="50"/>
      <c r="IL670" s="50"/>
      <c r="IM670" s="50"/>
      <c r="IN670" s="50"/>
      <c r="IO670" s="50"/>
      <c r="IP670" s="50"/>
      <c r="IQ670" s="50"/>
      <c r="IR670" s="50"/>
      <c r="IS670" s="50"/>
      <c r="IT670" s="50"/>
      <c r="IU670" s="50"/>
    </row>
    <row r="671" spans="1:255" s="62" customFormat="1" ht="15.6" hidden="1" x14ac:dyDescent="0.3">
      <c r="A671" s="133" t="s">
        <v>400</v>
      </c>
      <c r="B671" s="52"/>
      <c r="C671" s="53"/>
      <c r="D671" s="138">
        <f t="shared" si="58"/>
        <v>861.43333333333339</v>
      </c>
      <c r="E671" s="54">
        <v>70.832999999999998</v>
      </c>
      <c r="F671" s="45">
        <v>-19.146999999999998</v>
      </c>
      <c r="G671" s="45">
        <v>0</v>
      </c>
      <c r="H671" s="45"/>
      <c r="I671" s="55">
        <v>51.686</v>
      </c>
      <c r="J671" s="492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  <c r="BT671" s="50"/>
      <c r="BU671" s="50"/>
      <c r="BV671" s="50"/>
      <c r="BW671" s="50"/>
      <c r="BX671" s="50"/>
      <c r="BY671" s="50"/>
      <c r="BZ671" s="50"/>
      <c r="CA671" s="50"/>
      <c r="CB671" s="50"/>
      <c r="CC671" s="50"/>
      <c r="CD671" s="50"/>
      <c r="CE671" s="50"/>
      <c r="CF671" s="50"/>
      <c r="CG671" s="50"/>
      <c r="CH671" s="50"/>
      <c r="CI671" s="50"/>
      <c r="CJ671" s="50"/>
      <c r="CK671" s="50"/>
      <c r="CL671" s="50"/>
      <c r="CM671" s="50"/>
      <c r="CN671" s="50"/>
      <c r="CO671" s="50"/>
      <c r="CP671" s="50"/>
      <c r="CQ671" s="50"/>
      <c r="CR671" s="50"/>
      <c r="CS671" s="50"/>
      <c r="CT671" s="50"/>
      <c r="CU671" s="50"/>
      <c r="CV671" s="50"/>
      <c r="CW671" s="50"/>
      <c r="CX671" s="50"/>
      <c r="CY671" s="50"/>
      <c r="CZ671" s="50"/>
      <c r="DA671" s="50"/>
      <c r="DB671" s="50"/>
      <c r="DC671" s="50"/>
      <c r="DD671" s="50"/>
      <c r="DE671" s="50"/>
      <c r="DF671" s="50"/>
      <c r="DG671" s="50"/>
      <c r="DH671" s="50"/>
      <c r="DI671" s="50"/>
      <c r="DJ671" s="50"/>
      <c r="DK671" s="50"/>
      <c r="DL671" s="50"/>
      <c r="DM671" s="50"/>
      <c r="DN671" s="50"/>
      <c r="DO671" s="50"/>
      <c r="DP671" s="50"/>
      <c r="DQ671" s="50"/>
      <c r="DR671" s="50"/>
      <c r="DS671" s="50"/>
      <c r="DT671" s="50"/>
      <c r="DU671" s="50"/>
      <c r="DV671" s="50"/>
      <c r="DW671" s="50"/>
      <c r="DX671" s="50"/>
      <c r="DY671" s="50"/>
      <c r="DZ671" s="50"/>
      <c r="EA671" s="50"/>
      <c r="EB671" s="50"/>
      <c r="EC671" s="50"/>
      <c r="ED671" s="50"/>
      <c r="EE671" s="50"/>
      <c r="EF671" s="50"/>
      <c r="EG671" s="50"/>
      <c r="EH671" s="50"/>
      <c r="EI671" s="50"/>
      <c r="EJ671" s="50"/>
      <c r="EK671" s="50"/>
      <c r="EL671" s="50"/>
      <c r="EM671" s="50"/>
      <c r="EN671" s="50"/>
      <c r="EO671" s="50"/>
      <c r="EP671" s="50"/>
      <c r="EQ671" s="50"/>
      <c r="ER671" s="50"/>
      <c r="ES671" s="50"/>
      <c r="ET671" s="50"/>
      <c r="EU671" s="50"/>
      <c r="EV671" s="50"/>
      <c r="EW671" s="50"/>
      <c r="EX671" s="50"/>
      <c r="EY671" s="50"/>
      <c r="EZ671" s="50"/>
      <c r="FA671" s="50"/>
      <c r="FB671" s="50"/>
      <c r="FC671" s="50"/>
      <c r="FD671" s="50"/>
      <c r="FE671" s="50"/>
      <c r="FF671" s="50"/>
      <c r="FG671" s="50"/>
      <c r="FH671" s="50"/>
      <c r="FI671" s="50"/>
      <c r="FJ671" s="50"/>
      <c r="FK671" s="50"/>
      <c r="FL671" s="50"/>
      <c r="FM671" s="50"/>
      <c r="FN671" s="50"/>
      <c r="FO671" s="50"/>
      <c r="FP671" s="50"/>
      <c r="FQ671" s="50"/>
      <c r="FR671" s="50"/>
      <c r="FS671" s="50"/>
      <c r="FT671" s="50"/>
      <c r="FU671" s="50"/>
      <c r="FV671" s="50"/>
      <c r="FW671" s="50"/>
      <c r="FX671" s="50"/>
      <c r="FY671" s="50"/>
      <c r="FZ671" s="50"/>
      <c r="GA671" s="50"/>
      <c r="GB671" s="50"/>
      <c r="GC671" s="50"/>
      <c r="GD671" s="50"/>
      <c r="GE671" s="50"/>
      <c r="GF671" s="50"/>
      <c r="GG671" s="50"/>
      <c r="GH671" s="50"/>
      <c r="GI671" s="50"/>
      <c r="GJ671" s="50"/>
      <c r="GK671" s="50"/>
      <c r="GL671" s="50"/>
      <c r="GM671" s="50"/>
      <c r="GN671" s="50"/>
      <c r="GO671" s="50"/>
      <c r="GP671" s="50"/>
      <c r="GQ671" s="50"/>
      <c r="GR671" s="50"/>
      <c r="GS671" s="50"/>
      <c r="GT671" s="50"/>
      <c r="GU671" s="50"/>
      <c r="GV671" s="50"/>
      <c r="GW671" s="50"/>
      <c r="GX671" s="50"/>
      <c r="GY671" s="50"/>
      <c r="GZ671" s="50"/>
      <c r="HA671" s="50"/>
      <c r="HB671" s="50"/>
      <c r="HC671" s="50"/>
      <c r="HD671" s="50"/>
      <c r="HE671" s="50"/>
      <c r="HF671" s="50"/>
      <c r="HG671" s="50"/>
      <c r="HH671" s="50"/>
      <c r="HI671" s="50"/>
      <c r="HJ671" s="50"/>
      <c r="HK671" s="50"/>
      <c r="HL671" s="50"/>
      <c r="HM671" s="50"/>
      <c r="HN671" s="50"/>
      <c r="HO671" s="50"/>
      <c r="HP671" s="50"/>
      <c r="HQ671" s="50"/>
      <c r="HR671" s="50"/>
      <c r="HS671" s="50"/>
      <c r="HT671" s="50"/>
      <c r="HU671" s="50"/>
      <c r="HV671" s="50"/>
      <c r="HW671" s="50"/>
      <c r="HX671" s="50"/>
      <c r="HY671" s="50"/>
      <c r="HZ671" s="50"/>
      <c r="IA671" s="50"/>
      <c r="IB671" s="50"/>
      <c r="IC671" s="50"/>
      <c r="ID671" s="50"/>
      <c r="IE671" s="50"/>
      <c r="IF671" s="50"/>
      <c r="IG671" s="50"/>
      <c r="IH671" s="50"/>
      <c r="II671" s="50"/>
      <c r="IJ671" s="50"/>
      <c r="IK671" s="50"/>
      <c r="IL671" s="50"/>
      <c r="IM671" s="50"/>
      <c r="IN671" s="50"/>
      <c r="IO671" s="50"/>
      <c r="IP671" s="50"/>
      <c r="IQ671" s="50"/>
      <c r="IR671" s="50"/>
      <c r="IS671" s="50"/>
      <c r="IT671" s="50"/>
      <c r="IU671" s="50"/>
    </row>
    <row r="672" spans="1:255" s="62" customFormat="1" ht="15.6" hidden="1" x14ac:dyDescent="0.3">
      <c r="A672" s="133" t="s">
        <v>401</v>
      </c>
      <c r="B672" s="52"/>
      <c r="C672" s="53"/>
      <c r="D672" s="138">
        <f t="shared" si="58"/>
        <v>1361.5</v>
      </c>
      <c r="E672" s="54">
        <v>111.351</v>
      </c>
      <c r="F672" s="45">
        <v>-29.661000000000001</v>
      </c>
      <c r="G672" s="45">
        <v>0</v>
      </c>
      <c r="H672" s="45"/>
      <c r="I672" s="55">
        <v>81.69</v>
      </c>
      <c r="J672" s="492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  <c r="BT672" s="50"/>
      <c r="BU672" s="50"/>
      <c r="BV672" s="50"/>
      <c r="BW672" s="50"/>
      <c r="BX672" s="50"/>
      <c r="BY672" s="50"/>
      <c r="BZ672" s="50"/>
      <c r="CA672" s="50"/>
      <c r="CB672" s="50"/>
      <c r="CC672" s="50"/>
      <c r="CD672" s="50"/>
      <c r="CE672" s="50"/>
      <c r="CF672" s="50"/>
      <c r="CG672" s="50"/>
      <c r="CH672" s="50"/>
      <c r="CI672" s="50"/>
      <c r="CJ672" s="50"/>
      <c r="CK672" s="50"/>
      <c r="CL672" s="50"/>
      <c r="CM672" s="50"/>
      <c r="CN672" s="50"/>
      <c r="CO672" s="50"/>
      <c r="CP672" s="50"/>
      <c r="CQ672" s="50"/>
      <c r="CR672" s="50"/>
      <c r="CS672" s="50"/>
      <c r="CT672" s="50"/>
      <c r="CU672" s="50"/>
      <c r="CV672" s="50"/>
      <c r="CW672" s="50"/>
      <c r="CX672" s="50"/>
      <c r="CY672" s="50"/>
      <c r="CZ672" s="50"/>
      <c r="DA672" s="50"/>
      <c r="DB672" s="50"/>
      <c r="DC672" s="50"/>
      <c r="DD672" s="50"/>
      <c r="DE672" s="50"/>
      <c r="DF672" s="50"/>
      <c r="DG672" s="50"/>
      <c r="DH672" s="50"/>
      <c r="DI672" s="50"/>
      <c r="DJ672" s="50"/>
      <c r="DK672" s="50"/>
      <c r="DL672" s="50"/>
      <c r="DM672" s="50"/>
      <c r="DN672" s="50"/>
      <c r="DO672" s="50"/>
      <c r="DP672" s="50"/>
      <c r="DQ672" s="50"/>
      <c r="DR672" s="50"/>
      <c r="DS672" s="50"/>
      <c r="DT672" s="50"/>
      <c r="DU672" s="50"/>
      <c r="DV672" s="50"/>
      <c r="DW672" s="50"/>
      <c r="DX672" s="50"/>
      <c r="DY672" s="50"/>
      <c r="DZ672" s="50"/>
      <c r="EA672" s="50"/>
      <c r="EB672" s="50"/>
      <c r="EC672" s="50"/>
      <c r="ED672" s="50"/>
      <c r="EE672" s="50"/>
      <c r="EF672" s="50"/>
      <c r="EG672" s="50"/>
      <c r="EH672" s="50"/>
      <c r="EI672" s="50"/>
      <c r="EJ672" s="50"/>
      <c r="EK672" s="50"/>
      <c r="EL672" s="50"/>
      <c r="EM672" s="50"/>
      <c r="EN672" s="50"/>
      <c r="EO672" s="50"/>
      <c r="EP672" s="50"/>
      <c r="EQ672" s="50"/>
      <c r="ER672" s="50"/>
      <c r="ES672" s="50"/>
      <c r="ET672" s="50"/>
      <c r="EU672" s="50"/>
      <c r="EV672" s="50"/>
      <c r="EW672" s="50"/>
      <c r="EX672" s="50"/>
      <c r="EY672" s="50"/>
      <c r="EZ672" s="50"/>
      <c r="FA672" s="50"/>
      <c r="FB672" s="50"/>
      <c r="FC672" s="50"/>
      <c r="FD672" s="50"/>
      <c r="FE672" s="50"/>
      <c r="FF672" s="50"/>
      <c r="FG672" s="50"/>
      <c r="FH672" s="50"/>
      <c r="FI672" s="50"/>
      <c r="FJ672" s="50"/>
      <c r="FK672" s="50"/>
      <c r="FL672" s="50"/>
      <c r="FM672" s="50"/>
      <c r="FN672" s="50"/>
      <c r="FO672" s="50"/>
      <c r="FP672" s="50"/>
      <c r="FQ672" s="50"/>
      <c r="FR672" s="50"/>
      <c r="FS672" s="50"/>
      <c r="FT672" s="50"/>
      <c r="FU672" s="50"/>
      <c r="FV672" s="50"/>
      <c r="FW672" s="50"/>
      <c r="FX672" s="50"/>
      <c r="FY672" s="50"/>
      <c r="FZ672" s="50"/>
      <c r="GA672" s="50"/>
      <c r="GB672" s="50"/>
      <c r="GC672" s="50"/>
      <c r="GD672" s="50"/>
      <c r="GE672" s="50"/>
      <c r="GF672" s="50"/>
      <c r="GG672" s="50"/>
      <c r="GH672" s="50"/>
      <c r="GI672" s="50"/>
      <c r="GJ672" s="50"/>
      <c r="GK672" s="50"/>
      <c r="GL672" s="50"/>
      <c r="GM672" s="50"/>
      <c r="GN672" s="50"/>
      <c r="GO672" s="50"/>
      <c r="GP672" s="50"/>
      <c r="GQ672" s="50"/>
      <c r="GR672" s="50"/>
      <c r="GS672" s="50"/>
      <c r="GT672" s="50"/>
      <c r="GU672" s="50"/>
      <c r="GV672" s="50"/>
      <c r="GW672" s="50"/>
      <c r="GX672" s="50"/>
      <c r="GY672" s="50"/>
      <c r="GZ672" s="50"/>
      <c r="HA672" s="50"/>
      <c r="HB672" s="50"/>
      <c r="HC672" s="50"/>
      <c r="HD672" s="50"/>
      <c r="HE672" s="50"/>
      <c r="HF672" s="50"/>
      <c r="HG672" s="50"/>
      <c r="HH672" s="50"/>
      <c r="HI672" s="50"/>
      <c r="HJ672" s="50"/>
      <c r="HK672" s="50"/>
      <c r="HL672" s="50"/>
      <c r="HM672" s="50"/>
      <c r="HN672" s="50"/>
      <c r="HO672" s="50"/>
      <c r="HP672" s="50"/>
      <c r="HQ672" s="50"/>
      <c r="HR672" s="50"/>
      <c r="HS672" s="50"/>
      <c r="HT672" s="50"/>
      <c r="HU672" s="50"/>
      <c r="HV672" s="50"/>
      <c r="HW672" s="50"/>
      <c r="HX672" s="50"/>
      <c r="HY672" s="50"/>
      <c r="HZ672" s="50"/>
      <c r="IA672" s="50"/>
      <c r="IB672" s="50"/>
      <c r="IC672" s="50"/>
      <c r="ID672" s="50"/>
      <c r="IE672" s="50"/>
      <c r="IF672" s="50"/>
      <c r="IG672" s="50"/>
      <c r="IH672" s="50"/>
      <c r="II672" s="50"/>
      <c r="IJ672" s="50"/>
      <c r="IK672" s="50"/>
      <c r="IL672" s="50"/>
      <c r="IM672" s="50"/>
      <c r="IN672" s="50"/>
      <c r="IO672" s="50"/>
      <c r="IP672" s="50"/>
      <c r="IQ672" s="50"/>
      <c r="IR672" s="50"/>
      <c r="IS672" s="50"/>
      <c r="IT672" s="50"/>
      <c r="IU672" s="50"/>
    </row>
    <row r="673" spans="1:73" s="50" customFormat="1" ht="15.75" hidden="1" customHeight="1" x14ac:dyDescent="0.3">
      <c r="A673" s="133" t="s">
        <v>402</v>
      </c>
      <c r="B673" s="52"/>
      <c r="C673" s="53"/>
      <c r="D673" s="138">
        <f t="shared" si="58"/>
        <v>698.30000000000007</v>
      </c>
      <c r="E673" s="54">
        <v>46.862000000000002</v>
      </c>
      <c r="F673" s="45">
        <v>-4.9640000000000004</v>
      </c>
      <c r="G673" s="45">
        <v>0</v>
      </c>
      <c r="H673" s="45"/>
      <c r="I673" s="55">
        <v>41.898000000000003</v>
      </c>
      <c r="J673" s="492"/>
    </row>
    <row r="674" spans="1:73" s="50" customFormat="1" ht="18" hidden="1" customHeight="1" x14ac:dyDescent="0.3">
      <c r="A674" s="133" t="s">
        <v>403</v>
      </c>
      <c r="B674" s="52"/>
      <c r="C674" s="53"/>
      <c r="D674" s="138">
        <f t="shared" si="58"/>
        <v>1605.4333333333336</v>
      </c>
      <c r="E674" s="54">
        <v>115.105</v>
      </c>
      <c r="F674" s="45">
        <v>-18.779</v>
      </c>
      <c r="G674" s="45">
        <v>0</v>
      </c>
      <c r="H674" s="45"/>
      <c r="I674" s="55">
        <v>96.326000000000008</v>
      </c>
      <c r="J674" s="492"/>
    </row>
    <row r="675" spans="1:73" s="50" customFormat="1" ht="18" hidden="1" customHeight="1" x14ac:dyDescent="0.3">
      <c r="A675" s="133" t="s">
        <v>404</v>
      </c>
      <c r="B675" s="52">
        <v>37098</v>
      </c>
      <c r="C675" s="53" t="s">
        <v>277</v>
      </c>
      <c r="D675" s="417">
        <f>I675/0.03</f>
        <v>1619.5333333333333</v>
      </c>
      <c r="E675" s="54">
        <v>66.382999999999996</v>
      </c>
      <c r="F675" s="45">
        <v>-17.797000000000001</v>
      </c>
      <c r="G675" s="45"/>
      <c r="H675" s="45"/>
      <c r="I675" s="55">
        <f>SUM(E675:H675)</f>
        <v>48.585999999999999</v>
      </c>
      <c r="J675" s="492"/>
    </row>
    <row r="676" spans="1:73" s="50" customFormat="1" ht="5.0999999999999996" hidden="1" customHeight="1" thickBot="1" x14ac:dyDescent="0.35">
      <c r="A676" s="131"/>
      <c r="B676" s="128"/>
      <c r="C676" s="124"/>
      <c r="D676" s="424"/>
      <c r="E676" s="125"/>
      <c r="F676" s="126"/>
      <c r="G676" s="126"/>
      <c r="H676" s="126"/>
      <c r="I676" s="127"/>
      <c r="J676" s="492"/>
    </row>
    <row r="677" spans="1:73" s="50" customFormat="1" ht="18" customHeight="1" x14ac:dyDescent="0.3">
      <c r="A677" s="107" t="s">
        <v>646</v>
      </c>
      <c r="B677" s="108"/>
      <c r="C677" s="48"/>
      <c r="D677" s="135">
        <f>D418+D460</f>
        <v>1111063.7000000004</v>
      </c>
      <c r="E677" s="136">
        <f>E418+E460</f>
        <v>22003.008000000002</v>
      </c>
      <c r="F677" s="137">
        <f>F418+F460</f>
        <v>-5960.9399999999987</v>
      </c>
      <c r="G677" s="137">
        <f>G418+G460</f>
        <v>0</v>
      </c>
      <c r="H677" s="137">
        <f>+H294+H418+H460</f>
        <v>0</v>
      </c>
      <c r="I677" s="117">
        <f>I418+I460</f>
        <v>16042.067999999996</v>
      </c>
      <c r="J677" s="492"/>
    </row>
    <row r="678" spans="1:73" s="50" customFormat="1" ht="18" customHeight="1" x14ac:dyDescent="0.3">
      <c r="A678" s="118"/>
      <c r="B678" s="119"/>
      <c r="C678" s="48"/>
      <c r="D678" s="138"/>
      <c r="E678" s="54"/>
      <c r="F678" s="45"/>
      <c r="G678" s="45"/>
      <c r="H678" s="45"/>
      <c r="I678" s="55"/>
      <c r="J678" s="492"/>
    </row>
    <row r="679" spans="1:73" s="111" customFormat="1" ht="15.6" x14ac:dyDescent="0.3">
      <c r="A679" s="140" t="s">
        <v>405</v>
      </c>
      <c r="B679" s="120"/>
      <c r="C679" s="57"/>
      <c r="D679" s="138"/>
      <c r="E679" s="54"/>
      <c r="F679" s="45"/>
      <c r="G679" s="45"/>
      <c r="H679" s="45"/>
      <c r="I679" s="55"/>
      <c r="J679" s="497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</row>
    <row r="680" spans="1:73" s="50" customFormat="1" ht="5.0999999999999996" customHeight="1" x14ac:dyDescent="0.3">
      <c r="A680" s="121"/>
      <c r="B680" s="120"/>
      <c r="C680" s="57"/>
      <c r="D680" s="138"/>
      <c r="E680" s="54"/>
      <c r="F680" s="45"/>
      <c r="G680" s="45"/>
      <c r="H680" s="45"/>
      <c r="I680" s="55"/>
      <c r="J680" s="492"/>
    </row>
    <row r="681" spans="1:73" s="50" customFormat="1" ht="17.399999999999999" x14ac:dyDescent="0.3">
      <c r="A681" s="474" t="s">
        <v>743</v>
      </c>
      <c r="B681" s="466"/>
      <c r="C681" s="467"/>
      <c r="D681" s="468">
        <f>I681/0.06</f>
        <v>123.33333333333333</v>
      </c>
      <c r="E681" s="444">
        <f>10113/1000</f>
        <v>10.113</v>
      </c>
      <c r="F681" s="444">
        <v>-2.7130000000000001</v>
      </c>
      <c r="G681" s="444">
        <v>0</v>
      </c>
      <c r="H681" s="444"/>
      <c r="I681" s="469">
        <f>SUM(E681:G681)</f>
        <v>7.3999999999999995</v>
      </c>
      <c r="J681" s="492" t="s">
        <v>72</v>
      </c>
    </row>
    <row r="682" spans="1:73" s="50" customFormat="1" ht="17.399999999999999" x14ac:dyDescent="0.3">
      <c r="A682" s="474" t="s">
        <v>738</v>
      </c>
      <c r="B682" s="466"/>
      <c r="C682" s="467"/>
      <c r="D682" s="468">
        <f>I682/0.06</f>
        <v>35.050000000000004</v>
      </c>
      <c r="E682" s="444">
        <f>2528/1000</f>
        <v>2.528</v>
      </c>
      <c r="F682" s="444">
        <v>-0.42499999999999999</v>
      </c>
      <c r="G682" s="444">
        <v>0</v>
      </c>
      <c r="H682" s="444"/>
      <c r="I682" s="469">
        <f>SUM(E682:G682)</f>
        <v>2.1030000000000002</v>
      </c>
      <c r="J682" s="492" t="s">
        <v>407</v>
      </c>
    </row>
    <row r="683" spans="1:73" s="50" customFormat="1" ht="15.6" x14ac:dyDescent="0.3">
      <c r="A683" s="445" t="s">
        <v>697</v>
      </c>
      <c r="B683" s="462"/>
      <c r="C683" s="463"/>
      <c r="D683" s="448"/>
      <c r="E683" s="449">
        <v>0</v>
      </c>
      <c r="F683" s="450">
        <f>(-886-351-145-472-2158-884)/1000</f>
        <v>-4.8959999999999999</v>
      </c>
      <c r="G683" s="450">
        <v>0</v>
      </c>
      <c r="H683" s="450">
        <v>0</v>
      </c>
      <c r="I683" s="436">
        <f>SUM(E683:H683)</f>
        <v>-4.8959999999999999</v>
      </c>
      <c r="J683" s="492"/>
    </row>
    <row r="684" spans="1:73" s="50" customFormat="1" ht="16.2" thickBot="1" x14ac:dyDescent="0.35">
      <c r="A684" s="68" t="s">
        <v>406</v>
      </c>
      <c r="B684" s="141"/>
      <c r="C684" s="101" t="s">
        <v>407</v>
      </c>
      <c r="D684" s="142">
        <f>I684/0.04</f>
        <v>105017.97500000001</v>
      </c>
      <c r="E684" s="76">
        <v>4200.7190000000001</v>
      </c>
      <c r="F684" s="77">
        <v>0</v>
      </c>
      <c r="G684" s="77">
        <v>0</v>
      </c>
      <c r="H684" s="77">
        <v>0</v>
      </c>
      <c r="I684" s="78">
        <f>SUM(E684:H684)</f>
        <v>4200.7190000000001</v>
      </c>
      <c r="J684" s="492" t="s">
        <v>18</v>
      </c>
    </row>
    <row r="685" spans="1:73" s="50" customFormat="1" ht="15.6" x14ac:dyDescent="0.3">
      <c r="A685" s="107" t="s">
        <v>408</v>
      </c>
      <c r="B685" s="108"/>
      <c r="C685" s="48"/>
      <c r="D685" s="135">
        <f>SUM(D684)</f>
        <v>105017.97500000001</v>
      </c>
      <c r="E685" s="54">
        <f>SUM(E679:E684)</f>
        <v>4213.3599999999997</v>
      </c>
      <c r="F685" s="45">
        <f>SUM(F679:F684)</f>
        <v>-8.0339999999999989</v>
      </c>
      <c r="G685" s="45">
        <f>SUM(G679:G684)</f>
        <v>0</v>
      </c>
      <c r="H685" s="45">
        <f>SUM(H679:H684)</f>
        <v>0</v>
      </c>
      <c r="I685" s="55">
        <f>SUM(I679:I684)</f>
        <v>4205.326</v>
      </c>
      <c r="J685" s="492"/>
    </row>
    <row r="686" spans="1:73" s="50" customFormat="1" ht="15.6" x14ac:dyDescent="0.3">
      <c r="A686" s="107"/>
      <c r="B686" s="108"/>
      <c r="C686" s="48"/>
      <c r="D686" s="138"/>
      <c r="E686" s="54"/>
      <c r="F686" s="45"/>
      <c r="G686" s="45"/>
      <c r="H686" s="45"/>
      <c r="I686" s="55"/>
      <c r="J686" s="492"/>
    </row>
    <row r="687" spans="1:73" s="50" customFormat="1" ht="15.6" x14ac:dyDescent="0.3">
      <c r="A687" s="140" t="s">
        <v>409</v>
      </c>
      <c r="B687" s="108"/>
      <c r="C687" s="48"/>
      <c r="D687" s="138">
        <f>I687/0.04</f>
        <v>763.6</v>
      </c>
      <c r="E687" s="54">
        <v>30.544</v>
      </c>
      <c r="F687" s="45">
        <v>0</v>
      </c>
      <c r="G687" s="45">
        <v>0</v>
      </c>
      <c r="H687" s="45"/>
      <c r="I687" s="55">
        <f>SUM(E687:H687)</f>
        <v>30.544</v>
      </c>
      <c r="J687" s="492" t="s">
        <v>18</v>
      </c>
    </row>
    <row r="688" spans="1:73" s="111" customFormat="1" ht="15.6" x14ac:dyDescent="0.3">
      <c r="A688" s="107"/>
      <c r="B688" s="108"/>
      <c r="C688" s="48"/>
      <c r="D688" s="138"/>
      <c r="E688" s="54"/>
      <c r="F688" s="45"/>
      <c r="G688" s="45"/>
      <c r="H688" s="45"/>
      <c r="I688" s="55"/>
      <c r="J688" s="492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</row>
    <row r="689" spans="1:73" s="111" customFormat="1" ht="15.6" x14ac:dyDescent="0.3">
      <c r="A689" s="140" t="s">
        <v>575</v>
      </c>
      <c r="B689" s="119"/>
      <c r="C689" s="48"/>
      <c r="D689" s="138"/>
      <c r="E689" s="54"/>
      <c r="F689" s="45"/>
      <c r="G689" s="45"/>
      <c r="H689" s="45"/>
      <c r="I689" s="55"/>
      <c r="J689" s="492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</row>
    <row r="690" spans="1:73" s="111" customFormat="1" ht="15" x14ac:dyDescent="0.25">
      <c r="A690" s="68" t="s">
        <v>410</v>
      </c>
      <c r="B690" s="141"/>
      <c r="C690" s="53"/>
      <c r="D690" s="138">
        <v>0</v>
      </c>
      <c r="E690" s="54">
        <v>0</v>
      </c>
      <c r="F690" s="45">
        <v>0</v>
      </c>
      <c r="G690" s="45">
        <v>0</v>
      </c>
      <c r="H690" s="45">
        <v>0</v>
      </c>
      <c r="I690" s="55">
        <f>SUM(E690:H690)</f>
        <v>0</v>
      </c>
      <c r="J690" s="492" t="s">
        <v>18</v>
      </c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</row>
    <row r="691" spans="1:73" s="111" customFormat="1" ht="15" x14ac:dyDescent="0.25">
      <c r="A691" s="68" t="s">
        <v>411</v>
      </c>
      <c r="B691" s="141"/>
      <c r="C691" s="53"/>
      <c r="D691" s="138">
        <v>0</v>
      </c>
      <c r="E691" s="54">
        <v>1.373</v>
      </c>
      <c r="F691" s="45">
        <v>0</v>
      </c>
      <c r="G691" s="45">
        <v>0</v>
      </c>
      <c r="H691" s="45">
        <v>0</v>
      </c>
      <c r="I691" s="55">
        <f>SUM(E691:H691)</f>
        <v>1.373</v>
      </c>
      <c r="J691" s="492" t="s">
        <v>18</v>
      </c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</row>
    <row r="692" spans="1:73" s="111" customFormat="1" ht="15" x14ac:dyDescent="0.25">
      <c r="A692" s="68" t="s">
        <v>412</v>
      </c>
      <c r="B692" s="141"/>
      <c r="C692" s="53"/>
      <c r="D692" s="138">
        <v>0</v>
      </c>
      <c r="E692" s="54">
        <v>-5.5670000000000002</v>
      </c>
      <c r="F692" s="45">
        <v>0</v>
      </c>
      <c r="G692" s="45">
        <v>0</v>
      </c>
      <c r="H692" s="45">
        <v>0</v>
      </c>
      <c r="I692" s="55">
        <f>SUM(E692:H692)</f>
        <v>-5.5670000000000002</v>
      </c>
      <c r="J692" s="492" t="s">
        <v>18</v>
      </c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</row>
    <row r="693" spans="1:73" s="50" customFormat="1" ht="15.6" x14ac:dyDescent="0.3">
      <c r="A693" s="445" t="s">
        <v>683</v>
      </c>
      <c r="B693" s="446"/>
      <c r="C693" s="447"/>
      <c r="D693" s="448">
        <v>0</v>
      </c>
      <c r="E693" s="449">
        <v>734.55200000000002</v>
      </c>
      <c r="F693" s="450">
        <v>0</v>
      </c>
      <c r="G693" s="450">
        <v>0</v>
      </c>
      <c r="H693" s="450">
        <v>0</v>
      </c>
      <c r="I693" s="436">
        <f>SUM(E693:H693)</f>
        <v>734.55200000000002</v>
      </c>
      <c r="J693" s="492" t="s">
        <v>18</v>
      </c>
    </row>
    <row r="694" spans="1:73" s="50" customFormat="1" ht="15.6" x14ac:dyDescent="0.3">
      <c r="A694" s="445" t="s">
        <v>684</v>
      </c>
      <c r="B694" s="446"/>
      <c r="C694" s="447"/>
      <c r="D694" s="448">
        <v>0</v>
      </c>
      <c r="E694" s="449">
        <v>1315.72</v>
      </c>
      <c r="F694" s="450">
        <v>0</v>
      </c>
      <c r="G694" s="450">
        <v>0</v>
      </c>
      <c r="H694" s="450">
        <v>0</v>
      </c>
      <c r="I694" s="436">
        <f t="shared" ref="I694:I703" si="59">SUM(E694:H694)</f>
        <v>1315.72</v>
      </c>
      <c r="J694" s="492" t="s">
        <v>18</v>
      </c>
    </row>
    <row r="695" spans="1:73" s="50" customFormat="1" ht="15.6" x14ac:dyDescent="0.3">
      <c r="A695" s="445" t="s">
        <v>685</v>
      </c>
      <c r="B695" s="446"/>
      <c r="C695" s="447"/>
      <c r="D695" s="448">
        <v>0</v>
      </c>
      <c r="E695" s="449">
        <v>-734.55200000000002</v>
      </c>
      <c r="F695" s="450">
        <v>0</v>
      </c>
      <c r="G695" s="450">
        <v>0</v>
      </c>
      <c r="H695" s="450">
        <v>0</v>
      </c>
      <c r="I695" s="436">
        <f t="shared" si="59"/>
        <v>-734.55200000000002</v>
      </c>
      <c r="J695" s="492" t="s">
        <v>18</v>
      </c>
    </row>
    <row r="696" spans="1:73" s="50" customFormat="1" ht="15.6" x14ac:dyDescent="0.3">
      <c r="A696" s="451" t="s">
        <v>686</v>
      </c>
      <c r="B696" s="446"/>
      <c r="C696" s="447"/>
      <c r="D696" s="448">
        <v>0</v>
      </c>
      <c r="E696" s="449">
        <v>-1315.72</v>
      </c>
      <c r="F696" s="450">
        <v>0</v>
      </c>
      <c r="G696" s="450">
        <v>0</v>
      </c>
      <c r="H696" s="450">
        <v>0</v>
      </c>
      <c r="I696" s="436">
        <f t="shared" si="59"/>
        <v>-1315.72</v>
      </c>
      <c r="J696" s="492" t="s">
        <v>18</v>
      </c>
    </row>
    <row r="697" spans="1:73" s="50" customFormat="1" ht="15.6" x14ac:dyDescent="0.3">
      <c r="A697" s="451" t="s">
        <v>687</v>
      </c>
      <c r="B697" s="446"/>
      <c r="C697" s="447"/>
      <c r="D697" s="448">
        <v>0</v>
      </c>
      <c r="E697" s="449">
        <v>-4.7439999999999998</v>
      </c>
      <c r="F697" s="450">
        <v>0</v>
      </c>
      <c r="G697" s="450">
        <v>0</v>
      </c>
      <c r="H697" s="450">
        <v>0</v>
      </c>
      <c r="I697" s="436">
        <f t="shared" si="59"/>
        <v>-4.7439999999999998</v>
      </c>
      <c r="J697" s="492" t="s">
        <v>18</v>
      </c>
    </row>
    <row r="698" spans="1:73" s="50" customFormat="1" ht="15.6" x14ac:dyDescent="0.3">
      <c r="A698" s="451" t="s">
        <v>688</v>
      </c>
      <c r="B698" s="446"/>
      <c r="C698" s="447"/>
      <c r="D698" s="448">
        <v>0</v>
      </c>
      <c r="E698" s="449">
        <v>-19.183</v>
      </c>
      <c r="F698" s="450">
        <v>0</v>
      </c>
      <c r="G698" s="450">
        <v>0</v>
      </c>
      <c r="H698" s="450">
        <v>0</v>
      </c>
      <c r="I698" s="436">
        <f t="shared" si="59"/>
        <v>-19.183</v>
      </c>
      <c r="J698" s="492" t="s">
        <v>18</v>
      </c>
    </row>
    <row r="699" spans="1:73" s="50" customFormat="1" ht="15.6" x14ac:dyDescent="0.3">
      <c r="A699" s="451" t="s">
        <v>689</v>
      </c>
      <c r="B699" s="446"/>
      <c r="C699" s="447"/>
      <c r="D699" s="448">
        <v>0</v>
      </c>
      <c r="E699" s="449">
        <v>-42.512999999999998</v>
      </c>
      <c r="F699" s="450">
        <v>0</v>
      </c>
      <c r="G699" s="450">
        <v>0</v>
      </c>
      <c r="H699" s="450">
        <v>0</v>
      </c>
      <c r="I699" s="436">
        <f t="shared" si="59"/>
        <v>-42.512999999999998</v>
      </c>
      <c r="J699" s="492" t="s">
        <v>18</v>
      </c>
    </row>
    <row r="700" spans="1:73" s="50" customFormat="1" ht="15.6" x14ac:dyDescent="0.3">
      <c r="A700" s="451" t="s">
        <v>690</v>
      </c>
      <c r="B700" s="446"/>
      <c r="C700" s="447"/>
      <c r="D700" s="448">
        <v>0</v>
      </c>
      <c r="E700" s="449">
        <v>-17.067599999999999</v>
      </c>
      <c r="F700" s="450">
        <v>0</v>
      </c>
      <c r="G700" s="450">
        <v>0</v>
      </c>
      <c r="H700" s="450">
        <v>0</v>
      </c>
      <c r="I700" s="436">
        <f t="shared" si="59"/>
        <v>-17.067599999999999</v>
      </c>
      <c r="J700" s="492" t="s">
        <v>18</v>
      </c>
    </row>
    <row r="701" spans="1:73" s="50" customFormat="1" ht="15.6" x14ac:dyDescent="0.3">
      <c r="A701" s="451" t="s">
        <v>691</v>
      </c>
      <c r="B701" s="446"/>
      <c r="C701" s="447"/>
      <c r="D701" s="448">
        <v>0</v>
      </c>
      <c r="E701" s="449">
        <v>-27.482099999999999</v>
      </c>
      <c r="F701" s="450">
        <v>0</v>
      </c>
      <c r="G701" s="450">
        <v>0</v>
      </c>
      <c r="H701" s="450">
        <v>0</v>
      </c>
      <c r="I701" s="436">
        <f t="shared" si="59"/>
        <v>-27.482099999999999</v>
      </c>
      <c r="J701" s="492" t="s">
        <v>18</v>
      </c>
    </row>
    <row r="702" spans="1:73" s="50" customFormat="1" ht="15.6" x14ac:dyDescent="0.3">
      <c r="A702" s="451" t="s">
        <v>692</v>
      </c>
      <c r="B702" s="446"/>
      <c r="C702" s="447"/>
      <c r="D702" s="448">
        <v>0</v>
      </c>
      <c r="E702" s="449">
        <f>214.107-213.511</f>
        <v>0.59600000000000364</v>
      </c>
      <c r="F702" s="450">
        <v>0</v>
      </c>
      <c r="G702" s="450">
        <v>0</v>
      </c>
      <c r="H702" s="450">
        <v>0</v>
      </c>
      <c r="I702" s="436">
        <f t="shared" si="59"/>
        <v>0.59600000000000364</v>
      </c>
      <c r="J702" s="492" t="s">
        <v>18</v>
      </c>
    </row>
    <row r="703" spans="1:73" s="50" customFormat="1" ht="15.6" x14ac:dyDescent="0.3">
      <c r="A703" s="451" t="s">
        <v>693</v>
      </c>
      <c r="B703" s="446"/>
      <c r="C703" s="447"/>
      <c r="D703" s="448">
        <v>0</v>
      </c>
      <c r="E703" s="449">
        <v>-15.3261</v>
      </c>
      <c r="F703" s="450">
        <v>0</v>
      </c>
      <c r="G703" s="450">
        <v>0</v>
      </c>
      <c r="H703" s="450">
        <v>0</v>
      </c>
      <c r="I703" s="436">
        <f t="shared" si="59"/>
        <v>-15.3261</v>
      </c>
      <c r="J703" s="492" t="s">
        <v>18</v>
      </c>
    </row>
    <row r="704" spans="1:73" s="89" customFormat="1" ht="18" thickBot="1" x14ac:dyDescent="0.35">
      <c r="A704" s="428"/>
      <c r="B704" s="143"/>
      <c r="C704" s="48"/>
      <c r="D704" s="404"/>
      <c r="E704" s="426"/>
      <c r="F704" s="144"/>
      <c r="G704" s="144"/>
      <c r="H704" s="144"/>
      <c r="I704" s="145"/>
      <c r="J704" s="493"/>
    </row>
    <row r="705" spans="1:17" s="89" customFormat="1" ht="17.399999999999999" x14ac:dyDescent="0.3">
      <c r="A705" s="452" t="s">
        <v>413</v>
      </c>
      <c r="B705" s="146"/>
      <c r="C705" s="147"/>
      <c r="D705" s="148">
        <f t="shared" ref="D705:I705" si="60">D213+D251+D690+D677+D405+D414+D685+D687+D690+D691+D692+D693+D694+D695+D696+D697+D698+D699+D700+D701+D702+D703</f>
        <v>1338129.8006666673</v>
      </c>
      <c r="E705" s="86">
        <f t="shared" si="60"/>
        <v>38337.476199999997</v>
      </c>
      <c r="F705" s="87">
        <f t="shared" si="60"/>
        <v>-9160.2109999999975</v>
      </c>
      <c r="G705" s="87">
        <f t="shared" si="60"/>
        <v>0</v>
      </c>
      <c r="H705" s="87">
        <f t="shared" si="60"/>
        <v>0</v>
      </c>
      <c r="I705" s="88">
        <f t="shared" si="60"/>
        <v>29177.265199999994</v>
      </c>
      <c r="J705" s="493"/>
    </row>
    <row r="706" spans="1:17" s="89" customFormat="1" ht="17.399999999999999" x14ac:dyDescent="0.3">
      <c r="A706" s="428"/>
      <c r="B706" s="146"/>
      <c r="C706" s="147"/>
      <c r="D706" s="149"/>
      <c r="E706" s="86"/>
      <c r="F706" s="87"/>
      <c r="G706" s="87"/>
      <c r="H706" s="87"/>
      <c r="I706" s="88"/>
      <c r="J706" s="493"/>
      <c r="K706" s="153"/>
      <c r="L706" s="153"/>
      <c r="M706" s="153"/>
      <c r="N706" s="153"/>
      <c r="O706" s="153"/>
      <c r="P706" s="153"/>
      <c r="Q706" s="153"/>
    </row>
    <row r="707" spans="1:17" s="89" customFormat="1" ht="17.399999999999999" x14ac:dyDescent="0.3">
      <c r="A707" s="428"/>
      <c r="B707" s="120"/>
      <c r="C707" s="147"/>
      <c r="D707" s="149"/>
      <c r="E707" s="86"/>
      <c r="F707" s="87"/>
      <c r="G707" s="87"/>
      <c r="H707" s="87"/>
      <c r="I707" s="88"/>
      <c r="J707" s="493"/>
      <c r="K707" s="153"/>
      <c r="L707" s="153"/>
      <c r="M707" s="153"/>
      <c r="N707" s="153"/>
      <c r="O707" s="153"/>
      <c r="P707" s="153"/>
      <c r="Q707" s="153"/>
    </row>
    <row r="708" spans="1:17" s="50" customFormat="1" ht="17.399999999999999" x14ac:dyDescent="0.3">
      <c r="A708" s="428"/>
      <c r="B708" s="141"/>
      <c r="C708" s="147"/>
      <c r="D708" s="138"/>
      <c r="E708" s="49"/>
      <c r="F708" s="151"/>
      <c r="G708" s="151"/>
      <c r="H708" s="151"/>
      <c r="I708" s="152"/>
      <c r="J708" s="492"/>
    </row>
    <row r="709" spans="1:17" s="50" customFormat="1" ht="17.399999999999999" x14ac:dyDescent="0.3">
      <c r="A709" s="150"/>
      <c r="B709" s="141"/>
      <c r="C709" s="147"/>
      <c r="D709" s="138"/>
      <c r="E709" s="49"/>
      <c r="F709" s="151"/>
      <c r="G709" s="151"/>
      <c r="H709" s="151"/>
      <c r="I709" s="152"/>
      <c r="J709" s="492"/>
    </row>
    <row r="710" spans="1:17" s="50" customFormat="1" ht="17.399999999999999" x14ac:dyDescent="0.3">
      <c r="A710" s="107" t="s">
        <v>414</v>
      </c>
      <c r="B710" s="108"/>
      <c r="C710" s="48"/>
      <c r="D710" s="139">
        <f>SUM(D708:D708)</f>
        <v>0</v>
      </c>
      <c r="E710" s="136">
        <f>SUM(E708:E709)</f>
        <v>0</v>
      </c>
      <c r="F710" s="137">
        <f>SUM(F708:F709)</f>
        <v>0</v>
      </c>
      <c r="G710" s="137">
        <f>SUM(G708:G709)</f>
        <v>0</v>
      </c>
      <c r="H710" s="137">
        <f>SUM(H708:H709)</f>
        <v>0</v>
      </c>
      <c r="I710" s="117">
        <f>SUM(I708:I709)</f>
        <v>0</v>
      </c>
      <c r="J710" s="493"/>
    </row>
    <row r="711" spans="1:17" s="50" customFormat="1" ht="15.6" x14ac:dyDescent="0.3">
      <c r="A711" s="107"/>
      <c r="B711" s="108"/>
      <c r="C711" s="48"/>
      <c r="D711" s="138"/>
      <c r="E711" s="54"/>
      <c r="F711" s="45"/>
      <c r="G711" s="45"/>
      <c r="H711" s="45"/>
      <c r="I711" s="55"/>
      <c r="J711" s="492"/>
    </row>
    <row r="712" spans="1:17" s="50" customFormat="1" ht="17.399999999999999" x14ac:dyDescent="0.3">
      <c r="A712" s="147" t="s">
        <v>415</v>
      </c>
      <c r="B712" s="154"/>
      <c r="C712" s="48"/>
      <c r="D712" s="138"/>
      <c r="E712" s="54"/>
      <c r="F712" s="45"/>
      <c r="G712" s="45"/>
      <c r="H712" s="45"/>
      <c r="I712" s="55"/>
      <c r="J712" s="492"/>
    </row>
    <row r="713" spans="1:17" s="50" customFormat="1" ht="6.75" customHeight="1" x14ac:dyDescent="0.3">
      <c r="A713" s="147"/>
      <c r="B713" s="154"/>
      <c r="C713" s="48"/>
      <c r="D713" s="138"/>
      <c r="E713" s="54"/>
      <c r="F713" s="45"/>
      <c r="G713" s="45"/>
      <c r="H713" s="45"/>
      <c r="I713" s="55"/>
      <c r="J713" s="492"/>
    </row>
    <row r="714" spans="1:17" s="50" customFormat="1" ht="15.6" x14ac:dyDescent="0.3">
      <c r="A714" s="121" t="s">
        <v>416</v>
      </c>
      <c r="B714" s="120"/>
      <c r="C714" s="48"/>
      <c r="D714" s="138"/>
      <c r="E714" s="54"/>
      <c r="F714" s="45"/>
      <c r="G714" s="45"/>
      <c r="H714" s="45"/>
      <c r="I714" s="55"/>
      <c r="J714" s="492"/>
    </row>
    <row r="715" spans="1:17" s="50" customFormat="1" ht="15.6" x14ac:dyDescent="0.3">
      <c r="A715" s="121"/>
      <c r="B715" s="120"/>
      <c r="C715" s="48"/>
      <c r="D715" s="138"/>
      <c r="E715" s="54"/>
      <c r="F715" s="45"/>
      <c r="G715" s="45"/>
      <c r="H715" s="45"/>
      <c r="I715" s="55"/>
      <c r="J715" s="492"/>
    </row>
    <row r="716" spans="1:17" s="50" customFormat="1" ht="15.6" x14ac:dyDescent="0.3">
      <c r="A716" s="107" t="s">
        <v>417</v>
      </c>
      <c r="B716" s="108"/>
      <c r="C716" s="48"/>
      <c r="D716" s="138">
        <f>SUM(D133:D133)</f>
        <v>0</v>
      </c>
      <c r="E716" s="54">
        <v>0</v>
      </c>
      <c r="F716" s="45">
        <f>SUM(F133:F133)</f>
        <v>0</v>
      </c>
      <c r="G716" s="45">
        <f>SUM(G133:G133)</f>
        <v>0</v>
      </c>
      <c r="H716" s="45">
        <f>SUM(H133:H133)</f>
        <v>0</v>
      </c>
      <c r="I716" s="55">
        <v>0</v>
      </c>
      <c r="J716" s="492"/>
    </row>
    <row r="717" spans="1:17" s="50" customFormat="1" ht="7.5" customHeight="1" x14ac:dyDescent="0.3">
      <c r="A717" s="107"/>
      <c r="B717" s="108"/>
      <c r="C717" s="48"/>
      <c r="D717" s="138"/>
      <c r="E717" s="54"/>
      <c r="F717" s="45"/>
      <c r="G717" s="45"/>
      <c r="H717" s="45"/>
      <c r="I717" s="55"/>
      <c r="J717" s="492"/>
    </row>
    <row r="718" spans="1:17" s="50" customFormat="1" ht="17.399999999999999" x14ac:dyDescent="0.3">
      <c r="A718" s="121" t="s">
        <v>418</v>
      </c>
      <c r="B718" s="120"/>
      <c r="C718" s="48"/>
      <c r="D718" s="138"/>
      <c r="E718" s="54"/>
      <c r="F718" s="45"/>
      <c r="G718" s="45"/>
      <c r="H718" s="45"/>
      <c r="I718" s="55"/>
      <c r="J718" s="493"/>
    </row>
    <row r="719" spans="1:17" s="50" customFormat="1" ht="15.6" x14ac:dyDescent="0.3">
      <c r="A719" s="53"/>
      <c r="B719" s="47"/>
      <c r="C719" s="155"/>
      <c r="D719" s="156"/>
      <c r="E719" s="54"/>
      <c r="F719" s="45"/>
      <c r="G719" s="45"/>
      <c r="H719" s="45"/>
      <c r="I719" s="55"/>
      <c r="J719" s="492"/>
    </row>
    <row r="720" spans="1:17" s="56" customFormat="1" ht="15" x14ac:dyDescent="0.25">
      <c r="A720" s="53" t="s">
        <v>419</v>
      </c>
      <c r="B720" s="52">
        <v>37083</v>
      </c>
      <c r="C720" s="53" t="s">
        <v>420</v>
      </c>
      <c r="D720" s="138">
        <f>I720/0.015</f>
        <v>34232.733333333337</v>
      </c>
      <c r="E720" s="54">
        <v>513.49099999999999</v>
      </c>
      <c r="F720" s="45">
        <v>0</v>
      </c>
      <c r="G720" s="45">
        <v>0</v>
      </c>
      <c r="H720" s="45">
        <v>0</v>
      </c>
      <c r="I720" s="55">
        <f>SUM(E720:H720)</f>
        <v>513.49099999999999</v>
      </c>
      <c r="J720" s="492"/>
    </row>
    <row r="721" spans="1:17" s="56" customFormat="1" ht="15" x14ac:dyDescent="0.25">
      <c r="A721" s="53" t="s">
        <v>421</v>
      </c>
      <c r="B721" s="52">
        <v>37083</v>
      </c>
      <c r="C721" s="53" t="s">
        <v>420</v>
      </c>
      <c r="D721" s="157">
        <f>I721/0.015</f>
        <v>2123.8000000000002</v>
      </c>
      <c r="E721" s="76">
        <v>31.856999999999999</v>
      </c>
      <c r="F721" s="77">
        <v>0</v>
      </c>
      <c r="G721" s="77">
        <v>0</v>
      </c>
      <c r="H721" s="77">
        <v>0</v>
      </c>
      <c r="I721" s="78">
        <f>SUM(E721:H721)</f>
        <v>31.856999999999999</v>
      </c>
      <c r="J721" s="492"/>
    </row>
    <row r="722" spans="1:17" s="89" customFormat="1" ht="17.399999999999999" x14ac:dyDescent="0.3">
      <c r="A722" s="107" t="s">
        <v>422</v>
      </c>
      <c r="B722" s="108"/>
      <c r="C722" s="57"/>
      <c r="D722" s="156">
        <f t="shared" ref="D722:I722" si="61">SUM(D719:D721)</f>
        <v>36356.53333333334</v>
      </c>
      <c r="E722" s="54">
        <f t="shared" si="61"/>
        <v>545.34799999999996</v>
      </c>
      <c r="F722" s="45">
        <f t="shared" si="61"/>
        <v>0</v>
      </c>
      <c r="G722" s="45">
        <f t="shared" si="61"/>
        <v>0</v>
      </c>
      <c r="H722" s="45">
        <f t="shared" si="61"/>
        <v>0</v>
      </c>
      <c r="I722" s="55">
        <f t="shared" si="61"/>
        <v>545.34799999999996</v>
      </c>
      <c r="J722" s="493"/>
    </row>
    <row r="723" spans="1:17" s="50" customFormat="1" ht="16.2" thickBot="1" x14ac:dyDescent="0.35">
      <c r="A723" s="53"/>
      <c r="B723" s="47"/>
      <c r="C723" s="57"/>
      <c r="D723" s="142"/>
      <c r="E723" s="158"/>
      <c r="F723" s="159"/>
      <c r="G723" s="159"/>
      <c r="H723" s="159"/>
      <c r="I723" s="160"/>
      <c r="J723" s="492"/>
    </row>
    <row r="724" spans="1:17" s="50" customFormat="1" ht="17.399999999999999" x14ac:dyDescent="0.3">
      <c r="A724" s="134" t="s">
        <v>423</v>
      </c>
      <c r="B724" s="146"/>
      <c r="C724" s="147"/>
      <c r="D724" s="149">
        <f t="shared" ref="D724:I724" si="62">D722+D716</f>
        <v>36356.53333333334</v>
      </c>
      <c r="E724" s="161">
        <f t="shared" si="62"/>
        <v>545.34799999999996</v>
      </c>
      <c r="F724" s="162">
        <f t="shared" si="62"/>
        <v>0</v>
      </c>
      <c r="G724" s="162">
        <f t="shared" si="62"/>
        <v>0</v>
      </c>
      <c r="H724" s="162">
        <f t="shared" si="62"/>
        <v>0</v>
      </c>
      <c r="I724" s="163">
        <f t="shared" si="62"/>
        <v>545.34799999999996</v>
      </c>
      <c r="J724" s="492"/>
    </row>
    <row r="725" spans="1:17" s="50" customFormat="1" ht="15.6" x14ac:dyDescent="0.3">
      <c r="A725" s="107"/>
      <c r="B725" s="108"/>
      <c r="C725" s="48"/>
      <c r="D725" s="138"/>
      <c r="E725" s="54"/>
      <c r="F725" s="45"/>
      <c r="G725" s="45"/>
      <c r="H725" s="45"/>
      <c r="I725" s="55"/>
      <c r="J725" s="492"/>
    </row>
    <row r="726" spans="1:17" s="50" customFormat="1" ht="17.399999999999999" x14ac:dyDescent="0.3">
      <c r="A726" s="147" t="s">
        <v>424</v>
      </c>
      <c r="B726" s="154"/>
      <c r="C726" s="48"/>
      <c r="D726" s="138"/>
      <c r="E726" s="54"/>
      <c r="F726" s="45"/>
      <c r="G726" s="45"/>
      <c r="H726" s="45"/>
      <c r="I726" s="55"/>
      <c r="J726" s="492"/>
    </row>
    <row r="727" spans="1:17" s="50" customFormat="1" ht="17.399999999999999" x14ac:dyDescent="0.3">
      <c r="A727" s="147"/>
      <c r="B727" s="154"/>
      <c r="C727" s="48"/>
      <c r="D727" s="138"/>
      <c r="E727" s="54"/>
      <c r="F727" s="45"/>
      <c r="G727" s="45"/>
      <c r="H727" s="45"/>
      <c r="I727" s="55"/>
      <c r="J727" s="492"/>
    </row>
    <row r="728" spans="1:17" s="50" customFormat="1" ht="17.399999999999999" x14ac:dyDescent="0.3">
      <c r="A728" s="411" t="s">
        <v>601</v>
      </c>
      <c r="B728" s="154"/>
      <c r="C728" s="48"/>
      <c r="D728" s="138"/>
      <c r="E728" s="54">
        <v>100</v>
      </c>
      <c r="F728" s="45">
        <v>-0.376</v>
      </c>
      <c r="G728" s="45"/>
      <c r="H728" s="45"/>
      <c r="I728" s="55">
        <f>F728+E728</f>
        <v>99.623999999999995</v>
      </c>
      <c r="J728" s="492"/>
    </row>
    <row r="729" spans="1:17" s="50" customFormat="1" ht="17.399999999999999" x14ac:dyDescent="0.3">
      <c r="A729" s="411" t="s">
        <v>658</v>
      </c>
      <c r="B729" s="154"/>
      <c r="C729" s="48"/>
      <c r="D729" s="138"/>
      <c r="E729" s="45">
        <v>0</v>
      </c>
      <c r="F729" s="45"/>
      <c r="G729" s="45"/>
      <c r="H729" s="45"/>
      <c r="I729" s="55">
        <f>SUM(E729:G729)</f>
        <v>0</v>
      </c>
      <c r="J729" s="492"/>
    </row>
    <row r="730" spans="1:17" s="50" customFormat="1" ht="17.399999999999999" x14ac:dyDescent="0.3">
      <c r="A730" s="147"/>
      <c r="B730" s="154"/>
      <c r="C730" s="48"/>
      <c r="D730" s="138"/>
      <c r="E730" s="54"/>
      <c r="F730" s="45"/>
      <c r="G730" s="45"/>
      <c r="H730" s="45"/>
      <c r="I730" s="55"/>
      <c r="J730" s="492"/>
    </row>
    <row r="731" spans="1:17" ht="15.75" customHeight="1" thickBot="1" x14ac:dyDescent="0.35">
      <c r="A731" s="53"/>
      <c r="B731" s="47"/>
      <c r="C731" s="48"/>
      <c r="D731" s="138"/>
      <c r="E731" s="158"/>
      <c r="F731" s="159"/>
      <c r="G731" s="159"/>
      <c r="H731" s="159"/>
      <c r="I731" s="160"/>
      <c r="J731" s="494"/>
      <c r="K731" s="169"/>
      <c r="L731" s="169"/>
      <c r="M731" s="169"/>
      <c r="N731" s="169"/>
      <c r="O731" s="169"/>
      <c r="P731" s="169"/>
      <c r="Q731" s="169"/>
    </row>
    <row r="732" spans="1:17" s="153" customFormat="1" ht="20.25" customHeight="1" thickBot="1" x14ac:dyDescent="0.35">
      <c r="A732" s="134" t="s">
        <v>642</v>
      </c>
      <c r="B732" s="146"/>
      <c r="C732" s="48"/>
      <c r="D732" s="156"/>
      <c r="E732" s="205">
        <f>SUM(E728:E729)</f>
        <v>100</v>
      </c>
      <c r="F732" s="205">
        <f>SUM(F728:F729)</f>
        <v>-0.376</v>
      </c>
      <c r="G732" s="205">
        <f>SUM(G728:G729)</f>
        <v>0</v>
      </c>
      <c r="H732" s="205">
        <f>SUM(H731:H731)</f>
        <v>0</v>
      </c>
      <c r="I732" s="402">
        <f>SUM(E732:H732)</f>
        <v>99.623999999999995</v>
      </c>
      <c r="J732" s="498"/>
    </row>
    <row r="733" spans="1:17" s="153" customFormat="1" ht="20.25" customHeight="1" thickBot="1" x14ac:dyDescent="0.35">
      <c r="A733" s="164"/>
      <c r="B733" s="165"/>
      <c r="C733" s="166"/>
      <c r="D733" s="425"/>
      <c r="E733" s="167"/>
      <c r="F733" s="167"/>
      <c r="G733" s="167"/>
      <c r="H733" s="167"/>
      <c r="I733" s="168"/>
      <c r="J733" s="499"/>
    </row>
    <row r="734" spans="1:17" ht="18" thickBot="1" x14ac:dyDescent="0.35">
      <c r="A734" s="170" t="s">
        <v>425</v>
      </c>
      <c r="B734" s="171"/>
      <c r="C734" s="170"/>
      <c r="D734" s="172">
        <f t="shared" ref="D734:I734" si="63">D705+D143+D732+D724</f>
        <v>2549043.8350000004</v>
      </c>
      <c r="E734" s="172">
        <f t="shared" si="63"/>
        <v>174742.6182</v>
      </c>
      <c r="F734" s="173">
        <f t="shared" si="63"/>
        <v>-25057.540999999997</v>
      </c>
      <c r="G734" s="173">
        <f t="shared" si="63"/>
        <v>0</v>
      </c>
      <c r="H734" s="173">
        <f t="shared" si="63"/>
        <v>0</v>
      </c>
      <c r="I734" s="174">
        <f t="shared" si="63"/>
        <v>149685.11619999999</v>
      </c>
    </row>
    <row r="735" spans="1:17" ht="18" thickBot="1" x14ac:dyDescent="0.35">
      <c r="A735" s="175"/>
      <c r="B735" s="175"/>
      <c r="C735" s="175"/>
      <c r="D735" s="176"/>
      <c r="E735" s="176"/>
      <c r="F735" s="176"/>
      <c r="G735" s="176"/>
      <c r="H735" s="176"/>
      <c r="I735" s="176"/>
    </row>
    <row r="736" spans="1:17" ht="18" thickBot="1" x14ac:dyDescent="0.35">
      <c r="A736" s="170" t="s">
        <v>426</v>
      </c>
      <c r="B736" s="177"/>
      <c r="C736" s="177"/>
      <c r="D736" s="178">
        <v>5889675</v>
      </c>
      <c r="E736" s="173">
        <v>111764.913</v>
      </c>
      <c r="F736" s="173">
        <v>-38184.82</v>
      </c>
      <c r="G736" s="173">
        <v>0</v>
      </c>
      <c r="H736" s="173">
        <v>-10250.858999999999</v>
      </c>
      <c r="I736" s="174">
        <v>63329.233999999989</v>
      </c>
    </row>
    <row r="737" spans="1:9" ht="18" thickBot="1" x14ac:dyDescent="0.35">
      <c r="A737" s="170" t="s">
        <v>427</v>
      </c>
      <c r="B737" s="177"/>
      <c r="C737" s="177"/>
      <c r="D737" s="178">
        <v>7211954</v>
      </c>
      <c r="E737" s="173">
        <v>136809</v>
      </c>
      <c r="F737" s="173">
        <v>-21945</v>
      </c>
      <c r="G737" s="173">
        <v>-1338</v>
      </c>
      <c r="H737" s="173">
        <v>14261</v>
      </c>
      <c r="I737" s="174">
        <v>127786</v>
      </c>
    </row>
    <row r="738" spans="1:9" ht="18" thickBot="1" x14ac:dyDescent="0.35">
      <c r="A738" s="170" t="s">
        <v>428</v>
      </c>
      <c r="B738" s="177"/>
      <c r="C738" s="177"/>
      <c r="D738" s="178">
        <f t="shared" ref="D738:I738" si="64">D734</f>
        <v>2549043.8350000004</v>
      </c>
      <c r="E738" s="173">
        <f t="shared" si="64"/>
        <v>174742.6182</v>
      </c>
      <c r="F738" s="173">
        <f t="shared" si="64"/>
        <v>-25057.540999999997</v>
      </c>
      <c r="G738" s="173">
        <f t="shared" si="64"/>
        <v>0</v>
      </c>
      <c r="H738" s="173">
        <f t="shared" si="64"/>
        <v>0</v>
      </c>
      <c r="I738" s="174">
        <f t="shared" si="64"/>
        <v>149685.11619999999</v>
      </c>
    </row>
    <row r="739" spans="1:9" ht="18" hidden="1" thickBot="1" x14ac:dyDescent="0.35">
      <c r="A739" s="170" t="s">
        <v>429</v>
      </c>
      <c r="B739" s="177"/>
      <c r="C739" s="177"/>
      <c r="D739" s="178">
        <v>0</v>
      </c>
      <c r="E739" s="173">
        <v>0</v>
      </c>
      <c r="F739" s="173">
        <v>0</v>
      </c>
      <c r="G739" s="173">
        <v>0</v>
      </c>
      <c r="H739" s="173">
        <v>0</v>
      </c>
      <c r="I739" s="174">
        <v>0</v>
      </c>
    </row>
    <row r="740" spans="1:9" ht="18" thickBot="1" x14ac:dyDescent="0.35">
      <c r="A740" s="170" t="s">
        <v>430</v>
      </c>
      <c r="B740" s="177"/>
      <c r="C740" s="177"/>
      <c r="D740" s="178">
        <f t="shared" ref="D740:I740" si="65">SUM(D736:D739)</f>
        <v>15650672.835000001</v>
      </c>
      <c r="E740" s="173">
        <f t="shared" si="65"/>
        <v>423316.53119999997</v>
      </c>
      <c r="F740" s="173">
        <f t="shared" si="65"/>
        <v>-85187.361000000004</v>
      </c>
      <c r="G740" s="173">
        <f t="shared" si="65"/>
        <v>-1338</v>
      </c>
      <c r="H740" s="173">
        <f t="shared" si="65"/>
        <v>4010.1410000000014</v>
      </c>
      <c r="I740" s="174">
        <f t="shared" si="65"/>
        <v>340800.35019999999</v>
      </c>
    </row>
    <row r="741" spans="1:9" ht="12.75" customHeight="1" thickBot="1" x14ac:dyDescent="0.3">
      <c r="D741" s="103"/>
      <c r="I741" s="11"/>
    </row>
    <row r="742" spans="1:9" ht="18" thickBot="1" x14ac:dyDescent="0.35">
      <c r="A742" s="179" t="s">
        <v>431</v>
      </c>
      <c r="B742" s="180"/>
      <c r="C742" s="181"/>
      <c r="D742" s="178">
        <v>0</v>
      </c>
      <c r="G742" s="11"/>
      <c r="H742" s="11"/>
    </row>
    <row r="743" spans="1:9" ht="12.75" customHeight="1" x14ac:dyDescent="0.25">
      <c r="D743" s="182"/>
      <c r="H743" s="11"/>
    </row>
    <row r="744" spans="1:9" ht="12.75" customHeight="1" x14ac:dyDescent="0.25">
      <c r="A744" s="183" t="s">
        <v>432</v>
      </c>
      <c r="B744" s="184"/>
      <c r="D744" s="504"/>
      <c r="H744" s="11"/>
    </row>
    <row r="745" spans="1:9" ht="12.75" customHeight="1" x14ac:dyDescent="0.25">
      <c r="A745" s="185" t="s">
        <v>433</v>
      </c>
      <c r="B745" s="186"/>
      <c r="D745" s="182"/>
      <c r="H745" s="11"/>
    </row>
    <row r="746" spans="1:9" ht="15" x14ac:dyDescent="0.25">
      <c r="A746" s="187"/>
      <c r="B746" s="75"/>
      <c r="C746" s="2"/>
      <c r="D746" s="103"/>
      <c r="E746" s="2"/>
      <c r="F746" s="2"/>
      <c r="G746" s="2"/>
      <c r="H746" s="11"/>
    </row>
    <row r="747" spans="1:9" ht="15.6" thickBot="1" x14ac:dyDescent="0.3">
      <c r="A747" s="187"/>
      <c r="B747" s="75"/>
      <c r="C747" s="2"/>
      <c r="D747" s="103"/>
      <c r="E747" s="2"/>
      <c r="F747" s="2"/>
      <c r="G747" s="2"/>
      <c r="H747" s="11"/>
    </row>
    <row r="748" spans="1:9" ht="18" thickBot="1" x14ac:dyDescent="0.35">
      <c r="A748" s="524" t="s">
        <v>434</v>
      </c>
      <c r="B748" s="525"/>
      <c r="C748" s="525"/>
      <c r="D748" s="526"/>
      <c r="H748" s="11"/>
    </row>
    <row r="749" spans="1:9" ht="17.399999999999999" x14ac:dyDescent="0.3">
      <c r="A749" s="134" t="s">
        <v>435</v>
      </c>
      <c r="B749" s="188"/>
      <c r="C749" s="3"/>
      <c r="D749" s="189">
        <f>D734</f>
        <v>2549043.8350000004</v>
      </c>
      <c r="H749" s="11"/>
    </row>
    <row r="750" spans="1:9" ht="17.399999999999999" x14ac:dyDescent="0.3">
      <c r="A750" s="134" t="s">
        <v>436</v>
      </c>
      <c r="B750" s="188"/>
      <c r="C750" s="3"/>
      <c r="D750" s="189">
        <f>'International Origin Summary'!G157</f>
        <v>243585.97374816606</v>
      </c>
      <c r="H750" s="11"/>
    </row>
    <row r="751" spans="1:9" ht="17.399999999999999" x14ac:dyDescent="0.3">
      <c r="A751" s="134" t="s">
        <v>437</v>
      </c>
      <c r="B751" s="188"/>
      <c r="C751" s="3"/>
      <c r="D751" s="189">
        <f>'International Origin Summary'!G109</f>
        <v>12058.6056521377</v>
      </c>
      <c r="H751" s="11"/>
    </row>
    <row r="752" spans="1:9" ht="18" thickBot="1" x14ac:dyDescent="0.35">
      <c r="A752" s="134" t="s">
        <v>438</v>
      </c>
      <c r="B752" s="188"/>
      <c r="C752" s="3"/>
      <c r="D752" s="189">
        <f>D761</f>
        <v>0</v>
      </c>
      <c r="H752" s="11"/>
    </row>
    <row r="753" spans="1:10" ht="18" thickBot="1" x14ac:dyDescent="0.35">
      <c r="A753" s="179" t="s">
        <v>439</v>
      </c>
      <c r="B753" s="180"/>
      <c r="C753" s="190"/>
      <c r="D753" s="191">
        <f>SUM(D749:D752)</f>
        <v>2804688.4144003042</v>
      </c>
      <c r="H753" s="11"/>
    </row>
    <row r="754" spans="1:10" ht="36" customHeight="1" x14ac:dyDescent="0.3">
      <c r="A754" s="188"/>
      <c r="B754" s="188"/>
      <c r="C754" s="3"/>
      <c r="D754" s="192"/>
      <c r="E754" s="193"/>
      <c r="F754" s="193"/>
      <c r="G754" s="193"/>
      <c r="H754" s="11"/>
      <c r="I754" s="11"/>
    </row>
    <row r="755" spans="1:10" ht="16.5" customHeight="1" thickBot="1" x14ac:dyDescent="0.3">
      <c r="D755" s="182"/>
      <c r="H755" s="11"/>
    </row>
    <row r="756" spans="1:10" ht="36.6" thickBot="1" x14ac:dyDescent="0.3">
      <c r="A756" s="194" t="s">
        <v>440</v>
      </c>
      <c r="B756" s="195"/>
      <c r="C756" s="196"/>
      <c r="D756" s="197" t="s">
        <v>6</v>
      </c>
      <c r="E756" s="197" t="s">
        <v>534</v>
      </c>
      <c r="F756" s="197" t="s">
        <v>7</v>
      </c>
      <c r="G756" s="197" t="s">
        <v>8</v>
      </c>
      <c r="H756" s="18" t="s">
        <v>9</v>
      </c>
      <c r="I756" s="12" t="s">
        <v>535</v>
      </c>
    </row>
    <row r="757" spans="1:10" ht="16.5" customHeight="1" thickBot="1" x14ac:dyDescent="0.35">
      <c r="A757" s="47"/>
      <c r="B757" s="198"/>
      <c r="C757" s="199"/>
      <c r="D757" s="200"/>
      <c r="E757" s="45"/>
      <c r="F757" s="45"/>
      <c r="G757" s="45"/>
      <c r="H757" s="45"/>
      <c r="I757" s="201"/>
      <c r="J757" s="500"/>
    </row>
    <row r="758" spans="1:10" ht="16.5" customHeight="1" x14ac:dyDescent="0.3">
      <c r="A758" s="202"/>
      <c r="B758" s="198"/>
      <c r="C758" s="203"/>
      <c r="D758" s="204"/>
      <c r="E758" s="205"/>
      <c r="F758" s="205"/>
      <c r="G758" s="205"/>
      <c r="H758" s="205"/>
      <c r="I758" s="201"/>
      <c r="J758" s="500"/>
    </row>
    <row r="759" spans="1:10" ht="15.75" customHeight="1" x14ac:dyDescent="0.3">
      <c r="A759" s="119"/>
      <c r="B759" s="53"/>
      <c r="C759" s="199"/>
      <c r="D759" s="200"/>
      <c r="E759" s="45">
        <v>0</v>
      </c>
      <c r="F759" s="45"/>
      <c r="G759" s="45">
        <v>0</v>
      </c>
      <c r="H759" s="45"/>
      <c r="I759" s="156">
        <f>SUM(E759:G759)</f>
        <v>0</v>
      </c>
    </row>
    <row r="760" spans="1:10" ht="15.75" customHeight="1" thickBot="1" x14ac:dyDescent="0.3">
      <c r="A760" s="207"/>
      <c r="B760" s="208"/>
      <c r="C760" s="209"/>
      <c r="D760" s="210"/>
      <c r="E760" s="211"/>
      <c r="F760" s="211"/>
      <c r="G760" s="211"/>
      <c r="H760" s="105"/>
      <c r="I760" s="166"/>
    </row>
    <row r="761" spans="1:10" ht="12.75" customHeight="1" thickBot="1" x14ac:dyDescent="0.35">
      <c r="A761" s="212" t="s">
        <v>441</v>
      </c>
      <c r="B761" s="213"/>
      <c r="C761" s="214"/>
      <c r="D761" s="215">
        <f t="shared" ref="D761:I761" si="66">SUM(D757:D760)</f>
        <v>0</v>
      </c>
      <c r="E761" s="215">
        <f t="shared" si="66"/>
        <v>0</v>
      </c>
      <c r="F761" s="215">
        <f t="shared" si="66"/>
        <v>0</v>
      </c>
      <c r="G761" s="215">
        <f t="shared" si="66"/>
        <v>0</v>
      </c>
      <c r="H761" s="215">
        <f t="shared" si="66"/>
        <v>0</v>
      </c>
      <c r="I761" s="215">
        <f t="shared" si="66"/>
        <v>0</v>
      </c>
    </row>
    <row r="762" spans="1:10" ht="12.75" customHeight="1" x14ac:dyDescent="0.3">
      <c r="B762" s="216"/>
      <c r="C762" s="11"/>
      <c r="D762" s="45"/>
      <c r="E762" s="105"/>
      <c r="F762" s="105"/>
      <c r="G762" s="105"/>
      <c r="H762" s="105"/>
      <c r="I762" s="217"/>
    </row>
    <row r="763" spans="1:10" ht="12.75" customHeight="1" x14ac:dyDescent="0.3">
      <c r="A763" s="216" t="s">
        <v>442</v>
      </c>
      <c r="B763" s="216"/>
      <c r="C763" s="193"/>
      <c r="D763" s="182"/>
      <c r="E763" s="193"/>
      <c r="F763" s="193"/>
      <c r="G763" s="193"/>
      <c r="H763" s="11"/>
      <c r="I763" s="11"/>
    </row>
    <row r="764" spans="1:10" ht="12.75" customHeight="1" x14ac:dyDescent="0.3">
      <c r="A764" s="216" t="s">
        <v>443</v>
      </c>
      <c r="B764" s="216"/>
      <c r="C764" s="193"/>
      <c r="D764" s="182"/>
      <c r="E764" s="193"/>
      <c r="F764" s="193"/>
      <c r="G764" s="193"/>
      <c r="H764" s="11"/>
      <c r="I764" s="11"/>
    </row>
    <row r="765" spans="1:10" ht="12.75" customHeight="1" thickBot="1" x14ac:dyDescent="0.35">
      <c r="A765" s="216"/>
      <c r="B765" s="216"/>
      <c r="C765" s="193"/>
      <c r="D765" s="182"/>
      <c r="E765" s="193"/>
      <c r="F765" s="193"/>
      <c r="G765" s="193"/>
      <c r="H765" s="11"/>
      <c r="I765" s="11"/>
    </row>
    <row r="766" spans="1:10" ht="12.75" customHeight="1" x14ac:dyDescent="0.3">
      <c r="A766" s="521" t="s">
        <v>444</v>
      </c>
      <c r="B766" s="522"/>
      <c r="C766" s="522"/>
      <c r="D766" s="523"/>
      <c r="H766" s="11"/>
    </row>
    <row r="767" spans="1:10" ht="12.75" customHeight="1" x14ac:dyDescent="0.3">
      <c r="A767" s="218" t="s">
        <v>445</v>
      </c>
      <c r="B767" s="219"/>
      <c r="C767" s="219"/>
      <c r="D767" s="220"/>
      <c r="H767" s="11"/>
    </row>
    <row r="768" spans="1:10" ht="12.75" customHeight="1" x14ac:dyDescent="0.25">
      <c r="A768" s="221" t="s">
        <v>446</v>
      </c>
      <c r="B768" s="2"/>
      <c r="C768" s="2"/>
      <c r="D768" s="222">
        <v>-175042</v>
      </c>
      <c r="H768" s="11"/>
    </row>
    <row r="769" spans="1:8" ht="12.75" customHeight="1" x14ac:dyDescent="0.25">
      <c r="A769" s="221" t="s">
        <v>447</v>
      </c>
      <c r="B769" s="2"/>
      <c r="C769" s="2"/>
      <c r="D769" s="223">
        <v>-132745</v>
      </c>
      <c r="H769" s="11"/>
    </row>
    <row r="770" spans="1:8" ht="12.75" customHeight="1" x14ac:dyDescent="0.25">
      <c r="A770" s="221" t="s">
        <v>448</v>
      </c>
      <c r="B770" s="2"/>
      <c r="C770" s="2"/>
      <c r="D770" s="223">
        <v>-2266103</v>
      </c>
      <c r="H770" s="11"/>
    </row>
    <row r="771" spans="1:8" ht="12.75" customHeight="1" x14ac:dyDescent="0.25">
      <c r="A771" s="221" t="s">
        <v>449</v>
      </c>
      <c r="B771" s="2"/>
      <c r="C771" s="2"/>
      <c r="D771" s="222">
        <v>-1034053</v>
      </c>
      <c r="H771" s="11"/>
    </row>
    <row r="772" spans="1:8" ht="12.75" customHeight="1" x14ac:dyDescent="0.25">
      <c r="A772" s="221" t="s">
        <v>450</v>
      </c>
      <c r="B772" s="2"/>
      <c r="C772" s="2"/>
      <c r="D772" s="223">
        <v>-1152333</v>
      </c>
      <c r="H772" s="11"/>
    </row>
    <row r="773" spans="1:8" ht="12.75" customHeight="1" x14ac:dyDescent="0.25">
      <c r="A773" s="221" t="s">
        <v>451</v>
      </c>
      <c r="B773" s="2"/>
      <c r="C773" s="2"/>
      <c r="D773" s="222">
        <v>-108781</v>
      </c>
      <c r="H773" s="11"/>
    </row>
    <row r="774" spans="1:8" ht="12.75" customHeight="1" x14ac:dyDescent="0.25">
      <c r="A774" s="221" t="s">
        <v>464</v>
      </c>
      <c r="B774" s="2"/>
      <c r="C774" s="2"/>
      <c r="D774" s="223">
        <v>-222995</v>
      </c>
      <c r="H774" s="11"/>
    </row>
    <row r="775" spans="1:8" ht="12.75" customHeight="1" x14ac:dyDescent="0.25">
      <c r="A775" s="221" t="s">
        <v>452</v>
      </c>
      <c r="B775" s="2"/>
      <c r="C775" s="2"/>
      <c r="D775" s="223">
        <v>-445815</v>
      </c>
      <c r="H775" s="11"/>
    </row>
    <row r="776" spans="1:8" ht="12.75" customHeight="1" x14ac:dyDescent="0.25">
      <c r="A776" s="221" t="s">
        <v>577</v>
      </c>
      <c r="B776" s="2"/>
      <c r="C776" s="2"/>
      <c r="D776" s="224">
        <v>-1216186</v>
      </c>
      <c r="H776" s="11"/>
    </row>
    <row r="777" spans="1:8" ht="12.75" customHeight="1" x14ac:dyDescent="0.25">
      <c r="A777" s="221" t="s">
        <v>565</v>
      </c>
      <c r="B777" s="2"/>
      <c r="C777" s="2"/>
      <c r="D777" s="224">
        <v>-420433</v>
      </c>
      <c r="H777" s="11"/>
    </row>
    <row r="778" spans="1:8" ht="12.75" customHeight="1" x14ac:dyDescent="0.25">
      <c r="A778" s="221" t="s">
        <v>453</v>
      </c>
      <c r="B778" s="2"/>
      <c r="C778" s="2"/>
      <c r="D778" s="224">
        <v>-5477</v>
      </c>
      <c r="H778" s="11"/>
    </row>
    <row r="779" spans="1:8" ht="12.75" customHeight="1" x14ac:dyDescent="0.25">
      <c r="A779" s="221" t="s">
        <v>453</v>
      </c>
      <c r="B779" s="2"/>
      <c r="C779" s="2"/>
      <c r="D779" s="223">
        <v>47227</v>
      </c>
      <c r="H779" s="11"/>
    </row>
    <row r="780" spans="1:8" ht="12.75" customHeight="1" x14ac:dyDescent="0.25">
      <c r="A780" s="221" t="s">
        <v>454</v>
      </c>
      <c r="B780" s="225"/>
      <c r="C780" s="225"/>
      <c r="D780" s="222">
        <v>-1442244.09</v>
      </c>
      <c r="H780" s="11"/>
    </row>
    <row r="781" spans="1:8" ht="12.75" customHeight="1" x14ac:dyDescent="0.25">
      <c r="A781" s="221" t="s">
        <v>576</v>
      </c>
      <c r="B781" s="2"/>
      <c r="C781" s="2"/>
      <c r="D781" s="229">
        <v>-982505</v>
      </c>
      <c r="H781" s="11"/>
    </row>
    <row r="782" spans="1:8" ht="12.75" customHeight="1" x14ac:dyDescent="0.25">
      <c r="A782" s="227"/>
      <c r="B782" s="225"/>
      <c r="C782" s="225"/>
      <c r="D782" s="222">
        <f>SUM(D767:D781)</f>
        <v>-9557485.0899999999</v>
      </c>
      <c r="H782" s="11"/>
    </row>
    <row r="783" spans="1:8" ht="12.75" customHeight="1" x14ac:dyDescent="0.25">
      <c r="A783" s="228" t="s">
        <v>455</v>
      </c>
      <c r="B783" s="225"/>
      <c r="C783" s="225"/>
      <c r="D783" s="222"/>
      <c r="H783" s="11"/>
    </row>
    <row r="784" spans="1:8" ht="12.75" customHeight="1" x14ac:dyDescent="0.3">
      <c r="A784" s="221" t="s">
        <v>456</v>
      </c>
      <c r="B784" s="219"/>
      <c r="C784" s="219"/>
      <c r="D784" s="223">
        <v>-182718</v>
      </c>
      <c r="H784" s="11"/>
    </row>
    <row r="785" spans="1:8" ht="12.75" customHeight="1" x14ac:dyDescent="0.25">
      <c r="A785" s="221" t="s">
        <v>457</v>
      </c>
      <c r="B785" s="2"/>
      <c r="C785" s="2"/>
      <c r="D785" s="224">
        <v>-496630.87</v>
      </c>
      <c r="H785" s="11"/>
    </row>
    <row r="786" spans="1:8" ht="12.75" customHeight="1" x14ac:dyDescent="0.25">
      <c r="A786" s="221" t="s">
        <v>458</v>
      </c>
      <c r="B786" s="2"/>
      <c r="C786" s="2"/>
      <c r="D786" s="224">
        <v>-1002920.91</v>
      </c>
      <c r="H786" s="11"/>
    </row>
    <row r="787" spans="1:8" ht="12.75" customHeight="1" x14ac:dyDescent="0.25">
      <c r="A787" s="221" t="s">
        <v>459</v>
      </c>
      <c r="B787" s="2"/>
      <c r="C787" s="2"/>
      <c r="D787" s="224">
        <v>-652960.73</v>
      </c>
      <c r="H787" s="11"/>
    </row>
    <row r="788" spans="1:8" ht="12.75" customHeight="1" x14ac:dyDescent="0.25">
      <c r="A788" s="221" t="s">
        <v>460</v>
      </c>
      <c r="B788" s="2"/>
      <c r="C788" s="2"/>
      <c r="D788" s="224">
        <v>-1324349.1599999999</v>
      </c>
      <c r="H788" s="11"/>
    </row>
    <row r="789" spans="1:8" ht="12.75" customHeight="1" x14ac:dyDescent="0.25">
      <c r="A789" s="221" t="s">
        <v>461</v>
      </c>
      <c r="B789" s="2"/>
      <c r="C789" s="2"/>
      <c r="D789" s="223">
        <v>-3286798</v>
      </c>
      <c r="H789" s="11"/>
    </row>
    <row r="790" spans="1:8" ht="12.75" customHeight="1" x14ac:dyDescent="0.25">
      <c r="A790" s="221" t="s">
        <v>465</v>
      </c>
      <c r="B790" s="2"/>
      <c r="C790" s="2"/>
      <c r="D790" s="226">
        <v>-427019</v>
      </c>
      <c r="H790" s="11"/>
    </row>
    <row r="791" spans="1:8" ht="12.75" customHeight="1" x14ac:dyDescent="0.25">
      <c r="A791" s="227"/>
      <c r="B791" s="2"/>
      <c r="C791" s="2"/>
      <c r="D791" s="223">
        <f>SUM(D784:D790)</f>
        <v>-7373396.6699999999</v>
      </c>
      <c r="H791" s="11"/>
    </row>
    <row r="792" spans="1:8" ht="12.75" customHeight="1" x14ac:dyDescent="0.25">
      <c r="A792" s="227"/>
      <c r="B792" s="2"/>
      <c r="C792" s="2"/>
      <c r="D792" s="223"/>
      <c r="H792" s="11"/>
    </row>
    <row r="793" spans="1:8" ht="12.75" customHeight="1" x14ac:dyDescent="0.25">
      <c r="A793" s="230" t="s">
        <v>462</v>
      </c>
      <c r="B793" s="2"/>
      <c r="C793" s="2"/>
      <c r="D793" s="231">
        <f>+D791+D782</f>
        <v>-16930881.759999998</v>
      </c>
      <c r="H793" s="11"/>
    </row>
    <row r="794" spans="1:8" ht="12.75" customHeight="1" x14ac:dyDescent="0.25">
      <c r="A794" s="221"/>
      <c r="B794" s="2"/>
      <c r="C794" s="2"/>
      <c r="D794" s="223"/>
      <c r="H794" s="11"/>
    </row>
    <row r="795" spans="1:8" ht="12.75" customHeight="1" x14ac:dyDescent="0.3">
      <c r="A795" s="218" t="s">
        <v>463</v>
      </c>
      <c r="B795" s="2"/>
      <c r="C795" s="2"/>
      <c r="D795" s="223"/>
      <c r="H795" s="11"/>
    </row>
    <row r="796" spans="1:8" ht="12.75" customHeight="1" x14ac:dyDescent="0.25">
      <c r="A796" s="232" t="s">
        <v>578</v>
      </c>
      <c r="B796" s="2"/>
      <c r="C796" s="2"/>
      <c r="D796" s="226">
        <v>-35000</v>
      </c>
      <c r="H796" s="11"/>
    </row>
    <row r="797" spans="1:8" ht="12.75" customHeight="1" x14ac:dyDescent="0.25">
      <c r="A797" s="221"/>
      <c r="B797" s="2"/>
      <c r="C797" s="2"/>
      <c r="D797" s="223"/>
      <c r="H797" s="11"/>
    </row>
    <row r="798" spans="1:8" ht="12.75" customHeight="1" x14ac:dyDescent="0.25">
      <c r="A798" s="230" t="s">
        <v>466</v>
      </c>
      <c r="B798" s="2"/>
      <c r="C798" s="2"/>
      <c r="D798" s="231">
        <f>+D796</f>
        <v>-35000</v>
      </c>
      <c r="H798" s="11"/>
    </row>
    <row r="799" spans="1:8" ht="12.75" customHeight="1" x14ac:dyDescent="0.25">
      <c r="A799" s="230"/>
      <c r="B799" s="2"/>
      <c r="C799" s="2"/>
      <c r="D799" s="231"/>
      <c r="H799" s="11"/>
    </row>
    <row r="800" spans="1:8" ht="12.75" customHeight="1" x14ac:dyDescent="0.3">
      <c r="A800" s="218" t="s">
        <v>467</v>
      </c>
      <c r="B800" s="2"/>
      <c r="C800" s="2"/>
      <c r="D800" s="223"/>
      <c r="H800" s="11"/>
    </row>
    <row r="801" spans="1:8" ht="12.75" customHeight="1" thickBot="1" x14ac:dyDescent="0.3">
      <c r="A801" s="233" t="s">
        <v>468</v>
      </c>
      <c r="B801" s="2"/>
      <c r="C801" s="2"/>
      <c r="D801" s="234">
        <v>-1046000</v>
      </c>
      <c r="H801" s="11"/>
    </row>
    <row r="802" spans="1:8" ht="12.75" customHeight="1" thickTop="1" x14ac:dyDescent="0.25">
      <c r="A802" s="233"/>
      <c r="B802" s="2"/>
      <c r="C802" s="2"/>
      <c r="D802" s="223"/>
      <c r="H802" s="11"/>
    </row>
    <row r="803" spans="1:8" ht="12.75" customHeight="1" x14ac:dyDescent="0.25">
      <c r="A803" s="235" t="s">
        <v>469</v>
      </c>
      <c r="B803" s="2"/>
      <c r="C803" s="2"/>
      <c r="D803" s="231">
        <f>+D801+D798+D793</f>
        <v>-18011881.759999998</v>
      </c>
      <c r="H803" s="11"/>
    </row>
    <row r="804" spans="1:8" ht="12.75" customHeight="1" x14ac:dyDescent="0.25">
      <c r="A804" s="233"/>
      <c r="B804" s="2"/>
      <c r="C804" s="2"/>
      <c r="D804" s="223"/>
      <c r="H804" s="11"/>
    </row>
    <row r="805" spans="1:8" ht="12.75" customHeight="1" x14ac:dyDescent="0.25">
      <c r="A805" s="236" t="s">
        <v>470</v>
      </c>
      <c r="B805" s="2"/>
      <c r="C805" s="2"/>
      <c r="D805" s="223"/>
      <c r="H805" s="11"/>
    </row>
    <row r="806" spans="1:8" ht="12.75" customHeight="1" x14ac:dyDescent="0.25">
      <c r="A806" s="236" t="s">
        <v>471</v>
      </c>
      <c r="B806" s="2"/>
      <c r="C806" s="2"/>
      <c r="D806" s="223"/>
      <c r="H806" s="11"/>
    </row>
    <row r="807" spans="1:8" ht="12.75" customHeight="1" thickBot="1" x14ac:dyDescent="0.3">
      <c r="A807" s="237"/>
      <c r="B807" s="238"/>
      <c r="C807" s="238"/>
      <c r="D807" s="239"/>
      <c r="H807" s="11"/>
    </row>
    <row r="808" spans="1:8" ht="12.75" customHeight="1" x14ac:dyDescent="0.25">
      <c r="C808" s="240"/>
      <c r="H808" s="11"/>
    </row>
    <row r="809" spans="1:8" ht="12.75" customHeight="1" x14ac:dyDescent="0.25">
      <c r="C809" s="240"/>
      <c r="H809" s="11"/>
    </row>
    <row r="810" spans="1:8" ht="12.75" customHeight="1" x14ac:dyDescent="0.25">
      <c r="C810" s="240"/>
      <c r="H810" s="11"/>
    </row>
    <row r="811" spans="1:8" ht="12.75" customHeight="1" x14ac:dyDescent="0.25">
      <c r="C811" s="240"/>
      <c r="H811" s="11"/>
    </row>
    <row r="812" spans="1:8" ht="12.75" customHeight="1" x14ac:dyDescent="0.25">
      <c r="C812" s="240"/>
      <c r="H812" s="11"/>
    </row>
    <row r="813" spans="1:8" ht="12.75" customHeight="1" x14ac:dyDescent="0.25">
      <c r="C813" s="240"/>
      <c r="H813" s="11"/>
    </row>
    <row r="814" spans="1:8" ht="12.75" customHeight="1" x14ac:dyDescent="0.25">
      <c r="C814" s="240"/>
      <c r="H814" s="11"/>
    </row>
    <row r="815" spans="1:8" ht="12.75" customHeight="1" x14ac:dyDescent="0.25">
      <c r="C815" s="240"/>
      <c r="H815" s="11"/>
    </row>
    <row r="816" spans="1:8" ht="12.75" customHeight="1" x14ac:dyDescent="0.25">
      <c r="C816" s="240"/>
      <c r="H816" s="11"/>
    </row>
    <row r="817" spans="3:8" ht="12.75" customHeight="1" x14ac:dyDescent="0.25">
      <c r="C817" s="240"/>
      <c r="H817" s="11"/>
    </row>
    <row r="818" spans="3:8" ht="12.75" customHeight="1" x14ac:dyDescent="0.25">
      <c r="C818" s="240"/>
      <c r="H818" s="11"/>
    </row>
    <row r="819" spans="3:8" ht="12.75" customHeight="1" x14ac:dyDescent="0.25">
      <c r="C819" s="240"/>
      <c r="H819" s="11"/>
    </row>
    <row r="820" spans="3:8" ht="12.75" customHeight="1" x14ac:dyDescent="0.25">
      <c r="C820" s="240"/>
      <c r="H820" s="11"/>
    </row>
    <row r="821" spans="3:8" ht="12.75" customHeight="1" x14ac:dyDescent="0.25">
      <c r="C821" s="240"/>
      <c r="H821" s="11"/>
    </row>
    <row r="822" spans="3:8" ht="12.75" customHeight="1" x14ac:dyDescent="0.25">
      <c r="C822" s="240"/>
      <c r="H822" s="11"/>
    </row>
    <row r="823" spans="3:8" ht="12.75" customHeight="1" x14ac:dyDescent="0.25">
      <c r="C823" s="240"/>
      <c r="H823" s="11"/>
    </row>
    <row r="824" spans="3:8" ht="12.75" customHeight="1" x14ac:dyDescent="0.25">
      <c r="C824" s="240"/>
      <c r="H824" s="11"/>
    </row>
    <row r="825" spans="3:8" ht="12.75" customHeight="1" x14ac:dyDescent="0.25">
      <c r="C825" s="240"/>
      <c r="H825" s="11"/>
    </row>
    <row r="826" spans="3:8" ht="12.75" customHeight="1" x14ac:dyDescent="0.25">
      <c r="C826" s="240"/>
      <c r="H826" s="11"/>
    </row>
    <row r="827" spans="3:8" ht="12.75" customHeight="1" x14ac:dyDescent="0.25">
      <c r="C827" s="240"/>
      <c r="H827" s="11"/>
    </row>
    <row r="828" spans="3:8" ht="12.75" customHeight="1" x14ac:dyDescent="0.25">
      <c r="H828" s="11"/>
    </row>
    <row r="829" spans="3:8" ht="12.75" customHeight="1" x14ac:dyDescent="0.25">
      <c r="H829" s="11"/>
    </row>
    <row r="830" spans="3:8" ht="12.75" customHeight="1" x14ac:dyDescent="0.25">
      <c r="H830" s="11"/>
    </row>
    <row r="831" spans="3:8" ht="12.75" customHeight="1" x14ac:dyDescent="0.25">
      <c r="H831" s="11"/>
    </row>
    <row r="832" spans="3:8" ht="12.75" customHeight="1" x14ac:dyDescent="0.25">
      <c r="H832" s="11"/>
    </row>
    <row r="833" spans="8:8" ht="12.75" customHeight="1" x14ac:dyDescent="0.25">
      <c r="H833" s="11"/>
    </row>
    <row r="834" spans="8:8" ht="12.75" customHeight="1" x14ac:dyDescent="0.25">
      <c r="H834" s="11"/>
    </row>
    <row r="835" spans="8:8" ht="12.75" customHeight="1" x14ac:dyDescent="0.25">
      <c r="H835" s="11"/>
    </row>
    <row r="836" spans="8:8" ht="12.75" customHeight="1" x14ac:dyDescent="0.25">
      <c r="H836" s="11"/>
    </row>
    <row r="837" spans="8:8" ht="12.75" customHeight="1" x14ac:dyDescent="0.25">
      <c r="H837" s="11"/>
    </row>
    <row r="838" spans="8:8" ht="12.75" customHeight="1" x14ac:dyDescent="0.25">
      <c r="H838" s="11"/>
    </row>
    <row r="839" spans="8:8" ht="12.75" customHeight="1" x14ac:dyDescent="0.25">
      <c r="H839" s="11"/>
    </row>
    <row r="840" spans="8:8" ht="12.75" customHeight="1" x14ac:dyDescent="0.25">
      <c r="H840" s="11"/>
    </row>
    <row r="841" spans="8:8" ht="12.75" customHeight="1" x14ac:dyDescent="0.25">
      <c r="H841" s="11"/>
    </row>
    <row r="842" spans="8:8" ht="12.75" customHeight="1" x14ac:dyDescent="0.25">
      <c r="H842" s="11"/>
    </row>
    <row r="843" spans="8:8" ht="12.75" customHeight="1" x14ac:dyDescent="0.25">
      <c r="H843" s="11"/>
    </row>
    <row r="844" spans="8:8" ht="12.75" customHeight="1" x14ac:dyDescent="0.25">
      <c r="H844" s="11"/>
    </row>
    <row r="845" spans="8:8" ht="12.75" customHeight="1" x14ac:dyDescent="0.25">
      <c r="H845" s="11"/>
    </row>
    <row r="846" spans="8:8" ht="12.75" customHeight="1" x14ac:dyDescent="0.25">
      <c r="H846" s="11"/>
    </row>
    <row r="847" spans="8:8" ht="12.75" customHeight="1" x14ac:dyDescent="0.25">
      <c r="H847" s="11"/>
    </row>
    <row r="848" spans="8:8" ht="12.75" customHeight="1" x14ac:dyDescent="0.25">
      <c r="H848" s="11"/>
    </row>
    <row r="849" spans="8:8" ht="12.75" customHeight="1" x14ac:dyDescent="0.25">
      <c r="H849" s="11"/>
    </row>
    <row r="850" spans="8:8" ht="12.75" customHeight="1" x14ac:dyDescent="0.25">
      <c r="H850" s="11"/>
    </row>
    <row r="851" spans="8:8" ht="12.75" customHeight="1" x14ac:dyDescent="0.25">
      <c r="H851" s="11"/>
    </row>
    <row r="852" spans="8:8" ht="12.75" customHeight="1" x14ac:dyDescent="0.25">
      <c r="H852" s="11"/>
    </row>
    <row r="853" spans="8:8" ht="12.75" customHeight="1" x14ac:dyDescent="0.25">
      <c r="H853" s="11"/>
    </row>
    <row r="854" spans="8:8" ht="12.75" customHeight="1" x14ac:dyDescent="0.25">
      <c r="H854" s="11"/>
    </row>
    <row r="855" spans="8:8" ht="12.75" customHeight="1" x14ac:dyDescent="0.25">
      <c r="H855" s="11"/>
    </row>
    <row r="856" spans="8:8" ht="12.75" customHeight="1" x14ac:dyDescent="0.25">
      <c r="H856" s="11"/>
    </row>
    <row r="857" spans="8:8" ht="12.75" customHeight="1" x14ac:dyDescent="0.25">
      <c r="H857" s="11"/>
    </row>
    <row r="858" spans="8:8" ht="12.75" customHeight="1" x14ac:dyDescent="0.25">
      <c r="H858" s="11"/>
    </row>
    <row r="859" spans="8:8" ht="12.75" customHeight="1" x14ac:dyDescent="0.25">
      <c r="H859" s="11"/>
    </row>
    <row r="860" spans="8:8" ht="12.75" customHeight="1" x14ac:dyDescent="0.25">
      <c r="H860" s="11"/>
    </row>
    <row r="861" spans="8:8" ht="12.75" customHeight="1" x14ac:dyDescent="0.25">
      <c r="H861" s="11"/>
    </row>
    <row r="862" spans="8:8" ht="12.75" customHeight="1" x14ac:dyDescent="0.25">
      <c r="H862" s="11"/>
    </row>
    <row r="863" spans="8:8" ht="12.75" customHeight="1" x14ac:dyDescent="0.25">
      <c r="H863" s="11"/>
    </row>
    <row r="864" spans="8:8" ht="12.75" customHeight="1" x14ac:dyDescent="0.25">
      <c r="H864" s="11"/>
    </row>
    <row r="865" spans="8:8" ht="12.75" customHeight="1" x14ac:dyDescent="0.25">
      <c r="H865" s="11"/>
    </row>
    <row r="866" spans="8:8" ht="12.75" customHeight="1" x14ac:dyDescent="0.25">
      <c r="H866" s="11"/>
    </row>
    <row r="867" spans="8:8" ht="12.75" customHeight="1" x14ac:dyDescent="0.25">
      <c r="H867" s="11"/>
    </row>
    <row r="868" spans="8:8" ht="12.75" customHeight="1" x14ac:dyDescent="0.25">
      <c r="H868" s="11"/>
    </row>
    <row r="869" spans="8:8" ht="12.75" customHeight="1" x14ac:dyDescent="0.25">
      <c r="H869" s="11"/>
    </row>
    <row r="870" spans="8:8" ht="12.75" customHeight="1" x14ac:dyDescent="0.25">
      <c r="H870" s="11"/>
    </row>
    <row r="871" spans="8:8" ht="12.75" customHeight="1" x14ac:dyDescent="0.25">
      <c r="H871" s="11"/>
    </row>
    <row r="872" spans="8:8" ht="12.75" customHeight="1" x14ac:dyDescent="0.25">
      <c r="H872" s="11"/>
    </row>
    <row r="873" spans="8:8" ht="12.75" customHeight="1" x14ac:dyDescent="0.25">
      <c r="H873" s="11"/>
    </row>
    <row r="874" spans="8:8" ht="12.75" customHeight="1" x14ac:dyDescent="0.25">
      <c r="H874" s="11"/>
    </row>
    <row r="875" spans="8:8" ht="12.75" customHeight="1" x14ac:dyDescent="0.25">
      <c r="H875" s="11"/>
    </row>
    <row r="876" spans="8:8" ht="12.75" customHeight="1" x14ac:dyDescent="0.25">
      <c r="H876" s="11"/>
    </row>
    <row r="877" spans="8:8" ht="12.75" customHeight="1" x14ac:dyDescent="0.25">
      <c r="H877" s="11"/>
    </row>
    <row r="878" spans="8:8" ht="12.75" customHeight="1" x14ac:dyDescent="0.25">
      <c r="H878" s="11"/>
    </row>
    <row r="879" spans="8:8" ht="12.75" customHeight="1" x14ac:dyDescent="0.25">
      <c r="H879" s="11"/>
    </row>
    <row r="880" spans="8:8" ht="12.75" customHeight="1" x14ac:dyDescent="0.25">
      <c r="H880" s="11"/>
    </row>
    <row r="881" spans="8:8" ht="12.75" customHeight="1" x14ac:dyDescent="0.25">
      <c r="H881" s="11"/>
    </row>
    <row r="882" spans="8:8" ht="12.75" customHeight="1" x14ac:dyDescent="0.25">
      <c r="H882" s="11"/>
    </row>
    <row r="883" spans="8:8" ht="12.75" customHeight="1" x14ac:dyDescent="0.25">
      <c r="H883" s="11"/>
    </row>
    <row r="884" spans="8:8" ht="12.75" customHeight="1" x14ac:dyDescent="0.25">
      <c r="H884" s="11"/>
    </row>
    <row r="885" spans="8:8" ht="12.75" customHeight="1" x14ac:dyDescent="0.25">
      <c r="H885" s="11"/>
    </row>
    <row r="886" spans="8:8" ht="12.75" customHeight="1" x14ac:dyDescent="0.25">
      <c r="H886" s="11"/>
    </row>
    <row r="887" spans="8:8" ht="12.75" customHeight="1" x14ac:dyDescent="0.25">
      <c r="H887" s="11"/>
    </row>
    <row r="888" spans="8:8" ht="12.75" customHeight="1" x14ac:dyDescent="0.25">
      <c r="H888" s="11"/>
    </row>
    <row r="889" spans="8:8" ht="12.75" customHeight="1" x14ac:dyDescent="0.25">
      <c r="H889" s="11"/>
    </row>
    <row r="890" spans="8:8" ht="12.75" customHeight="1" x14ac:dyDescent="0.25">
      <c r="H890" s="11"/>
    </row>
    <row r="891" spans="8:8" ht="12.75" customHeight="1" x14ac:dyDescent="0.25">
      <c r="H891" s="11"/>
    </row>
    <row r="892" spans="8:8" ht="12.75" customHeight="1" x14ac:dyDescent="0.25">
      <c r="H892" s="11"/>
    </row>
    <row r="893" spans="8:8" ht="12.75" customHeight="1" x14ac:dyDescent="0.25">
      <c r="H893" s="11"/>
    </row>
    <row r="894" spans="8:8" ht="12.75" customHeight="1" x14ac:dyDescent="0.25">
      <c r="H894" s="11"/>
    </row>
    <row r="895" spans="8:8" ht="12.75" customHeight="1" x14ac:dyDescent="0.25">
      <c r="H895" s="11"/>
    </row>
    <row r="896" spans="8:8" ht="12.75" customHeight="1" x14ac:dyDescent="0.25">
      <c r="H896" s="11"/>
    </row>
    <row r="897" spans="8:8" ht="12.75" customHeight="1" x14ac:dyDescent="0.25">
      <c r="H897" s="11"/>
    </row>
    <row r="898" spans="8:8" ht="12.75" customHeight="1" x14ac:dyDescent="0.25">
      <c r="H898" s="11"/>
    </row>
    <row r="899" spans="8:8" ht="12.75" customHeight="1" x14ac:dyDescent="0.25">
      <c r="H899" s="11"/>
    </row>
    <row r="900" spans="8:8" ht="12.75" customHeight="1" x14ac:dyDescent="0.25">
      <c r="H900" s="11"/>
    </row>
    <row r="901" spans="8:8" ht="12.75" customHeight="1" x14ac:dyDescent="0.25">
      <c r="H901" s="11"/>
    </row>
    <row r="902" spans="8:8" ht="12.75" customHeight="1" x14ac:dyDescent="0.25">
      <c r="H902" s="11"/>
    </row>
    <row r="903" spans="8:8" ht="12.75" customHeight="1" x14ac:dyDescent="0.25">
      <c r="H903" s="11"/>
    </row>
    <row r="904" spans="8:8" ht="12.75" customHeight="1" x14ac:dyDescent="0.25">
      <c r="H904" s="11"/>
    </row>
    <row r="905" spans="8:8" ht="12.75" customHeight="1" x14ac:dyDescent="0.25">
      <c r="H905" s="11"/>
    </row>
    <row r="906" spans="8:8" ht="12.75" customHeight="1" x14ac:dyDescent="0.25">
      <c r="H906" s="11"/>
    </row>
    <row r="907" spans="8:8" ht="12.75" customHeight="1" x14ac:dyDescent="0.25">
      <c r="H907" s="11"/>
    </row>
    <row r="908" spans="8:8" ht="12.75" customHeight="1" x14ac:dyDescent="0.25">
      <c r="H908" s="11"/>
    </row>
    <row r="909" spans="8:8" ht="12.75" customHeight="1" x14ac:dyDescent="0.25">
      <c r="H909" s="11"/>
    </row>
    <row r="910" spans="8:8" ht="12.75" customHeight="1" x14ac:dyDescent="0.25">
      <c r="H910" s="11"/>
    </row>
    <row r="911" spans="8:8" ht="12.75" customHeight="1" x14ac:dyDescent="0.25">
      <c r="H911" s="11"/>
    </row>
    <row r="912" spans="8:8" ht="12.75" customHeight="1" x14ac:dyDescent="0.25">
      <c r="H912" s="11"/>
    </row>
    <row r="913" spans="8:8" ht="12.75" customHeight="1" x14ac:dyDescent="0.25">
      <c r="H913" s="11"/>
    </row>
    <row r="914" spans="8:8" ht="12.75" customHeight="1" x14ac:dyDescent="0.25">
      <c r="H914" s="11"/>
    </row>
    <row r="915" spans="8:8" ht="12.75" customHeight="1" x14ac:dyDescent="0.25">
      <c r="H915" s="11"/>
    </row>
    <row r="916" spans="8:8" ht="12.75" customHeight="1" x14ac:dyDescent="0.25">
      <c r="H916" s="11"/>
    </row>
    <row r="917" spans="8:8" ht="12.75" customHeight="1" x14ac:dyDescent="0.25">
      <c r="H917" s="11"/>
    </row>
    <row r="918" spans="8:8" ht="12.75" customHeight="1" x14ac:dyDescent="0.25">
      <c r="H918" s="11"/>
    </row>
    <row r="919" spans="8:8" ht="12.75" customHeight="1" x14ac:dyDescent="0.25">
      <c r="H919" s="11"/>
    </row>
    <row r="920" spans="8:8" ht="12.75" customHeight="1" x14ac:dyDescent="0.25">
      <c r="H920" s="11"/>
    </row>
    <row r="921" spans="8:8" ht="12.75" customHeight="1" x14ac:dyDescent="0.25">
      <c r="H921" s="11"/>
    </row>
    <row r="922" spans="8:8" ht="12.75" customHeight="1" x14ac:dyDescent="0.25">
      <c r="H922" s="11"/>
    </row>
    <row r="923" spans="8:8" ht="12.75" customHeight="1" x14ac:dyDescent="0.25">
      <c r="H923" s="11"/>
    </row>
    <row r="924" spans="8:8" ht="12.75" customHeight="1" x14ac:dyDescent="0.25">
      <c r="H924" s="11"/>
    </row>
    <row r="925" spans="8:8" ht="12.75" customHeight="1" x14ac:dyDescent="0.25">
      <c r="H925" s="11"/>
    </row>
    <row r="926" spans="8:8" ht="12.75" customHeight="1" x14ac:dyDescent="0.25">
      <c r="H926" s="11"/>
    </row>
    <row r="927" spans="8:8" ht="12.75" customHeight="1" x14ac:dyDescent="0.25">
      <c r="H927" s="11"/>
    </row>
    <row r="928" spans="8:8" ht="12.75" customHeight="1" x14ac:dyDescent="0.25">
      <c r="H928" s="11"/>
    </row>
    <row r="929" spans="8:8" ht="12.75" customHeight="1" x14ac:dyDescent="0.25">
      <c r="H929" s="11"/>
    </row>
    <row r="930" spans="8:8" ht="12.75" customHeight="1" x14ac:dyDescent="0.25">
      <c r="H930" s="11"/>
    </row>
    <row r="931" spans="8:8" ht="12.75" customHeight="1" x14ac:dyDescent="0.25">
      <c r="H931" s="11"/>
    </row>
    <row r="932" spans="8:8" ht="12.75" customHeight="1" x14ac:dyDescent="0.25">
      <c r="H932" s="11"/>
    </row>
    <row r="933" spans="8:8" ht="12.75" customHeight="1" x14ac:dyDescent="0.25">
      <c r="H933" s="11"/>
    </row>
    <row r="934" spans="8:8" ht="12.75" customHeight="1" x14ac:dyDescent="0.25">
      <c r="H934" s="11"/>
    </row>
    <row r="935" spans="8:8" ht="12.75" customHeight="1" x14ac:dyDescent="0.25">
      <c r="H935" s="11"/>
    </row>
    <row r="936" spans="8:8" ht="12.75" customHeight="1" x14ac:dyDescent="0.25">
      <c r="H936" s="11"/>
    </row>
    <row r="937" spans="8:8" ht="12.75" customHeight="1" x14ac:dyDescent="0.25">
      <c r="H937" s="11"/>
    </row>
    <row r="938" spans="8:8" ht="12.75" customHeight="1" x14ac:dyDescent="0.25">
      <c r="H938" s="11"/>
    </row>
    <row r="939" spans="8:8" ht="12.75" customHeight="1" x14ac:dyDescent="0.25">
      <c r="H939" s="11"/>
    </row>
    <row r="940" spans="8:8" ht="12.75" customHeight="1" x14ac:dyDescent="0.25">
      <c r="H940" s="11"/>
    </row>
    <row r="941" spans="8:8" ht="12.75" customHeight="1" x14ac:dyDescent="0.25">
      <c r="H941" s="11"/>
    </row>
    <row r="942" spans="8:8" ht="12.75" customHeight="1" x14ac:dyDescent="0.25">
      <c r="H942" s="11"/>
    </row>
    <row r="943" spans="8:8" ht="12.75" customHeight="1" x14ac:dyDescent="0.25">
      <c r="H943" s="11"/>
    </row>
    <row r="944" spans="8:8" ht="12.75" customHeight="1" x14ac:dyDescent="0.25">
      <c r="H944" s="11"/>
    </row>
    <row r="945" spans="8:8" ht="12.75" customHeight="1" x14ac:dyDescent="0.25">
      <c r="H945" s="11"/>
    </row>
    <row r="946" spans="8:8" ht="12.75" customHeight="1" x14ac:dyDescent="0.25">
      <c r="H946" s="11"/>
    </row>
    <row r="947" spans="8:8" ht="12.75" customHeight="1" x14ac:dyDescent="0.25">
      <c r="H947" s="11"/>
    </row>
    <row r="948" spans="8:8" ht="12.75" customHeight="1" x14ac:dyDescent="0.25">
      <c r="H948" s="11"/>
    </row>
    <row r="949" spans="8:8" ht="12.75" customHeight="1" x14ac:dyDescent="0.25">
      <c r="H949" s="11"/>
    </row>
    <row r="950" spans="8:8" ht="12.75" customHeight="1" x14ac:dyDescent="0.25">
      <c r="H950" s="11"/>
    </row>
    <row r="951" spans="8:8" ht="12.75" customHeight="1" x14ac:dyDescent="0.25">
      <c r="H951" s="11"/>
    </row>
    <row r="952" spans="8:8" ht="12.75" customHeight="1" x14ac:dyDescent="0.25">
      <c r="H952" s="11"/>
    </row>
    <row r="953" spans="8:8" ht="12.75" customHeight="1" x14ac:dyDescent="0.25">
      <c r="H953" s="11"/>
    </row>
    <row r="954" spans="8:8" ht="12.75" customHeight="1" x14ac:dyDescent="0.25">
      <c r="H954" s="11"/>
    </row>
    <row r="955" spans="8:8" ht="12.75" customHeight="1" x14ac:dyDescent="0.25">
      <c r="H955" s="11"/>
    </row>
    <row r="956" spans="8:8" ht="12.75" customHeight="1" x14ac:dyDescent="0.25">
      <c r="H956" s="11"/>
    </row>
    <row r="957" spans="8:8" ht="12.75" customHeight="1" x14ac:dyDescent="0.25">
      <c r="H957" s="11"/>
    </row>
    <row r="958" spans="8:8" ht="12.75" customHeight="1" x14ac:dyDescent="0.25">
      <c r="H958" s="11"/>
    </row>
    <row r="959" spans="8:8" ht="12.75" customHeight="1" x14ac:dyDescent="0.25">
      <c r="H959" s="11"/>
    </row>
    <row r="960" spans="8:8" ht="12.75" customHeight="1" x14ac:dyDescent="0.25">
      <c r="H960" s="11"/>
    </row>
    <row r="961" spans="8:8" ht="12.75" customHeight="1" x14ac:dyDescent="0.25">
      <c r="H961" s="11"/>
    </row>
    <row r="962" spans="8:8" ht="12.75" customHeight="1" x14ac:dyDescent="0.25">
      <c r="H962" s="11"/>
    </row>
    <row r="963" spans="8:8" ht="12.75" customHeight="1" x14ac:dyDescent="0.25">
      <c r="H963" s="11"/>
    </row>
    <row r="964" spans="8:8" ht="12.75" customHeight="1" x14ac:dyDescent="0.25">
      <c r="H964" s="11"/>
    </row>
    <row r="965" spans="8:8" ht="12.75" customHeight="1" x14ac:dyDescent="0.25">
      <c r="H965" s="11"/>
    </row>
    <row r="966" spans="8:8" ht="12.75" customHeight="1" x14ac:dyDescent="0.25">
      <c r="H966" s="11"/>
    </row>
    <row r="967" spans="8:8" ht="12.75" customHeight="1" x14ac:dyDescent="0.25">
      <c r="H967" s="11"/>
    </row>
    <row r="968" spans="8:8" ht="12.75" customHeight="1" x14ac:dyDescent="0.25">
      <c r="H968" s="11"/>
    </row>
    <row r="969" spans="8:8" ht="12.75" customHeight="1" x14ac:dyDescent="0.25">
      <c r="H969" s="11"/>
    </row>
    <row r="970" spans="8:8" ht="12.75" customHeight="1" x14ac:dyDescent="0.25">
      <c r="H970" s="11"/>
    </row>
    <row r="971" spans="8:8" ht="12.75" customHeight="1" x14ac:dyDescent="0.25">
      <c r="H971" s="11"/>
    </row>
    <row r="972" spans="8:8" ht="12.75" customHeight="1" x14ac:dyDescent="0.25">
      <c r="H972" s="11"/>
    </row>
    <row r="973" spans="8:8" ht="12.75" customHeight="1" x14ac:dyDescent="0.25">
      <c r="H973" s="11"/>
    </row>
    <row r="974" spans="8:8" ht="12.75" customHeight="1" x14ac:dyDescent="0.25">
      <c r="H974" s="11"/>
    </row>
    <row r="975" spans="8:8" ht="12.75" customHeight="1" x14ac:dyDescent="0.25">
      <c r="H975" s="11"/>
    </row>
    <row r="976" spans="8:8" ht="12.75" customHeight="1" x14ac:dyDescent="0.25">
      <c r="H976" s="11"/>
    </row>
    <row r="977" spans="8:8" ht="12.75" customHeight="1" x14ac:dyDescent="0.25">
      <c r="H977" s="11"/>
    </row>
    <row r="978" spans="8:8" ht="12.75" customHeight="1" x14ac:dyDescent="0.25">
      <c r="H978" s="11"/>
    </row>
    <row r="979" spans="8:8" ht="12.75" customHeight="1" x14ac:dyDescent="0.25">
      <c r="H979" s="11"/>
    </row>
    <row r="980" spans="8:8" ht="12.75" customHeight="1" x14ac:dyDescent="0.25">
      <c r="H980" s="11"/>
    </row>
    <row r="981" spans="8:8" ht="12.75" customHeight="1" x14ac:dyDescent="0.25">
      <c r="H981" s="11"/>
    </row>
    <row r="982" spans="8:8" ht="12.75" customHeight="1" x14ac:dyDescent="0.25">
      <c r="H982" s="11"/>
    </row>
    <row r="983" spans="8:8" ht="12.75" customHeight="1" x14ac:dyDescent="0.25">
      <c r="H983" s="11"/>
    </row>
    <row r="984" spans="8:8" ht="12.75" customHeight="1" x14ac:dyDescent="0.25">
      <c r="H984" s="11"/>
    </row>
    <row r="985" spans="8:8" ht="12.75" customHeight="1" x14ac:dyDescent="0.25">
      <c r="H985" s="11"/>
    </row>
    <row r="986" spans="8:8" ht="12.75" customHeight="1" x14ac:dyDescent="0.25">
      <c r="H986" s="11"/>
    </row>
    <row r="987" spans="8:8" ht="12.75" customHeight="1" x14ac:dyDescent="0.25">
      <c r="H987" s="11"/>
    </row>
    <row r="988" spans="8:8" ht="12.75" customHeight="1" x14ac:dyDescent="0.25">
      <c r="H988" s="11"/>
    </row>
    <row r="989" spans="8:8" ht="12.75" customHeight="1" x14ac:dyDescent="0.25">
      <c r="H989" s="11"/>
    </row>
    <row r="990" spans="8:8" ht="12.75" customHeight="1" x14ac:dyDescent="0.25">
      <c r="H990" s="11"/>
    </row>
    <row r="991" spans="8:8" ht="12.75" customHeight="1" x14ac:dyDescent="0.25">
      <c r="H991" s="11"/>
    </row>
    <row r="992" spans="8:8" ht="12.75" customHeight="1" x14ac:dyDescent="0.25">
      <c r="H992" s="11"/>
    </row>
    <row r="993" spans="8:8" ht="12.75" customHeight="1" x14ac:dyDescent="0.25">
      <c r="H993" s="11"/>
    </row>
    <row r="994" spans="8:8" ht="12.75" customHeight="1" x14ac:dyDescent="0.25">
      <c r="H994" s="11"/>
    </row>
    <row r="995" spans="8:8" ht="12.75" customHeight="1" x14ac:dyDescent="0.25">
      <c r="H995" s="11"/>
    </row>
    <row r="996" spans="8:8" ht="12.75" customHeight="1" x14ac:dyDescent="0.25">
      <c r="H996" s="11"/>
    </row>
    <row r="997" spans="8:8" ht="12.75" customHeight="1" x14ac:dyDescent="0.25">
      <c r="H997" s="11"/>
    </row>
    <row r="998" spans="8:8" ht="12.75" customHeight="1" x14ac:dyDescent="0.25">
      <c r="H998" s="11"/>
    </row>
    <row r="999" spans="8:8" ht="12.75" customHeight="1" x14ac:dyDescent="0.25">
      <c r="H999" s="11"/>
    </row>
    <row r="1000" spans="8:8" ht="12.75" customHeight="1" x14ac:dyDescent="0.25">
      <c r="H1000" s="11"/>
    </row>
    <row r="1001" spans="8:8" ht="12.75" customHeight="1" x14ac:dyDescent="0.25">
      <c r="H1001" s="11"/>
    </row>
    <row r="1002" spans="8:8" ht="12.75" customHeight="1" x14ac:dyDescent="0.25">
      <c r="H1002" s="11"/>
    </row>
    <row r="1003" spans="8:8" ht="12.75" customHeight="1" x14ac:dyDescent="0.25">
      <c r="H1003" s="11"/>
    </row>
    <row r="1004" spans="8:8" ht="12.75" customHeight="1" x14ac:dyDescent="0.25">
      <c r="H1004" s="11"/>
    </row>
    <row r="1005" spans="8:8" ht="12.75" customHeight="1" x14ac:dyDescent="0.25">
      <c r="H1005" s="11"/>
    </row>
    <row r="1006" spans="8:8" ht="12.75" customHeight="1" x14ac:dyDescent="0.25">
      <c r="H1006" s="11"/>
    </row>
    <row r="1007" spans="8:8" ht="12.75" customHeight="1" x14ac:dyDescent="0.25">
      <c r="H1007" s="11"/>
    </row>
    <row r="1008" spans="8:8" ht="12.75" customHeight="1" x14ac:dyDescent="0.25">
      <c r="H1008" s="11"/>
    </row>
    <row r="1009" spans="8:8" ht="12.75" customHeight="1" x14ac:dyDescent="0.25">
      <c r="H1009" s="11"/>
    </row>
    <row r="1010" spans="8:8" ht="12.75" customHeight="1" x14ac:dyDescent="0.25">
      <c r="H1010" s="11"/>
    </row>
    <row r="1011" spans="8:8" ht="12.75" customHeight="1" x14ac:dyDescent="0.25">
      <c r="H1011" s="11"/>
    </row>
    <row r="1012" spans="8:8" ht="12.75" customHeight="1" x14ac:dyDescent="0.25">
      <c r="H1012" s="11"/>
    </row>
    <row r="1013" spans="8:8" ht="12.75" customHeight="1" x14ac:dyDescent="0.25">
      <c r="H1013" s="11"/>
    </row>
    <row r="1014" spans="8:8" ht="12.75" customHeight="1" x14ac:dyDescent="0.25">
      <c r="H1014" s="11"/>
    </row>
    <row r="1015" spans="8:8" ht="12.75" customHeight="1" x14ac:dyDescent="0.25">
      <c r="H1015" s="11"/>
    </row>
    <row r="1016" spans="8:8" ht="12.75" customHeight="1" x14ac:dyDescent="0.25">
      <c r="H1016" s="11"/>
    </row>
    <row r="1017" spans="8:8" ht="12.75" customHeight="1" x14ac:dyDescent="0.25">
      <c r="H1017" s="11"/>
    </row>
    <row r="1018" spans="8:8" ht="12.75" customHeight="1" x14ac:dyDescent="0.25">
      <c r="H1018" s="11"/>
    </row>
    <row r="1019" spans="8:8" ht="12.75" customHeight="1" x14ac:dyDescent="0.25">
      <c r="H1019" s="11"/>
    </row>
    <row r="1020" spans="8:8" ht="12.75" customHeight="1" x14ac:dyDescent="0.25">
      <c r="H1020" s="11"/>
    </row>
    <row r="1021" spans="8:8" ht="12.75" customHeight="1" x14ac:dyDescent="0.25">
      <c r="H1021" s="11"/>
    </row>
    <row r="1022" spans="8:8" ht="12.75" customHeight="1" x14ac:dyDescent="0.25">
      <c r="H1022" s="11"/>
    </row>
    <row r="1023" spans="8:8" ht="12.75" customHeight="1" x14ac:dyDescent="0.25">
      <c r="H1023" s="11"/>
    </row>
    <row r="1024" spans="8:8" ht="12.75" customHeight="1" x14ac:dyDescent="0.25">
      <c r="H1024" s="11"/>
    </row>
    <row r="1025" spans="8:8" ht="12.75" customHeight="1" x14ac:dyDescent="0.25">
      <c r="H1025" s="11"/>
    </row>
    <row r="1026" spans="8:8" ht="12.75" customHeight="1" x14ac:dyDescent="0.25">
      <c r="H1026" s="11"/>
    </row>
    <row r="1027" spans="8:8" ht="12.75" customHeight="1" x14ac:dyDescent="0.25">
      <c r="H1027" s="11"/>
    </row>
    <row r="1028" spans="8:8" ht="12.75" customHeight="1" x14ac:dyDescent="0.25">
      <c r="H1028" s="11"/>
    </row>
    <row r="1029" spans="8:8" ht="12.75" customHeight="1" x14ac:dyDescent="0.25">
      <c r="H1029" s="11"/>
    </row>
    <row r="1030" spans="8:8" ht="12.75" customHeight="1" x14ac:dyDescent="0.25">
      <c r="H1030" s="11"/>
    </row>
    <row r="1031" spans="8:8" ht="12.75" customHeight="1" x14ac:dyDescent="0.25">
      <c r="H1031" s="11"/>
    </row>
    <row r="1032" spans="8:8" ht="12.75" customHeight="1" x14ac:dyDescent="0.25">
      <c r="H1032" s="11"/>
    </row>
    <row r="1033" spans="8:8" ht="12.75" customHeight="1" x14ac:dyDescent="0.25">
      <c r="H1033" s="11"/>
    </row>
    <row r="1034" spans="8:8" ht="12.75" customHeight="1" x14ac:dyDescent="0.25">
      <c r="H1034" s="11"/>
    </row>
    <row r="1035" spans="8:8" ht="12.75" customHeight="1" x14ac:dyDescent="0.25">
      <c r="H1035" s="11"/>
    </row>
    <row r="1036" spans="8:8" ht="12.75" customHeight="1" x14ac:dyDescent="0.25">
      <c r="H1036" s="11"/>
    </row>
    <row r="1037" spans="8:8" ht="12.75" customHeight="1" x14ac:dyDescent="0.25">
      <c r="H1037" s="11"/>
    </row>
    <row r="1038" spans="8:8" ht="12.75" customHeight="1" x14ac:dyDescent="0.25">
      <c r="H1038" s="11"/>
    </row>
    <row r="1039" spans="8:8" ht="12.75" customHeight="1" x14ac:dyDescent="0.25">
      <c r="H1039" s="11"/>
    </row>
    <row r="1040" spans="8:8" ht="12.75" customHeight="1" x14ac:dyDescent="0.25">
      <c r="H1040" s="11"/>
    </row>
    <row r="1041" spans="8:8" ht="12.75" customHeight="1" x14ac:dyDescent="0.25">
      <c r="H1041" s="11"/>
    </row>
    <row r="1042" spans="8:8" ht="12.75" customHeight="1" x14ac:dyDescent="0.25">
      <c r="H1042" s="11"/>
    </row>
    <row r="1043" spans="8:8" ht="12.75" customHeight="1" x14ac:dyDescent="0.25">
      <c r="H1043" s="11"/>
    </row>
    <row r="1044" spans="8:8" ht="12.75" customHeight="1" x14ac:dyDescent="0.25">
      <c r="H1044" s="11"/>
    </row>
    <row r="1045" spans="8:8" ht="12.75" customHeight="1" x14ac:dyDescent="0.25">
      <c r="H1045" s="11"/>
    </row>
    <row r="1046" spans="8:8" ht="12.75" customHeight="1" x14ac:dyDescent="0.25">
      <c r="H1046" s="11"/>
    </row>
    <row r="1047" spans="8:8" ht="12.75" customHeight="1" x14ac:dyDescent="0.25">
      <c r="H1047" s="11"/>
    </row>
    <row r="1048" spans="8:8" ht="12.75" customHeight="1" x14ac:dyDescent="0.25">
      <c r="H1048" s="11"/>
    </row>
    <row r="1049" spans="8:8" ht="12.75" customHeight="1" x14ac:dyDescent="0.25">
      <c r="H1049" s="11"/>
    </row>
    <row r="1050" spans="8:8" ht="12.75" customHeight="1" x14ac:dyDescent="0.25">
      <c r="H1050" s="11"/>
    </row>
    <row r="1051" spans="8:8" ht="12.75" customHeight="1" x14ac:dyDescent="0.25">
      <c r="H1051" s="11"/>
    </row>
    <row r="1052" spans="8:8" ht="12.75" customHeight="1" x14ac:dyDescent="0.25">
      <c r="H1052" s="11"/>
    </row>
    <row r="1053" spans="8:8" ht="12.75" customHeight="1" x14ac:dyDescent="0.25">
      <c r="H1053" s="11"/>
    </row>
    <row r="1054" spans="8:8" ht="12.75" customHeight="1" x14ac:dyDescent="0.25">
      <c r="H1054" s="11"/>
    </row>
    <row r="1055" spans="8:8" ht="12.75" customHeight="1" x14ac:dyDescent="0.25">
      <c r="H1055" s="11"/>
    </row>
    <row r="1056" spans="8:8" ht="12.75" customHeight="1" x14ac:dyDescent="0.25">
      <c r="H1056" s="11"/>
    </row>
    <row r="1057" spans="8:8" ht="12.75" customHeight="1" x14ac:dyDescent="0.25">
      <c r="H1057" s="11"/>
    </row>
    <row r="1058" spans="8:8" ht="12.75" customHeight="1" x14ac:dyDescent="0.25">
      <c r="H1058" s="11"/>
    </row>
    <row r="1059" spans="8:8" ht="12.75" customHeight="1" x14ac:dyDescent="0.25">
      <c r="H1059" s="11"/>
    </row>
    <row r="1060" spans="8:8" ht="12.75" customHeight="1" x14ac:dyDescent="0.25">
      <c r="H1060" s="11"/>
    </row>
    <row r="1061" spans="8:8" ht="12.75" customHeight="1" x14ac:dyDescent="0.25">
      <c r="H1061" s="11"/>
    </row>
    <row r="1062" spans="8:8" ht="12.75" customHeight="1" x14ac:dyDescent="0.25">
      <c r="H1062" s="11"/>
    </row>
    <row r="1063" spans="8:8" ht="12.75" customHeight="1" x14ac:dyDescent="0.25">
      <c r="H1063" s="11"/>
    </row>
    <row r="1064" spans="8:8" ht="12.75" customHeight="1" x14ac:dyDescent="0.25">
      <c r="H1064" s="11"/>
    </row>
    <row r="1065" spans="8:8" ht="12.75" customHeight="1" x14ac:dyDescent="0.25">
      <c r="H1065" s="11"/>
    </row>
    <row r="1066" spans="8:8" ht="12.75" customHeight="1" x14ac:dyDescent="0.25">
      <c r="H1066" s="11"/>
    </row>
    <row r="1067" spans="8:8" ht="12.75" customHeight="1" x14ac:dyDescent="0.25">
      <c r="H1067" s="11"/>
    </row>
    <row r="1068" spans="8:8" ht="12.75" customHeight="1" x14ac:dyDescent="0.25">
      <c r="H1068" s="11"/>
    </row>
    <row r="1069" spans="8:8" ht="12.75" customHeight="1" x14ac:dyDescent="0.25">
      <c r="H1069" s="11"/>
    </row>
    <row r="1070" spans="8:8" ht="12.75" customHeight="1" x14ac:dyDescent="0.25">
      <c r="H1070" s="11"/>
    </row>
    <row r="1071" spans="8:8" ht="12.75" customHeight="1" x14ac:dyDescent="0.25">
      <c r="H1071" s="11"/>
    </row>
    <row r="1072" spans="8:8" ht="12.75" customHeight="1" x14ac:dyDescent="0.25">
      <c r="H1072" s="11"/>
    </row>
    <row r="1073" spans="8:8" ht="12.75" customHeight="1" x14ac:dyDescent="0.25">
      <c r="H1073" s="11"/>
    </row>
    <row r="1074" spans="8:8" ht="12.75" customHeight="1" x14ac:dyDescent="0.25">
      <c r="H1074" s="11"/>
    </row>
    <row r="1075" spans="8:8" ht="12.75" customHeight="1" x14ac:dyDescent="0.25">
      <c r="H1075" s="11"/>
    </row>
    <row r="1076" spans="8:8" ht="12.75" customHeight="1" x14ac:dyDescent="0.25">
      <c r="H1076" s="11"/>
    </row>
    <row r="1077" spans="8:8" ht="12.75" customHeight="1" x14ac:dyDescent="0.25">
      <c r="H1077" s="11"/>
    </row>
    <row r="1078" spans="8:8" ht="12.75" customHeight="1" x14ac:dyDescent="0.25">
      <c r="H1078" s="11"/>
    </row>
    <row r="1079" spans="8:8" ht="12.75" customHeight="1" x14ac:dyDescent="0.25">
      <c r="H1079" s="11"/>
    </row>
    <row r="1080" spans="8:8" ht="12.75" customHeight="1" x14ac:dyDescent="0.25">
      <c r="H1080" s="11"/>
    </row>
    <row r="1081" spans="8:8" ht="12.75" customHeight="1" x14ac:dyDescent="0.25">
      <c r="H1081" s="11"/>
    </row>
    <row r="1082" spans="8:8" ht="12.75" customHeight="1" x14ac:dyDescent="0.25">
      <c r="H1082" s="11"/>
    </row>
    <row r="1083" spans="8:8" ht="12.75" customHeight="1" x14ac:dyDescent="0.25">
      <c r="H1083" s="11"/>
    </row>
    <row r="1084" spans="8:8" ht="12.75" customHeight="1" x14ac:dyDescent="0.25">
      <c r="H1084" s="11"/>
    </row>
    <row r="1085" spans="8:8" ht="12.75" customHeight="1" x14ac:dyDescent="0.25">
      <c r="H1085" s="11"/>
    </row>
    <row r="1086" spans="8:8" ht="12.75" customHeight="1" x14ac:dyDescent="0.25">
      <c r="H1086" s="11"/>
    </row>
    <row r="1087" spans="8:8" ht="12.75" customHeight="1" x14ac:dyDescent="0.25">
      <c r="H1087" s="11"/>
    </row>
    <row r="1088" spans="8:8" ht="12.75" customHeight="1" x14ac:dyDescent="0.25">
      <c r="H1088" s="11"/>
    </row>
    <row r="1089" spans="8:8" ht="12.75" customHeight="1" x14ac:dyDescent="0.25">
      <c r="H1089" s="11"/>
    </row>
    <row r="1090" spans="8:8" ht="12.75" customHeight="1" x14ac:dyDescent="0.25">
      <c r="H1090" s="11"/>
    </row>
    <row r="1091" spans="8:8" ht="12.75" customHeight="1" x14ac:dyDescent="0.25">
      <c r="H1091" s="11"/>
    </row>
    <row r="1092" spans="8:8" ht="12.75" customHeight="1" x14ac:dyDescent="0.25">
      <c r="H1092" s="11"/>
    </row>
    <row r="1093" spans="8:8" ht="12.75" customHeight="1" x14ac:dyDescent="0.25">
      <c r="H1093" s="11"/>
    </row>
    <row r="1094" spans="8:8" ht="12.75" customHeight="1" x14ac:dyDescent="0.25">
      <c r="H1094" s="11"/>
    </row>
    <row r="1095" spans="8:8" ht="12.75" customHeight="1" x14ac:dyDescent="0.25">
      <c r="H1095" s="11"/>
    </row>
    <row r="1096" spans="8:8" ht="12.75" customHeight="1" x14ac:dyDescent="0.25">
      <c r="H1096" s="11"/>
    </row>
    <row r="1097" spans="8:8" ht="12.75" customHeight="1" x14ac:dyDescent="0.25">
      <c r="H1097" s="11"/>
    </row>
    <row r="1098" spans="8:8" ht="12.75" customHeight="1" x14ac:dyDescent="0.25">
      <c r="H1098" s="11"/>
    </row>
    <row r="1099" spans="8:8" ht="12.75" customHeight="1" x14ac:dyDescent="0.25">
      <c r="H1099" s="11"/>
    </row>
    <row r="1100" spans="8:8" ht="12.75" customHeight="1" x14ac:dyDescent="0.25">
      <c r="H1100" s="11"/>
    </row>
    <row r="1101" spans="8:8" ht="12.75" customHeight="1" x14ac:dyDescent="0.25">
      <c r="H1101" s="11"/>
    </row>
    <row r="1102" spans="8:8" ht="12.75" customHeight="1" x14ac:dyDescent="0.25">
      <c r="H1102" s="11"/>
    </row>
    <row r="1103" spans="8:8" ht="12.75" customHeight="1" x14ac:dyDescent="0.25">
      <c r="H1103" s="11"/>
    </row>
    <row r="1104" spans="8:8" ht="12.75" customHeight="1" x14ac:dyDescent="0.25">
      <c r="H1104" s="11"/>
    </row>
    <row r="1105" spans="8:8" ht="12.75" customHeight="1" x14ac:dyDescent="0.25">
      <c r="H1105" s="11"/>
    </row>
    <row r="1106" spans="8:8" ht="12.75" customHeight="1" x14ac:dyDescent="0.25">
      <c r="H1106" s="11"/>
    </row>
    <row r="1107" spans="8:8" ht="12.75" customHeight="1" x14ac:dyDescent="0.25">
      <c r="H1107" s="11"/>
    </row>
    <row r="1108" spans="8:8" ht="12.75" customHeight="1" x14ac:dyDescent="0.25">
      <c r="H1108" s="11"/>
    </row>
    <row r="1109" spans="8:8" ht="12.75" customHeight="1" x14ac:dyDescent="0.25">
      <c r="H1109" s="11"/>
    </row>
    <row r="1110" spans="8:8" ht="12.75" customHeight="1" x14ac:dyDescent="0.25">
      <c r="H1110" s="11"/>
    </row>
    <row r="1111" spans="8:8" ht="12.75" customHeight="1" x14ac:dyDescent="0.25">
      <c r="H1111" s="11"/>
    </row>
    <row r="1112" spans="8:8" ht="12.75" customHeight="1" x14ac:dyDescent="0.25">
      <c r="H1112" s="11"/>
    </row>
    <row r="1113" spans="8:8" ht="12.75" customHeight="1" x14ac:dyDescent="0.25">
      <c r="H1113" s="11"/>
    </row>
    <row r="1114" spans="8:8" ht="12.75" customHeight="1" x14ac:dyDescent="0.25">
      <c r="H1114" s="11"/>
    </row>
    <row r="1115" spans="8:8" ht="12.75" customHeight="1" x14ac:dyDescent="0.25">
      <c r="H1115" s="11"/>
    </row>
    <row r="1116" spans="8:8" ht="12.75" customHeight="1" x14ac:dyDescent="0.25">
      <c r="H1116" s="11"/>
    </row>
    <row r="1117" spans="8:8" ht="12.75" customHeight="1" x14ac:dyDescent="0.25">
      <c r="H1117" s="11"/>
    </row>
    <row r="1118" spans="8:8" ht="12.75" customHeight="1" x14ac:dyDescent="0.25">
      <c r="H1118" s="11"/>
    </row>
    <row r="1119" spans="8:8" ht="12.75" customHeight="1" x14ac:dyDescent="0.25">
      <c r="H1119" s="11"/>
    </row>
    <row r="1120" spans="8:8" ht="12.75" customHeight="1" x14ac:dyDescent="0.25">
      <c r="H1120" s="11"/>
    </row>
    <row r="1121" spans="8:8" ht="12.75" customHeight="1" x14ac:dyDescent="0.25">
      <c r="H1121" s="11"/>
    </row>
    <row r="1122" spans="8:8" ht="12.75" customHeight="1" x14ac:dyDescent="0.25">
      <c r="H1122" s="11"/>
    </row>
    <row r="1123" spans="8:8" ht="12.75" customHeight="1" x14ac:dyDescent="0.25">
      <c r="H1123" s="11"/>
    </row>
    <row r="1124" spans="8:8" ht="12.75" customHeight="1" x14ac:dyDescent="0.25">
      <c r="H1124" s="11"/>
    </row>
    <row r="1125" spans="8:8" ht="12.75" customHeight="1" x14ac:dyDescent="0.25">
      <c r="H1125" s="11"/>
    </row>
    <row r="1126" spans="8:8" ht="12.75" customHeight="1" x14ac:dyDescent="0.25">
      <c r="H1126" s="11"/>
    </row>
    <row r="1127" spans="8:8" ht="12.75" customHeight="1" x14ac:dyDescent="0.25">
      <c r="H1127" s="11"/>
    </row>
    <row r="1128" spans="8:8" ht="12.75" customHeight="1" x14ac:dyDescent="0.25">
      <c r="H1128" s="11"/>
    </row>
    <row r="1129" spans="8:8" ht="12.75" customHeight="1" x14ac:dyDescent="0.25">
      <c r="H1129" s="11"/>
    </row>
    <row r="1130" spans="8:8" ht="12.75" customHeight="1" x14ac:dyDescent="0.25">
      <c r="H1130" s="11"/>
    </row>
    <row r="1131" spans="8:8" ht="12.75" customHeight="1" x14ac:dyDescent="0.25">
      <c r="H1131" s="11"/>
    </row>
    <row r="1132" spans="8:8" ht="12.75" customHeight="1" x14ac:dyDescent="0.25">
      <c r="H1132" s="11"/>
    </row>
    <row r="1133" spans="8:8" ht="12.75" customHeight="1" x14ac:dyDescent="0.25">
      <c r="H1133" s="11"/>
    </row>
    <row r="1134" spans="8:8" ht="12.75" customHeight="1" x14ac:dyDescent="0.25">
      <c r="H1134" s="11"/>
    </row>
    <row r="1135" spans="8:8" ht="12.75" customHeight="1" x14ac:dyDescent="0.25">
      <c r="H1135" s="11"/>
    </row>
    <row r="1136" spans="8:8" ht="12.75" customHeight="1" x14ac:dyDescent="0.25">
      <c r="H1136" s="11"/>
    </row>
    <row r="1137" spans="8:8" ht="12.75" customHeight="1" x14ac:dyDescent="0.25">
      <c r="H1137" s="11"/>
    </row>
    <row r="1138" spans="8:8" ht="12.75" customHeight="1" x14ac:dyDescent="0.25">
      <c r="H1138" s="11"/>
    </row>
    <row r="1139" spans="8:8" ht="12.75" customHeight="1" x14ac:dyDescent="0.25">
      <c r="H1139" s="11"/>
    </row>
    <row r="1140" spans="8:8" ht="12.75" customHeight="1" x14ac:dyDescent="0.25">
      <c r="H1140" s="11"/>
    </row>
    <row r="1141" spans="8:8" ht="12.75" customHeight="1" x14ac:dyDescent="0.25">
      <c r="H1141" s="11"/>
    </row>
    <row r="1142" spans="8:8" ht="12.75" customHeight="1" x14ac:dyDescent="0.25">
      <c r="H1142" s="11"/>
    </row>
    <row r="1143" spans="8:8" ht="12.75" customHeight="1" x14ac:dyDescent="0.25">
      <c r="H1143" s="11"/>
    </row>
    <row r="1144" spans="8:8" ht="12.75" customHeight="1" x14ac:dyDescent="0.25">
      <c r="H1144" s="11"/>
    </row>
    <row r="1145" spans="8:8" ht="12.75" customHeight="1" x14ac:dyDescent="0.25">
      <c r="H1145" s="11"/>
    </row>
    <row r="1146" spans="8:8" ht="12.75" customHeight="1" x14ac:dyDescent="0.25">
      <c r="H1146" s="11"/>
    </row>
    <row r="1147" spans="8:8" ht="12.75" customHeight="1" x14ac:dyDescent="0.25">
      <c r="H1147" s="11"/>
    </row>
    <row r="1148" spans="8:8" ht="12.75" customHeight="1" x14ac:dyDescent="0.25">
      <c r="H1148" s="11"/>
    </row>
    <row r="1149" spans="8:8" ht="12.75" customHeight="1" x14ac:dyDescent="0.25">
      <c r="H1149" s="11"/>
    </row>
    <row r="1150" spans="8:8" ht="12.75" customHeight="1" x14ac:dyDescent="0.25">
      <c r="H1150" s="11"/>
    </row>
    <row r="1151" spans="8:8" ht="12.75" customHeight="1" x14ac:dyDescent="0.25">
      <c r="H1151" s="11"/>
    </row>
    <row r="1152" spans="8:8" ht="12.75" customHeight="1" x14ac:dyDescent="0.25">
      <c r="H1152" s="11"/>
    </row>
    <row r="1153" spans="8:8" ht="12.75" customHeight="1" x14ac:dyDescent="0.25">
      <c r="H1153" s="11"/>
    </row>
    <row r="1154" spans="8:8" ht="12.75" customHeight="1" x14ac:dyDescent="0.25">
      <c r="H1154" s="11"/>
    </row>
    <row r="1155" spans="8:8" ht="12.75" customHeight="1" x14ac:dyDescent="0.25">
      <c r="H1155" s="11"/>
    </row>
    <row r="1156" spans="8:8" ht="12.75" customHeight="1" x14ac:dyDescent="0.25">
      <c r="H1156" s="11"/>
    </row>
    <row r="1157" spans="8:8" ht="12.75" customHeight="1" x14ac:dyDescent="0.25">
      <c r="H1157" s="11"/>
    </row>
    <row r="1158" spans="8:8" ht="12.75" customHeight="1" x14ac:dyDescent="0.25">
      <c r="H1158" s="11"/>
    </row>
    <row r="1159" spans="8:8" ht="12.75" customHeight="1" x14ac:dyDescent="0.25">
      <c r="H1159" s="11"/>
    </row>
    <row r="1160" spans="8:8" ht="12.75" customHeight="1" x14ac:dyDescent="0.25">
      <c r="H1160" s="11"/>
    </row>
    <row r="1161" spans="8:8" ht="12.75" customHeight="1" x14ac:dyDescent="0.25">
      <c r="H1161" s="2"/>
    </row>
    <row r="1162" spans="8:8" ht="12.75" customHeight="1" x14ac:dyDescent="0.25">
      <c r="H1162" s="2"/>
    </row>
    <row r="1163" spans="8:8" ht="12.75" customHeight="1" x14ac:dyDescent="0.25">
      <c r="H1163" s="2"/>
    </row>
    <row r="1164" spans="8:8" ht="12.75" customHeight="1" x14ac:dyDescent="0.25">
      <c r="H1164" s="2"/>
    </row>
    <row r="1165" spans="8:8" ht="12.75" customHeight="1" x14ac:dyDescent="0.25">
      <c r="H1165" s="2"/>
    </row>
    <row r="1166" spans="8:8" ht="12.75" customHeight="1" x14ac:dyDescent="0.25">
      <c r="H1166" s="2"/>
    </row>
    <row r="1167" spans="8:8" ht="12.75" customHeight="1" x14ac:dyDescent="0.25">
      <c r="H1167" s="2"/>
    </row>
    <row r="1168" spans="8:8" ht="12.75" customHeight="1" x14ac:dyDescent="0.25">
      <c r="H1168" s="2"/>
    </row>
    <row r="1169" spans="8:8" ht="12.75" customHeight="1" x14ac:dyDescent="0.25">
      <c r="H1169" s="2"/>
    </row>
    <row r="1170" spans="8:8" ht="12.75" customHeight="1" x14ac:dyDescent="0.25">
      <c r="H1170" s="2"/>
    </row>
    <row r="1171" spans="8:8" ht="12.75" customHeight="1" x14ac:dyDescent="0.25">
      <c r="H1171" s="2"/>
    </row>
    <row r="1172" spans="8:8" ht="12.75" customHeight="1" x14ac:dyDescent="0.25">
      <c r="H1172" s="2"/>
    </row>
    <row r="1173" spans="8:8" ht="12.75" customHeight="1" x14ac:dyDescent="0.25">
      <c r="H1173" s="2"/>
    </row>
    <row r="1174" spans="8:8" ht="12.75" customHeight="1" x14ac:dyDescent="0.25">
      <c r="H1174" s="2"/>
    </row>
    <row r="1175" spans="8:8" ht="12.75" customHeight="1" x14ac:dyDescent="0.25">
      <c r="H1175" s="2"/>
    </row>
    <row r="1176" spans="8:8" ht="12.75" customHeight="1" x14ac:dyDescent="0.25">
      <c r="H1176" s="2"/>
    </row>
    <row r="1177" spans="8:8" ht="12.75" customHeight="1" x14ac:dyDescent="0.25">
      <c r="H1177" s="2"/>
    </row>
    <row r="1178" spans="8:8" ht="12.75" customHeight="1" x14ac:dyDescent="0.25">
      <c r="H1178" s="2"/>
    </row>
    <row r="1179" spans="8:8" ht="12.75" customHeight="1" x14ac:dyDescent="0.25">
      <c r="H1179" s="2"/>
    </row>
    <row r="1180" spans="8:8" ht="12.75" customHeight="1" x14ac:dyDescent="0.25">
      <c r="H1180" s="2"/>
    </row>
    <row r="1181" spans="8:8" ht="12.75" customHeight="1" x14ac:dyDescent="0.25">
      <c r="H1181" s="2"/>
    </row>
    <row r="1182" spans="8:8" ht="12.75" customHeight="1" x14ac:dyDescent="0.25">
      <c r="H1182" s="2"/>
    </row>
    <row r="1183" spans="8:8" ht="12.75" customHeight="1" x14ac:dyDescent="0.25">
      <c r="H1183" s="2"/>
    </row>
    <row r="1184" spans="8:8" ht="12.75" customHeight="1" x14ac:dyDescent="0.25">
      <c r="H1184" s="2"/>
    </row>
    <row r="1185" spans="8:8" ht="12.75" customHeight="1" x14ac:dyDescent="0.25">
      <c r="H1185" s="2"/>
    </row>
    <row r="1186" spans="8:8" ht="12.75" customHeight="1" x14ac:dyDescent="0.25">
      <c r="H1186" s="2"/>
    </row>
    <row r="1187" spans="8:8" ht="12.75" customHeight="1" x14ac:dyDescent="0.25">
      <c r="H1187" s="2"/>
    </row>
    <row r="1188" spans="8:8" ht="12.75" customHeight="1" x14ac:dyDescent="0.25">
      <c r="H1188" s="2"/>
    </row>
    <row r="1189" spans="8:8" ht="12.75" customHeight="1" x14ac:dyDescent="0.25">
      <c r="H1189" s="2"/>
    </row>
    <row r="1190" spans="8:8" ht="12.75" customHeight="1" x14ac:dyDescent="0.25">
      <c r="H1190" s="2"/>
    </row>
    <row r="1191" spans="8:8" ht="12.75" customHeight="1" x14ac:dyDescent="0.25">
      <c r="H1191" s="2"/>
    </row>
    <row r="1192" spans="8:8" ht="12.75" customHeight="1" x14ac:dyDescent="0.25">
      <c r="H1192" s="2"/>
    </row>
    <row r="1193" spans="8:8" ht="12.75" customHeight="1" x14ac:dyDescent="0.25">
      <c r="H1193" s="2"/>
    </row>
    <row r="1194" spans="8:8" ht="12.75" customHeight="1" x14ac:dyDescent="0.25">
      <c r="H1194" s="2"/>
    </row>
    <row r="1195" spans="8:8" ht="12.75" customHeight="1" x14ac:dyDescent="0.25">
      <c r="H1195" s="2"/>
    </row>
    <row r="1196" spans="8:8" ht="12.75" customHeight="1" x14ac:dyDescent="0.25">
      <c r="H1196" s="2"/>
    </row>
    <row r="1197" spans="8:8" ht="12.75" customHeight="1" x14ac:dyDescent="0.25">
      <c r="H1197" s="2"/>
    </row>
    <row r="1198" spans="8:8" ht="12.75" customHeight="1" x14ac:dyDescent="0.25">
      <c r="H1198" s="2"/>
    </row>
    <row r="1199" spans="8:8" ht="12.75" customHeight="1" x14ac:dyDescent="0.25">
      <c r="H1199" s="2"/>
    </row>
    <row r="1200" spans="8:8" ht="12.75" customHeight="1" x14ac:dyDescent="0.25">
      <c r="H1200" s="2"/>
    </row>
    <row r="1201" spans="8:8" ht="12.75" customHeight="1" x14ac:dyDescent="0.25">
      <c r="H1201" s="2"/>
    </row>
    <row r="1202" spans="8:8" ht="12.75" customHeight="1" x14ac:dyDescent="0.25">
      <c r="H1202" s="2"/>
    </row>
    <row r="1203" spans="8:8" ht="12.75" customHeight="1" x14ac:dyDescent="0.25">
      <c r="H1203" s="2"/>
    </row>
    <row r="1204" spans="8:8" ht="12.75" customHeight="1" x14ac:dyDescent="0.25">
      <c r="H1204" s="2"/>
    </row>
    <row r="1205" spans="8:8" ht="12.75" customHeight="1" x14ac:dyDescent="0.25">
      <c r="H1205" s="2"/>
    </row>
    <row r="1206" spans="8:8" ht="12.75" customHeight="1" x14ac:dyDescent="0.25">
      <c r="H1206" s="2"/>
    </row>
    <row r="1207" spans="8:8" ht="12.75" customHeight="1" x14ac:dyDescent="0.25">
      <c r="H1207" s="2"/>
    </row>
    <row r="1208" spans="8:8" ht="12.75" customHeight="1" x14ac:dyDescent="0.25">
      <c r="H1208" s="2"/>
    </row>
    <row r="1209" spans="8:8" ht="12.75" customHeight="1" x14ac:dyDescent="0.25">
      <c r="H1209" s="2"/>
    </row>
    <row r="1210" spans="8:8" ht="12.75" customHeight="1" x14ac:dyDescent="0.25">
      <c r="H1210" s="2"/>
    </row>
    <row r="1211" spans="8:8" ht="12.75" customHeight="1" x14ac:dyDescent="0.25">
      <c r="H1211" s="2"/>
    </row>
    <row r="1212" spans="8:8" ht="12.75" customHeight="1" x14ac:dyDescent="0.25">
      <c r="H1212" s="2"/>
    </row>
    <row r="1213" spans="8:8" ht="12.75" customHeight="1" x14ac:dyDescent="0.25">
      <c r="H1213" s="2"/>
    </row>
    <row r="1214" spans="8:8" ht="12.75" customHeight="1" x14ac:dyDescent="0.25">
      <c r="H1214" s="2"/>
    </row>
    <row r="1215" spans="8:8" ht="12.75" customHeight="1" x14ac:dyDescent="0.25">
      <c r="H1215" s="2"/>
    </row>
    <row r="1216" spans="8:8" ht="12.75" customHeight="1" x14ac:dyDescent="0.25">
      <c r="H1216" s="2"/>
    </row>
    <row r="1217" spans="8:8" ht="12.75" customHeight="1" x14ac:dyDescent="0.25">
      <c r="H1217" s="2"/>
    </row>
    <row r="1218" spans="8:8" ht="12.75" customHeight="1" x14ac:dyDescent="0.25">
      <c r="H1218" s="2"/>
    </row>
    <row r="1219" spans="8:8" ht="12.75" customHeight="1" x14ac:dyDescent="0.25">
      <c r="H1219" s="2"/>
    </row>
    <row r="1220" spans="8:8" ht="12.75" customHeight="1" x14ac:dyDescent="0.25">
      <c r="H1220" s="2"/>
    </row>
    <row r="1221" spans="8:8" ht="12.75" customHeight="1" x14ac:dyDescent="0.25">
      <c r="H1221" s="2"/>
    </row>
    <row r="1222" spans="8:8" ht="12.75" customHeight="1" x14ac:dyDescent="0.25">
      <c r="H1222" s="2"/>
    </row>
    <row r="1223" spans="8:8" ht="12.75" customHeight="1" x14ac:dyDescent="0.25">
      <c r="H1223" s="2"/>
    </row>
    <row r="1224" spans="8:8" ht="12.75" customHeight="1" x14ac:dyDescent="0.25">
      <c r="H1224" s="2"/>
    </row>
    <row r="1225" spans="8:8" ht="12.75" customHeight="1" x14ac:dyDescent="0.25">
      <c r="H1225" s="2"/>
    </row>
    <row r="1226" spans="8:8" ht="12.75" customHeight="1" x14ac:dyDescent="0.25">
      <c r="H1226" s="2"/>
    </row>
    <row r="1227" spans="8:8" ht="12.75" customHeight="1" x14ac:dyDescent="0.25">
      <c r="H1227" s="2"/>
    </row>
    <row r="1228" spans="8:8" ht="12.75" customHeight="1" x14ac:dyDescent="0.25">
      <c r="H1228" s="2"/>
    </row>
    <row r="1229" spans="8:8" ht="12.75" customHeight="1" x14ac:dyDescent="0.25">
      <c r="H1229" s="2"/>
    </row>
    <row r="1230" spans="8:8" ht="12.75" customHeight="1" x14ac:dyDescent="0.25">
      <c r="H1230" s="2"/>
    </row>
    <row r="1231" spans="8:8" ht="12.75" customHeight="1" x14ac:dyDescent="0.25">
      <c r="H1231" s="2"/>
    </row>
    <row r="1232" spans="8:8" ht="12.75" customHeight="1" x14ac:dyDescent="0.25">
      <c r="H1232" s="2"/>
    </row>
    <row r="1233" spans="8:8" ht="12.75" customHeight="1" x14ac:dyDescent="0.25">
      <c r="H1233" s="2"/>
    </row>
    <row r="1234" spans="8:8" ht="12.75" customHeight="1" x14ac:dyDescent="0.25">
      <c r="H1234" s="2"/>
    </row>
    <row r="1235" spans="8:8" ht="12.75" customHeight="1" x14ac:dyDescent="0.25">
      <c r="H1235" s="2"/>
    </row>
    <row r="1236" spans="8:8" ht="12.75" customHeight="1" x14ac:dyDescent="0.25">
      <c r="H1236" s="2"/>
    </row>
    <row r="1237" spans="8:8" ht="12.75" customHeight="1" x14ac:dyDescent="0.25">
      <c r="H1237" s="2"/>
    </row>
    <row r="1238" spans="8:8" ht="12.75" customHeight="1" x14ac:dyDescent="0.25">
      <c r="H1238" s="2"/>
    </row>
    <row r="1239" spans="8:8" ht="12.75" customHeight="1" x14ac:dyDescent="0.25">
      <c r="H1239" s="2"/>
    </row>
    <row r="1240" spans="8:8" ht="12.75" customHeight="1" x14ac:dyDescent="0.25">
      <c r="H1240" s="2"/>
    </row>
    <row r="1241" spans="8:8" ht="12.75" customHeight="1" x14ac:dyDescent="0.25">
      <c r="H1241" s="2"/>
    </row>
    <row r="1242" spans="8:8" ht="12.75" customHeight="1" x14ac:dyDescent="0.25">
      <c r="H1242" s="2"/>
    </row>
    <row r="1243" spans="8:8" ht="12.75" customHeight="1" x14ac:dyDescent="0.25">
      <c r="H1243" s="2"/>
    </row>
    <row r="1244" spans="8:8" ht="12.75" customHeight="1" x14ac:dyDescent="0.25">
      <c r="H1244" s="2"/>
    </row>
    <row r="1245" spans="8:8" ht="12.75" customHeight="1" x14ac:dyDescent="0.25">
      <c r="H1245" s="2"/>
    </row>
    <row r="1246" spans="8:8" ht="12.75" customHeight="1" x14ac:dyDescent="0.25">
      <c r="H1246" s="2"/>
    </row>
    <row r="1247" spans="8:8" ht="12.75" customHeight="1" x14ac:dyDescent="0.25">
      <c r="H1247" s="2"/>
    </row>
    <row r="1248" spans="8:8" ht="12.75" customHeight="1" x14ac:dyDescent="0.25">
      <c r="H1248" s="2"/>
    </row>
    <row r="1249" spans="8:8" ht="12.75" customHeight="1" x14ac:dyDescent="0.25">
      <c r="H1249" s="2"/>
    </row>
    <row r="1250" spans="8:8" ht="12.75" customHeight="1" x14ac:dyDescent="0.25">
      <c r="H1250" s="2"/>
    </row>
    <row r="1251" spans="8:8" ht="12.75" customHeight="1" x14ac:dyDescent="0.25">
      <c r="H1251" s="2"/>
    </row>
    <row r="1252" spans="8:8" ht="12.75" customHeight="1" x14ac:dyDescent="0.25">
      <c r="H1252" s="2"/>
    </row>
    <row r="1253" spans="8:8" ht="12.75" customHeight="1" x14ac:dyDescent="0.25">
      <c r="H1253" s="2"/>
    </row>
    <row r="1254" spans="8:8" ht="12.75" customHeight="1" x14ac:dyDescent="0.25">
      <c r="H1254" s="2"/>
    </row>
    <row r="1255" spans="8:8" ht="12.75" customHeight="1" x14ac:dyDescent="0.25">
      <c r="H1255" s="2"/>
    </row>
    <row r="1256" spans="8:8" ht="12.75" customHeight="1" x14ac:dyDescent="0.25">
      <c r="H1256" s="2"/>
    </row>
    <row r="1257" spans="8:8" ht="12.75" customHeight="1" x14ac:dyDescent="0.25">
      <c r="H1257" s="2"/>
    </row>
    <row r="1258" spans="8:8" ht="12.75" customHeight="1" x14ac:dyDescent="0.25">
      <c r="H1258" s="2"/>
    </row>
    <row r="1259" spans="8:8" ht="12.75" customHeight="1" x14ac:dyDescent="0.25">
      <c r="H1259" s="2"/>
    </row>
    <row r="1260" spans="8:8" ht="12.75" customHeight="1" x14ac:dyDescent="0.25">
      <c r="H1260" s="2"/>
    </row>
    <row r="1261" spans="8:8" ht="12.75" customHeight="1" x14ac:dyDescent="0.25">
      <c r="H1261" s="2"/>
    </row>
    <row r="1262" spans="8:8" ht="12.75" customHeight="1" x14ac:dyDescent="0.25">
      <c r="H1262" s="2"/>
    </row>
    <row r="1263" spans="8:8" ht="12.75" customHeight="1" x14ac:dyDescent="0.25">
      <c r="H1263" s="2"/>
    </row>
    <row r="1264" spans="8:8" ht="12.75" customHeight="1" x14ac:dyDescent="0.25">
      <c r="H1264" s="2"/>
    </row>
    <row r="1265" spans="8:8" ht="12.75" customHeight="1" x14ac:dyDescent="0.25">
      <c r="H1265" s="2"/>
    </row>
    <row r="1266" spans="8:8" ht="12.75" customHeight="1" x14ac:dyDescent="0.25">
      <c r="H1266" s="2"/>
    </row>
    <row r="1267" spans="8:8" ht="12.75" customHeight="1" x14ac:dyDescent="0.25">
      <c r="H1267" s="2"/>
    </row>
    <row r="1268" spans="8:8" ht="12.75" customHeight="1" x14ac:dyDescent="0.25">
      <c r="H1268" s="2"/>
    </row>
    <row r="1269" spans="8:8" ht="12.75" customHeight="1" x14ac:dyDescent="0.25">
      <c r="H1269" s="2"/>
    </row>
    <row r="1270" spans="8:8" ht="12.75" customHeight="1" x14ac:dyDescent="0.25">
      <c r="H1270" s="2"/>
    </row>
    <row r="1271" spans="8:8" ht="12.75" customHeight="1" x14ac:dyDescent="0.25">
      <c r="H1271" s="2"/>
    </row>
    <row r="1272" spans="8:8" ht="12.75" customHeight="1" x14ac:dyDescent="0.25">
      <c r="H1272" s="2"/>
    </row>
    <row r="1273" spans="8:8" ht="12.75" customHeight="1" x14ac:dyDescent="0.25">
      <c r="H1273" s="2"/>
    </row>
    <row r="1274" spans="8:8" ht="12.75" customHeight="1" x14ac:dyDescent="0.25">
      <c r="H1274" s="2"/>
    </row>
    <row r="1275" spans="8:8" ht="12.75" customHeight="1" x14ac:dyDescent="0.25">
      <c r="H1275" s="2"/>
    </row>
    <row r="1276" spans="8:8" ht="12.75" customHeight="1" x14ac:dyDescent="0.25">
      <c r="H1276" s="2"/>
    </row>
    <row r="1277" spans="8:8" ht="12.75" customHeight="1" x14ac:dyDescent="0.25">
      <c r="H1277" s="2"/>
    </row>
    <row r="1278" spans="8:8" ht="12.75" customHeight="1" x14ac:dyDescent="0.25">
      <c r="H1278" s="2"/>
    </row>
    <row r="1279" spans="8:8" ht="12.75" customHeight="1" x14ac:dyDescent="0.25">
      <c r="H1279" s="2"/>
    </row>
    <row r="1280" spans="8:8" ht="12.75" customHeight="1" x14ac:dyDescent="0.25">
      <c r="H1280" s="2"/>
    </row>
    <row r="1281" spans="8:8" ht="12.75" customHeight="1" x14ac:dyDescent="0.25">
      <c r="H1281" s="2"/>
    </row>
    <row r="1282" spans="8:8" ht="12.75" customHeight="1" x14ac:dyDescent="0.25">
      <c r="H1282" s="2"/>
    </row>
    <row r="1283" spans="8:8" ht="12.75" customHeight="1" x14ac:dyDescent="0.25">
      <c r="H1283" s="2"/>
    </row>
    <row r="1284" spans="8:8" ht="12.75" customHeight="1" x14ac:dyDescent="0.25">
      <c r="H1284" s="2"/>
    </row>
    <row r="1285" spans="8:8" ht="12.75" customHeight="1" x14ac:dyDescent="0.25">
      <c r="H1285" s="2"/>
    </row>
    <row r="1286" spans="8:8" ht="12.75" customHeight="1" x14ac:dyDescent="0.25">
      <c r="H1286" s="2"/>
    </row>
    <row r="1287" spans="8:8" ht="12.75" customHeight="1" x14ac:dyDescent="0.25">
      <c r="H1287" s="2"/>
    </row>
    <row r="1288" spans="8:8" ht="12.75" customHeight="1" x14ac:dyDescent="0.25">
      <c r="H1288" s="2"/>
    </row>
    <row r="1289" spans="8:8" ht="12.75" customHeight="1" x14ac:dyDescent="0.25">
      <c r="H1289" s="2"/>
    </row>
    <row r="1290" spans="8:8" ht="12.75" customHeight="1" x14ac:dyDescent="0.25">
      <c r="H1290" s="2"/>
    </row>
    <row r="1291" spans="8:8" ht="12.75" customHeight="1" x14ac:dyDescent="0.25">
      <c r="H1291" s="2"/>
    </row>
    <row r="1292" spans="8:8" ht="12.75" customHeight="1" x14ac:dyDescent="0.25">
      <c r="H1292" s="2"/>
    </row>
    <row r="1293" spans="8:8" ht="12.75" customHeight="1" x14ac:dyDescent="0.25">
      <c r="H1293" s="2"/>
    </row>
    <row r="1294" spans="8:8" ht="12.75" customHeight="1" x14ac:dyDescent="0.25">
      <c r="H1294" s="2"/>
    </row>
    <row r="1295" spans="8:8" ht="12.75" customHeight="1" x14ac:dyDescent="0.25">
      <c r="H1295" s="2"/>
    </row>
    <row r="1296" spans="8:8" ht="12.75" customHeight="1" x14ac:dyDescent="0.25">
      <c r="H1296" s="2"/>
    </row>
    <row r="1297" spans="8:8" ht="12.75" customHeight="1" x14ac:dyDescent="0.25">
      <c r="H1297" s="2"/>
    </row>
    <row r="1298" spans="8:8" ht="12.75" customHeight="1" x14ac:dyDescent="0.25">
      <c r="H1298" s="2"/>
    </row>
    <row r="1299" spans="8:8" ht="12.75" customHeight="1" x14ac:dyDescent="0.25">
      <c r="H1299" s="2"/>
    </row>
    <row r="1300" spans="8:8" ht="12.75" customHeight="1" x14ac:dyDescent="0.25">
      <c r="H1300" s="2"/>
    </row>
    <row r="1301" spans="8:8" ht="12.75" customHeight="1" x14ac:dyDescent="0.25">
      <c r="H1301" s="2"/>
    </row>
    <row r="1302" spans="8:8" ht="12.75" customHeight="1" x14ac:dyDescent="0.25">
      <c r="H1302" s="2"/>
    </row>
    <row r="1303" spans="8:8" ht="12.75" customHeight="1" x14ac:dyDescent="0.25">
      <c r="H1303" s="2"/>
    </row>
    <row r="1304" spans="8:8" ht="12.75" customHeight="1" x14ac:dyDescent="0.25">
      <c r="H1304" s="2"/>
    </row>
    <row r="1305" spans="8:8" ht="12.75" customHeight="1" x14ac:dyDescent="0.25">
      <c r="H1305" s="2"/>
    </row>
    <row r="1306" spans="8:8" ht="12.75" customHeight="1" x14ac:dyDescent="0.25">
      <c r="H1306" s="2"/>
    </row>
    <row r="1307" spans="8:8" ht="12.75" customHeight="1" x14ac:dyDescent="0.25">
      <c r="H1307" s="2"/>
    </row>
    <row r="1308" spans="8:8" ht="12.75" customHeight="1" x14ac:dyDescent="0.25">
      <c r="H1308" s="2"/>
    </row>
    <row r="1309" spans="8:8" ht="12.75" customHeight="1" x14ac:dyDescent="0.25">
      <c r="H1309" s="2"/>
    </row>
    <row r="1310" spans="8:8" ht="12.75" customHeight="1" x14ac:dyDescent="0.25">
      <c r="H1310" s="2"/>
    </row>
    <row r="1311" spans="8:8" ht="12.75" customHeight="1" x14ac:dyDescent="0.25">
      <c r="H1311" s="2"/>
    </row>
    <row r="1312" spans="8:8" ht="12.75" customHeight="1" x14ac:dyDescent="0.25">
      <c r="H1312" s="2"/>
    </row>
    <row r="1313" spans="8:8" ht="12.75" customHeight="1" x14ac:dyDescent="0.25">
      <c r="H1313" s="2"/>
    </row>
    <row r="1314" spans="8:8" ht="12.75" customHeight="1" x14ac:dyDescent="0.25">
      <c r="H1314" s="2"/>
    </row>
    <row r="1315" spans="8:8" ht="12.75" customHeight="1" x14ac:dyDescent="0.25">
      <c r="H1315" s="2"/>
    </row>
    <row r="1316" spans="8:8" ht="12.75" customHeight="1" x14ac:dyDescent="0.25">
      <c r="H1316" s="2"/>
    </row>
    <row r="1317" spans="8:8" ht="12.75" customHeight="1" x14ac:dyDescent="0.25">
      <c r="H1317" s="2"/>
    </row>
    <row r="1318" spans="8:8" ht="12.75" customHeight="1" x14ac:dyDescent="0.25">
      <c r="H1318" s="2"/>
    </row>
    <row r="1319" spans="8:8" ht="12.75" customHeight="1" x14ac:dyDescent="0.25">
      <c r="H1319" s="2"/>
    </row>
    <row r="1320" spans="8:8" ht="12.75" customHeight="1" x14ac:dyDescent="0.25">
      <c r="H1320" s="2"/>
    </row>
    <row r="1321" spans="8:8" ht="12.75" customHeight="1" x14ac:dyDescent="0.25">
      <c r="H1321" s="2"/>
    </row>
    <row r="1322" spans="8:8" ht="12.75" customHeight="1" x14ac:dyDescent="0.25">
      <c r="H1322" s="2"/>
    </row>
    <row r="1323" spans="8:8" ht="12.75" customHeight="1" x14ac:dyDescent="0.25">
      <c r="H1323" s="2"/>
    </row>
    <row r="1324" spans="8:8" ht="12.75" customHeight="1" x14ac:dyDescent="0.25">
      <c r="H1324" s="2"/>
    </row>
    <row r="1325" spans="8:8" ht="12.75" customHeight="1" x14ac:dyDescent="0.25">
      <c r="H1325" s="2"/>
    </row>
    <row r="1326" spans="8:8" ht="12.75" customHeight="1" x14ac:dyDescent="0.25">
      <c r="H1326" s="2"/>
    </row>
    <row r="1327" spans="8:8" ht="12.75" customHeight="1" x14ac:dyDescent="0.25">
      <c r="H1327" s="2"/>
    </row>
    <row r="1328" spans="8:8" ht="12.75" customHeight="1" x14ac:dyDescent="0.25">
      <c r="H1328" s="2"/>
    </row>
    <row r="1329" spans="8:8" ht="12.75" customHeight="1" x14ac:dyDescent="0.25">
      <c r="H1329" s="2"/>
    </row>
    <row r="1330" spans="8:8" ht="12.75" customHeight="1" x14ac:dyDescent="0.25">
      <c r="H1330" s="2"/>
    </row>
    <row r="1331" spans="8:8" ht="12.75" customHeight="1" x14ac:dyDescent="0.25">
      <c r="H1331" s="2"/>
    </row>
    <row r="1332" spans="8:8" ht="12.75" customHeight="1" x14ac:dyDescent="0.25">
      <c r="H1332" s="2"/>
    </row>
    <row r="1333" spans="8:8" ht="12.75" customHeight="1" x14ac:dyDescent="0.25">
      <c r="H1333" s="2"/>
    </row>
    <row r="1334" spans="8:8" ht="12.75" customHeight="1" x14ac:dyDescent="0.25">
      <c r="H1334" s="2"/>
    </row>
    <row r="1335" spans="8:8" ht="12.75" customHeight="1" x14ac:dyDescent="0.25">
      <c r="H1335" s="2"/>
    </row>
    <row r="1336" spans="8:8" ht="12.75" customHeight="1" x14ac:dyDescent="0.25">
      <c r="H1336" s="2"/>
    </row>
    <row r="1337" spans="8:8" ht="12.75" customHeight="1" x14ac:dyDescent="0.25">
      <c r="H1337" s="2"/>
    </row>
    <row r="1338" spans="8:8" ht="12.75" customHeight="1" x14ac:dyDescent="0.25">
      <c r="H1338" s="2"/>
    </row>
    <row r="1339" spans="8:8" ht="12.75" customHeight="1" x14ac:dyDescent="0.25">
      <c r="H1339" s="2"/>
    </row>
    <row r="1340" spans="8:8" ht="12.75" customHeight="1" x14ac:dyDescent="0.25">
      <c r="H1340" s="2"/>
    </row>
    <row r="1341" spans="8:8" ht="12.75" customHeight="1" x14ac:dyDescent="0.25">
      <c r="H1341" s="2"/>
    </row>
    <row r="1342" spans="8:8" ht="12.75" customHeight="1" x14ac:dyDescent="0.25">
      <c r="H1342" s="2"/>
    </row>
    <row r="1343" spans="8:8" ht="12.75" customHeight="1" x14ac:dyDescent="0.25">
      <c r="H1343" s="2"/>
    </row>
    <row r="1344" spans="8:8" ht="12.75" customHeight="1" x14ac:dyDescent="0.25">
      <c r="H1344" s="2"/>
    </row>
    <row r="1345" spans="8:8" ht="12.75" customHeight="1" x14ac:dyDescent="0.25">
      <c r="H1345" s="2"/>
    </row>
    <row r="1346" spans="8:8" ht="12.75" customHeight="1" x14ac:dyDescent="0.25">
      <c r="H1346" s="2"/>
    </row>
    <row r="1347" spans="8:8" ht="12.75" customHeight="1" x14ac:dyDescent="0.25">
      <c r="H1347" s="2"/>
    </row>
    <row r="1348" spans="8:8" ht="12.75" customHeight="1" x14ac:dyDescent="0.25">
      <c r="H1348" s="2"/>
    </row>
    <row r="1349" spans="8:8" ht="12.75" customHeight="1" x14ac:dyDescent="0.25">
      <c r="H1349" s="2"/>
    </row>
    <row r="1350" spans="8:8" ht="12.75" customHeight="1" x14ac:dyDescent="0.25">
      <c r="H1350" s="2"/>
    </row>
    <row r="1351" spans="8:8" ht="12.75" customHeight="1" x14ac:dyDescent="0.25">
      <c r="H1351" s="2"/>
    </row>
    <row r="1352" spans="8:8" ht="12.75" customHeight="1" x14ac:dyDescent="0.25">
      <c r="H1352" s="2"/>
    </row>
    <row r="1353" spans="8:8" ht="12.75" customHeight="1" x14ac:dyDescent="0.25">
      <c r="H1353" s="2"/>
    </row>
    <row r="1354" spans="8:8" ht="12.75" customHeight="1" x14ac:dyDescent="0.25">
      <c r="H1354" s="2"/>
    </row>
    <row r="1355" spans="8:8" ht="12.75" customHeight="1" x14ac:dyDescent="0.25">
      <c r="H1355" s="2"/>
    </row>
    <row r="1356" spans="8:8" ht="12.75" customHeight="1" x14ac:dyDescent="0.25">
      <c r="H1356" s="2"/>
    </row>
    <row r="1357" spans="8:8" ht="12.75" customHeight="1" x14ac:dyDescent="0.25">
      <c r="H1357" s="2"/>
    </row>
    <row r="1358" spans="8:8" ht="12.75" customHeight="1" x14ac:dyDescent="0.25">
      <c r="H1358" s="2"/>
    </row>
    <row r="1359" spans="8:8" ht="12.75" customHeight="1" x14ac:dyDescent="0.25">
      <c r="H1359" s="2"/>
    </row>
    <row r="1360" spans="8:8" ht="12.75" customHeight="1" x14ac:dyDescent="0.25">
      <c r="H1360" s="2"/>
    </row>
    <row r="1361" spans="8:8" ht="12.75" customHeight="1" x14ac:dyDescent="0.25">
      <c r="H1361" s="2"/>
    </row>
    <row r="1362" spans="8:8" ht="12.75" customHeight="1" x14ac:dyDescent="0.25">
      <c r="H1362" s="2"/>
    </row>
    <row r="1363" spans="8:8" ht="12.75" customHeight="1" x14ac:dyDescent="0.25">
      <c r="H1363" s="2"/>
    </row>
    <row r="1364" spans="8:8" ht="12.75" customHeight="1" x14ac:dyDescent="0.25">
      <c r="H1364" s="2"/>
    </row>
    <row r="1365" spans="8:8" ht="12.75" customHeight="1" x14ac:dyDescent="0.25">
      <c r="H1365" s="2"/>
    </row>
    <row r="1366" spans="8:8" ht="12.75" customHeight="1" x14ac:dyDescent="0.25">
      <c r="H1366" s="2"/>
    </row>
    <row r="1367" spans="8:8" ht="12.75" customHeight="1" x14ac:dyDescent="0.25">
      <c r="H1367" s="2"/>
    </row>
    <row r="1368" spans="8:8" ht="12.75" customHeight="1" x14ac:dyDescent="0.25">
      <c r="H1368" s="2"/>
    </row>
    <row r="1369" spans="8:8" ht="12.75" customHeight="1" x14ac:dyDescent="0.25">
      <c r="H1369" s="2"/>
    </row>
    <row r="1370" spans="8:8" ht="12.75" customHeight="1" x14ac:dyDescent="0.25">
      <c r="H1370" s="2"/>
    </row>
    <row r="1371" spans="8:8" ht="12.75" customHeight="1" x14ac:dyDescent="0.25">
      <c r="H1371" s="2"/>
    </row>
    <row r="1372" spans="8:8" ht="12.75" customHeight="1" x14ac:dyDescent="0.25">
      <c r="H1372" s="2"/>
    </row>
    <row r="1373" spans="8:8" ht="12.75" customHeight="1" x14ac:dyDescent="0.25">
      <c r="H1373" s="2"/>
    </row>
    <row r="1374" spans="8:8" ht="12.75" customHeight="1" x14ac:dyDescent="0.25">
      <c r="H1374" s="2"/>
    </row>
    <row r="1375" spans="8:8" ht="12.75" customHeight="1" x14ac:dyDescent="0.25">
      <c r="H1375" s="2"/>
    </row>
    <row r="1376" spans="8:8" ht="12.75" customHeight="1" x14ac:dyDescent="0.25">
      <c r="H1376" s="2"/>
    </row>
    <row r="1377" spans="8:8" ht="12.75" customHeight="1" x14ac:dyDescent="0.25">
      <c r="H1377" s="2"/>
    </row>
    <row r="1378" spans="8:8" ht="12.75" customHeight="1" x14ac:dyDescent="0.25">
      <c r="H1378" s="2"/>
    </row>
    <row r="1379" spans="8:8" ht="12.75" customHeight="1" x14ac:dyDescent="0.25">
      <c r="H1379" s="2"/>
    </row>
    <row r="1380" spans="8:8" ht="12.75" customHeight="1" x14ac:dyDescent="0.25">
      <c r="H1380" s="2"/>
    </row>
    <row r="1381" spans="8:8" ht="12.75" customHeight="1" x14ac:dyDescent="0.25">
      <c r="H1381" s="2"/>
    </row>
    <row r="1382" spans="8:8" ht="12.75" customHeight="1" x14ac:dyDescent="0.25">
      <c r="H1382" s="2"/>
    </row>
    <row r="1383" spans="8:8" ht="12.75" customHeight="1" x14ac:dyDescent="0.25">
      <c r="H1383" s="2"/>
    </row>
    <row r="1384" spans="8:8" ht="12.75" customHeight="1" x14ac:dyDescent="0.25">
      <c r="H1384" s="2"/>
    </row>
    <row r="1385" spans="8:8" ht="12.75" customHeight="1" x14ac:dyDescent="0.25">
      <c r="H1385" s="2"/>
    </row>
    <row r="1386" spans="8:8" ht="12.75" customHeight="1" x14ac:dyDescent="0.25">
      <c r="H1386" s="2"/>
    </row>
    <row r="1387" spans="8:8" ht="12.75" customHeight="1" x14ac:dyDescent="0.25">
      <c r="H1387" s="2"/>
    </row>
    <row r="1388" spans="8:8" ht="12.75" customHeight="1" x14ac:dyDescent="0.25">
      <c r="H1388" s="2"/>
    </row>
    <row r="1389" spans="8:8" ht="12.75" customHeight="1" x14ac:dyDescent="0.25">
      <c r="H1389" s="2"/>
    </row>
    <row r="1390" spans="8:8" ht="12.75" customHeight="1" x14ac:dyDescent="0.25">
      <c r="H1390" s="2"/>
    </row>
    <row r="1391" spans="8:8" ht="12.75" customHeight="1" x14ac:dyDescent="0.25">
      <c r="H1391" s="2"/>
    </row>
    <row r="1392" spans="8:8" ht="12.75" customHeight="1" x14ac:dyDescent="0.25">
      <c r="H1392" s="2"/>
    </row>
    <row r="1393" spans="8:8" ht="12.75" customHeight="1" x14ac:dyDescent="0.25">
      <c r="H1393" s="2"/>
    </row>
    <row r="1394" spans="8:8" ht="12.75" customHeight="1" x14ac:dyDescent="0.25">
      <c r="H1394" s="2"/>
    </row>
    <row r="1395" spans="8:8" ht="12.75" customHeight="1" x14ac:dyDescent="0.25">
      <c r="H1395" s="2"/>
    </row>
    <row r="1396" spans="8:8" ht="12.75" customHeight="1" x14ac:dyDescent="0.25">
      <c r="H1396" s="2"/>
    </row>
    <row r="1397" spans="8:8" ht="12.75" customHeight="1" x14ac:dyDescent="0.25">
      <c r="H1397" s="2"/>
    </row>
    <row r="1398" spans="8:8" ht="12.75" customHeight="1" x14ac:dyDescent="0.25">
      <c r="H1398" s="2"/>
    </row>
    <row r="1399" spans="8:8" ht="12.75" customHeight="1" x14ac:dyDescent="0.25">
      <c r="H1399" s="2"/>
    </row>
    <row r="1400" spans="8:8" ht="12.75" customHeight="1" x14ac:dyDescent="0.25">
      <c r="H1400" s="2"/>
    </row>
    <row r="1401" spans="8:8" ht="12.75" customHeight="1" x14ac:dyDescent="0.25">
      <c r="H1401" s="2"/>
    </row>
    <row r="1402" spans="8:8" ht="12.75" customHeight="1" x14ac:dyDescent="0.25">
      <c r="H1402" s="2"/>
    </row>
    <row r="1403" spans="8:8" ht="12.75" customHeight="1" x14ac:dyDescent="0.25">
      <c r="H1403" s="2"/>
    </row>
    <row r="1404" spans="8:8" ht="12.75" customHeight="1" x14ac:dyDescent="0.25">
      <c r="H1404" s="2"/>
    </row>
    <row r="1405" spans="8:8" ht="12.75" customHeight="1" x14ac:dyDescent="0.25">
      <c r="H1405" s="2"/>
    </row>
    <row r="1406" spans="8:8" ht="12.75" customHeight="1" x14ac:dyDescent="0.25">
      <c r="H1406" s="2"/>
    </row>
    <row r="1407" spans="8:8" ht="12.75" customHeight="1" x14ac:dyDescent="0.25">
      <c r="H1407" s="2"/>
    </row>
    <row r="1408" spans="8:8" ht="12.75" customHeight="1" x14ac:dyDescent="0.25">
      <c r="H1408" s="2"/>
    </row>
    <row r="1409" spans="8:8" ht="12.75" customHeight="1" x14ac:dyDescent="0.25">
      <c r="H1409" s="2"/>
    </row>
    <row r="1410" spans="8:8" ht="12.75" customHeight="1" x14ac:dyDescent="0.25">
      <c r="H1410" s="2"/>
    </row>
    <row r="1411" spans="8:8" ht="12.75" customHeight="1" x14ac:dyDescent="0.25">
      <c r="H1411" s="2"/>
    </row>
    <row r="1412" spans="8:8" ht="12.75" customHeight="1" x14ac:dyDescent="0.25">
      <c r="H1412" s="2"/>
    </row>
    <row r="1413" spans="8:8" ht="12.75" customHeight="1" x14ac:dyDescent="0.25">
      <c r="H1413" s="2"/>
    </row>
    <row r="1414" spans="8:8" ht="12.75" customHeight="1" x14ac:dyDescent="0.25">
      <c r="H1414" s="2"/>
    </row>
    <row r="1415" spans="8:8" ht="12.75" customHeight="1" x14ac:dyDescent="0.25">
      <c r="H1415" s="2"/>
    </row>
    <row r="1416" spans="8:8" ht="12.75" customHeight="1" x14ac:dyDescent="0.25">
      <c r="H1416" s="2"/>
    </row>
    <row r="1417" spans="8:8" ht="12.75" customHeight="1" x14ac:dyDescent="0.25">
      <c r="H1417" s="2"/>
    </row>
    <row r="1418" spans="8:8" ht="12.75" customHeight="1" x14ac:dyDescent="0.25">
      <c r="H1418" s="2"/>
    </row>
    <row r="1419" spans="8:8" ht="12.75" customHeight="1" x14ac:dyDescent="0.25">
      <c r="H1419" s="2"/>
    </row>
    <row r="1420" spans="8:8" ht="12.75" customHeight="1" x14ac:dyDescent="0.25">
      <c r="H1420" s="2"/>
    </row>
    <row r="1421" spans="8:8" ht="12.75" customHeight="1" x14ac:dyDescent="0.25">
      <c r="H1421" s="2"/>
    </row>
    <row r="1422" spans="8:8" ht="12.75" customHeight="1" x14ac:dyDescent="0.25">
      <c r="H1422" s="2"/>
    </row>
    <row r="1423" spans="8:8" ht="12.75" customHeight="1" x14ac:dyDescent="0.25">
      <c r="H1423" s="2"/>
    </row>
    <row r="1424" spans="8:8" ht="12.75" customHeight="1" x14ac:dyDescent="0.25">
      <c r="H1424" s="2"/>
    </row>
    <row r="1425" spans="8:8" ht="12.75" customHeight="1" x14ac:dyDescent="0.25">
      <c r="H1425" s="2"/>
    </row>
    <row r="1426" spans="8:8" ht="12.75" customHeight="1" x14ac:dyDescent="0.25">
      <c r="H1426" s="2"/>
    </row>
    <row r="1427" spans="8:8" ht="12.75" customHeight="1" x14ac:dyDescent="0.25">
      <c r="H1427" s="2"/>
    </row>
    <row r="1428" spans="8:8" ht="12.75" customHeight="1" x14ac:dyDescent="0.25">
      <c r="H1428" s="2"/>
    </row>
    <row r="1429" spans="8:8" ht="12.75" customHeight="1" x14ac:dyDescent="0.25">
      <c r="H1429" s="2"/>
    </row>
    <row r="1430" spans="8:8" ht="12.75" customHeight="1" x14ac:dyDescent="0.25">
      <c r="H1430" s="2"/>
    </row>
    <row r="1431" spans="8:8" ht="12.75" customHeight="1" x14ac:dyDescent="0.25">
      <c r="H1431" s="2"/>
    </row>
    <row r="1432" spans="8:8" ht="12.75" customHeight="1" x14ac:dyDescent="0.25">
      <c r="H1432" s="2"/>
    </row>
    <row r="1433" spans="8:8" ht="12.75" customHeight="1" x14ac:dyDescent="0.25">
      <c r="H1433" s="2"/>
    </row>
    <row r="1434" spans="8:8" ht="12.75" customHeight="1" x14ac:dyDescent="0.25">
      <c r="H1434" s="2"/>
    </row>
    <row r="1435" spans="8:8" ht="12.75" customHeight="1" x14ac:dyDescent="0.25">
      <c r="H1435" s="2"/>
    </row>
    <row r="1436" spans="8:8" ht="12.75" customHeight="1" x14ac:dyDescent="0.25">
      <c r="H1436" s="2"/>
    </row>
    <row r="1437" spans="8:8" ht="12.75" customHeight="1" x14ac:dyDescent="0.25">
      <c r="H1437" s="2"/>
    </row>
    <row r="1438" spans="8:8" ht="12.75" customHeight="1" x14ac:dyDescent="0.25">
      <c r="H1438" s="2"/>
    </row>
    <row r="1439" spans="8:8" ht="12.75" customHeight="1" x14ac:dyDescent="0.25">
      <c r="H1439" s="2"/>
    </row>
    <row r="1440" spans="8:8" ht="12.75" customHeight="1" x14ac:dyDescent="0.25">
      <c r="H1440" s="2"/>
    </row>
    <row r="1441" spans="8:8" ht="12.75" customHeight="1" x14ac:dyDescent="0.25">
      <c r="H1441" s="2"/>
    </row>
    <row r="1442" spans="8:8" ht="12.75" customHeight="1" x14ac:dyDescent="0.25">
      <c r="H1442" s="2"/>
    </row>
    <row r="1443" spans="8:8" ht="12.75" customHeight="1" x14ac:dyDescent="0.25">
      <c r="H1443" s="2"/>
    </row>
    <row r="1444" spans="8:8" ht="12.75" customHeight="1" x14ac:dyDescent="0.25">
      <c r="H1444" s="2"/>
    </row>
    <row r="1445" spans="8:8" ht="12.75" customHeight="1" x14ac:dyDescent="0.25">
      <c r="H1445" s="2"/>
    </row>
    <row r="1446" spans="8:8" ht="12.75" customHeight="1" x14ac:dyDescent="0.25">
      <c r="H1446" s="2"/>
    </row>
    <row r="1447" spans="8:8" ht="12.75" customHeight="1" x14ac:dyDescent="0.25">
      <c r="H1447" s="2"/>
    </row>
    <row r="1448" spans="8:8" ht="12.75" customHeight="1" x14ac:dyDescent="0.25">
      <c r="H1448" s="2"/>
    </row>
    <row r="1449" spans="8:8" ht="12.75" customHeight="1" x14ac:dyDescent="0.25">
      <c r="H1449" s="2"/>
    </row>
    <row r="1450" spans="8:8" ht="12.75" customHeight="1" x14ac:dyDescent="0.25">
      <c r="H1450" s="2"/>
    </row>
    <row r="1451" spans="8:8" ht="12.75" customHeight="1" x14ac:dyDescent="0.25">
      <c r="H1451" s="2"/>
    </row>
    <row r="1452" spans="8:8" ht="12.75" customHeight="1" x14ac:dyDescent="0.25">
      <c r="H1452" s="2"/>
    </row>
    <row r="1453" spans="8:8" ht="12.75" customHeight="1" x14ac:dyDescent="0.25">
      <c r="H1453" s="2"/>
    </row>
    <row r="1454" spans="8:8" ht="12.75" customHeight="1" x14ac:dyDescent="0.25">
      <c r="H1454" s="2"/>
    </row>
    <row r="1455" spans="8:8" ht="12.75" customHeight="1" x14ac:dyDescent="0.25">
      <c r="H1455" s="2"/>
    </row>
    <row r="1456" spans="8:8" ht="12.75" customHeight="1" x14ac:dyDescent="0.25">
      <c r="H1456" s="2"/>
    </row>
    <row r="1457" spans="8:8" ht="12.75" customHeight="1" x14ac:dyDescent="0.25">
      <c r="H1457" s="2"/>
    </row>
    <row r="1458" spans="8:8" ht="12.75" customHeight="1" x14ac:dyDescent="0.25">
      <c r="H1458" s="2"/>
    </row>
    <row r="1459" spans="8:8" ht="12.75" customHeight="1" x14ac:dyDescent="0.25">
      <c r="H1459" s="2"/>
    </row>
    <row r="1460" spans="8:8" ht="12.75" customHeight="1" x14ac:dyDescent="0.25">
      <c r="H1460" s="2"/>
    </row>
    <row r="1461" spans="8:8" ht="12.75" customHeight="1" x14ac:dyDescent="0.25">
      <c r="H1461" s="2"/>
    </row>
    <row r="1462" spans="8:8" ht="12.75" customHeight="1" x14ac:dyDescent="0.25">
      <c r="H1462" s="2"/>
    </row>
    <row r="1463" spans="8:8" ht="12.75" customHeight="1" x14ac:dyDescent="0.25">
      <c r="H1463" s="2"/>
    </row>
    <row r="1464" spans="8:8" ht="12.75" customHeight="1" x14ac:dyDescent="0.25">
      <c r="H1464" s="2"/>
    </row>
    <row r="1465" spans="8:8" ht="12.75" customHeight="1" x14ac:dyDescent="0.25">
      <c r="H1465" s="2"/>
    </row>
    <row r="1466" spans="8:8" ht="12.75" customHeight="1" x14ac:dyDescent="0.25">
      <c r="H1466" s="2"/>
    </row>
    <row r="1467" spans="8:8" ht="12.75" customHeight="1" x14ac:dyDescent="0.25">
      <c r="H1467" s="2"/>
    </row>
    <row r="1468" spans="8:8" ht="12.75" customHeight="1" x14ac:dyDescent="0.25">
      <c r="H1468" s="2"/>
    </row>
    <row r="1469" spans="8:8" ht="12.75" customHeight="1" x14ac:dyDescent="0.25">
      <c r="H1469" s="2"/>
    </row>
    <row r="1470" spans="8:8" ht="12.75" customHeight="1" x14ac:dyDescent="0.25">
      <c r="H1470" s="2"/>
    </row>
    <row r="1471" spans="8:8" ht="12.75" customHeight="1" x14ac:dyDescent="0.25">
      <c r="H1471" s="2"/>
    </row>
    <row r="1472" spans="8:8" ht="12.75" customHeight="1" x14ac:dyDescent="0.25">
      <c r="H1472" s="2"/>
    </row>
    <row r="1473" spans="8:8" ht="12.75" customHeight="1" x14ac:dyDescent="0.25">
      <c r="H1473" s="2"/>
    </row>
    <row r="1474" spans="8:8" ht="12.75" customHeight="1" x14ac:dyDescent="0.25">
      <c r="H1474" s="2"/>
    </row>
    <row r="1475" spans="8:8" ht="12.75" customHeight="1" x14ac:dyDescent="0.25">
      <c r="H1475" s="2"/>
    </row>
    <row r="1476" spans="8:8" ht="12.75" customHeight="1" x14ac:dyDescent="0.25">
      <c r="H1476" s="2"/>
    </row>
    <row r="1477" spans="8:8" ht="12.75" customHeight="1" x14ac:dyDescent="0.25">
      <c r="H1477" s="2"/>
    </row>
    <row r="1478" spans="8:8" ht="12.75" customHeight="1" x14ac:dyDescent="0.25">
      <c r="H1478" s="2"/>
    </row>
    <row r="1479" spans="8:8" ht="12.75" customHeight="1" x14ac:dyDescent="0.25">
      <c r="H1479" s="2"/>
    </row>
    <row r="1480" spans="8:8" ht="12.75" customHeight="1" x14ac:dyDescent="0.25">
      <c r="H1480" s="2"/>
    </row>
    <row r="1481" spans="8:8" ht="12.75" customHeight="1" x14ac:dyDescent="0.25">
      <c r="H1481" s="2"/>
    </row>
    <row r="1482" spans="8:8" ht="12.75" customHeight="1" x14ac:dyDescent="0.25">
      <c r="H1482" s="2"/>
    </row>
    <row r="1483" spans="8:8" ht="12.75" customHeight="1" x14ac:dyDescent="0.25">
      <c r="H1483" s="2"/>
    </row>
    <row r="1484" spans="8:8" ht="12.75" customHeight="1" x14ac:dyDescent="0.25">
      <c r="H1484" s="2"/>
    </row>
    <row r="1485" spans="8:8" ht="12.75" customHeight="1" x14ac:dyDescent="0.25">
      <c r="H1485" s="2"/>
    </row>
    <row r="1486" spans="8:8" ht="12.75" customHeight="1" x14ac:dyDescent="0.25">
      <c r="H1486" s="2"/>
    </row>
    <row r="1487" spans="8:8" ht="12.75" customHeight="1" x14ac:dyDescent="0.25">
      <c r="H1487" s="2"/>
    </row>
    <row r="1488" spans="8:8" ht="12.75" customHeight="1" x14ac:dyDescent="0.25">
      <c r="H1488" s="2"/>
    </row>
    <row r="1489" spans="8:8" ht="12.75" customHeight="1" x14ac:dyDescent="0.25">
      <c r="H1489" s="2"/>
    </row>
    <row r="1490" spans="8:8" ht="12.75" customHeight="1" x14ac:dyDescent="0.25">
      <c r="H1490" s="2"/>
    </row>
    <row r="1491" spans="8:8" ht="12.75" customHeight="1" x14ac:dyDescent="0.25">
      <c r="H1491" s="2"/>
    </row>
    <row r="1492" spans="8:8" ht="12.75" customHeight="1" x14ac:dyDescent="0.25">
      <c r="H1492" s="2"/>
    </row>
    <row r="1493" spans="8:8" ht="12.75" customHeight="1" x14ac:dyDescent="0.25">
      <c r="H1493" s="2"/>
    </row>
    <row r="1494" spans="8:8" ht="12.75" customHeight="1" x14ac:dyDescent="0.25">
      <c r="H1494" s="2"/>
    </row>
    <row r="1495" spans="8:8" ht="12.75" customHeight="1" x14ac:dyDescent="0.25">
      <c r="H1495" s="2"/>
    </row>
    <row r="1496" spans="8:8" ht="12.75" customHeight="1" x14ac:dyDescent="0.25">
      <c r="H1496" s="2"/>
    </row>
    <row r="1497" spans="8:8" ht="12.75" customHeight="1" x14ac:dyDescent="0.25">
      <c r="H1497" s="2"/>
    </row>
    <row r="1498" spans="8:8" ht="12.75" customHeight="1" x14ac:dyDescent="0.25">
      <c r="H1498" s="2"/>
    </row>
    <row r="1499" spans="8:8" ht="12.75" customHeight="1" x14ac:dyDescent="0.25">
      <c r="H1499" s="2"/>
    </row>
    <row r="1500" spans="8:8" ht="12.75" customHeight="1" x14ac:dyDescent="0.25">
      <c r="H1500" s="2"/>
    </row>
    <row r="1501" spans="8:8" ht="12.75" customHeight="1" x14ac:dyDescent="0.25">
      <c r="H1501" s="2"/>
    </row>
    <row r="1502" spans="8:8" ht="12.75" customHeight="1" x14ac:dyDescent="0.25">
      <c r="H1502" s="2"/>
    </row>
    <row r="1503" spans="8:8" ht="12.75" customHeight="1" x14ac:dyDescent="0.25">
      <c r="H1503" s="2"/>
    </row>
    <row r="1504" spans="8:8" ht="12.75" customHeight="1" x14ac:dyDescent="0.25">
      <c r="H1504" s="2"/>
    </row>
    <row r="1505" spans="8:8" ht="12.75" customHeight="1" x14ac:dyDescent="0.25">
      <c r="H1505" s="2"/>
    </row>
    <row r="1506" spans="8:8" ht="12.75" customHeight="1" x14ac:dyDescent="0.25">
      <c r="H1506" s="2"/>
    </row>
    <row r="1507" spans="8:8" ht="12.75" customHeight="1" x14ac:dyDescent="0.25">
      <c r="H1507" s="2"/>
    </row>
    <row r="1508" spans="8:8" ht="12.75" customHeight="1" x14ac:dyDescent="0.25">
      <c r="H1508" s="2"/>
    </row>
    <row r="1509" spans="8:8" ht="12.75" customHeight="1" x14ac:dyDescent="0.25">
      <c r="H1509" s="2"/>
    </row>
    <row r="1510" spans="8:8" ht="12.75" customHeight="1" x14ac:dyDescent="0.25">
      <c r="H1510" s="2"/>
    </row>
    <row r="1511" spans="8:8" ht="12.75" customHeight="1" x14ac:dyDescent="0.25">
      <c r="H1511" s="2"/>
    </row>
    <row r="1512" spans="8:8" ht="12.75" customHeight="1" x14ac:dyDescent="0.25">
      <c r="H1512" s="2"/>
    </row>
    <row r="1513" spans="8:8" ht="12.75" customHeight="1" x14ac:dyDescent="0.25">
      <c r="H1513" s="2"/>
    </row>
    <row r="1514" spans="8:8" ht="12.75" customHeight="1" x14ac:dyDescent="0.25">
      <c r="H1514" s="2"/>
    </row>
    <row r="1515" spans="8:8" ht="12.75" customHeight="1" x14ac:dyDescent="0.25">
      <c r="H1515" s="2"/>
    </row>
    <row r="1516" spans="8:8" ht="12.75" customHeight="1" x14ac:dyDescent="0.25">
      <c r="H1516" s="2"/>
    </row>
    <row r="1517" spans="8:8" ht="12.75" customHeight="1" x14ac:dyDescent="0.25">
      <c r="H1517" s="2"/>
    </row>
    <row r="1518" spans="8:8" ht="12.75" customHeight="1" x14ac:dyDescent="0.25">
      <c r="H1518" s="2"/>
    </row>
    <row r="1519" spans="8:8" ht="12.75" customHeight="1" x14ac:dyDescent="0.25">
      <c r="H1519" s="2"/>
    </row>
    <row r="1520" spans="8:8" ht="12.75" customHeight="1" x14ac:dyDescent="0.25">
      <c r="H1520" s="2"/>
    </row>
    <row r="1521" spans="8:8" ht="12.75" customHeight="1" x14ac:dyDescent="0.25">
      <c r="H1521" s="2"/>
    </row>
    <row r="1522" spans="8:8" ht="12.75" customHeight="1" x14ac:dyDescent="0.25">
      <c r="H1522" s="2"/>
    </row>
    <row r="1523" spans="8:8" ht="12.75" customHeight="1" x14ac:dyDescent="0.25">
      <c r="H1523" s="2"/>
    </row>
    <row r="1524" spans="8:8" ht="12.75" customHeight="1" x14ac:dyDescent="0.25">
      <c r="H1524" s="2"/>
    </row>
    <row r="1525" spans="8:8" ht="12.75" customHeight="1" x14ac:dyDescent="0.25">
      <c r="H1525" s="2"/>
    </row>
    <row r="1526" spans="8:8" ht="12.75" customHeight="1" x14ac:dyDescent="0.25">
      <c r="H1526" s="2"/>
    </row>
    <row r="1527" spans="8:8" ht="12.75" customHeight="1" x14ac:dyDescent="0.25">
      <c r="H1527" s="2"/>
    </row>
    <row r="1528" spans="8:8" ht="12.75" customHeight="1" x14ac:dyDescent="0.25">
      <c r="H1528" s="2"/>
    </row>
    <row r="1529" spans="8:8" ht="12.75" customHeight="1" x14ac:dyDescent="0.25">
      <c r="H1529" s="2"/>
    </row>
    <row r="1530" spans="8:8" ht="12.75" customHeight="1" x14ac:dyDescent="0.25">
      <c r="H1530" s="2"/>
    </row>
    <row r="1531" spans="8:8" ht="12.75" customHeight="1" x14ac:dyDescent="0.25">
      <c r="H1531" s="2"/>
    </row>
    <row r="1532" spans="8:8" ht="12.75" customHeight="1" x14ac:dyDescent="0.25">
      <c r="H1532" s="2"/>
    </row>
    <row r="1533" spans="8:8" ht="12.75" customHeight="1" x14ac:dyDescent="0.25">
      <c r="H1533" s="2"/>
    </row>
    <row r="1534" spans="8:8" ht="12.75" customHeight="1" x14ac:dyDescent="0.25">
      <c r="H1534" s="2"/>
    </row>
    <row r="1535" spans="8:8" ht="12.75" customHeight="1" x14ac:dyDescent="0.25">
      <c r="H1535" s="2"/>
    </row>
    <row r="1536" spans="8:8" ht="12.75" customHeight="1" x14ac:dyDescent="0.25">
      <c r="H1536" s="2"/>
    </row>
    <row r="1537" spans="8:8" ht="12.75" customHeight="1" x14ac:dyDescent="0.25">
      <c r="H1537" s="2"/>
    </row>
    <row r="1538" spans="8:8" ht="12.75" customHeight="1" x14ac:dyDescent="0.25">
      <c r="H1538" s="2"/>
    </row>
    <row r="1539" spans="8:8" ht="12.75" customHeight="1" x14ac:dyDescent="0.25">
      <c r="H1539" s="2"/>
    </row>
    <row r="1540" spans="8:8" ht="12.75" customHeight="1" x14ac:dyDescent="0.25">
      <c r="H1540" s="2"/>
    </row>
    <row r="1541" spans="8:8" ht="12.75" customHeight="1" x14ac:dyDescent="0.25">
      <c r="H1541" s="2"/>
    </row>
    <row r="1542" spans="8:8" ht="12.75" customHeight="1" x14ac:dyDescent="0.25">
      <c r="H1542" s="2"/>
    </row>
    <row r="1543" spans="8:8" ht="12.75" customHeight="1" x14ac:dyDescent="0.25">
      <c r="H1543" s="2"/>
    </row>
    <row r="1544" spans="8:8" ht="12.75" customHeight="1" x14ac:dyDescent="0.25">
      <c r="H1544" s="2"/>
    </row>
    <row r="1545" spans="8:8" ht="12.75" customHeight="1" x14ac:dyDescent="0.25">
      <c r="H1545" s="2"/>
    </row>
    <row r="1546" spans="8:8" ht="12.75" customHeight="1" x14ac:dyDescent="0.25">
      <c r="H1546" s="2"/>
    </row>
    <row r="1547" spans="8:8" ht="12.75" customHeight="1" x14ac:dyDescent="0.25">
      <c r="H1547" s="2"/>
    </row>
    <row r="1548" spans="8:8" ht="12.75" customHeight="1" x14ac:dyDescent="0.25">
      <c r="H1548" s="2"/>
    </row>
    <row r="1549" spans="8:8" ht="12.75" customHeight="1" x14ac:dyDescent="0.25">
      <c r="H1549" s="2"/>
    </row>
    <row r="1550" spans="8:8" ht="12.75" customHeight="1" x14ac:dyDescent="0.25">
      <c r="H1550" s="2"/>
    </row>
    <row r="1551" spans="8:8" ht="12.75" customHeight="1" x14ac:dyDescent="0.25">
      <c r="H1551" s="2"/>
    </row>
    <row r="1552" spans="8:8" ht="12.75" customHeight="1" x14ac:dyDescent="0.25">
      <c r="H1552" s="2"/>
    </row>
    <row r="1553" spans="8:8" ht="12.75" customHeight="1" x14ac:dyDescent="0.25">
      <c r="H1553" s="2"/>
    </row>
    <row r="1554" spans="8:8" ht="12.75" customHeight="1" x14ac:dyDescent="0.25">
      <c r="H1554" s="2"/>
    </row>
    <row r="1555" spans="8:8" ht="12.75" customHeight="1" x14ac:dyDescent="0.25">
      <c r="H1555" s="2"/>
    </row>
    <row r="1556" spans="8:8" ht="12.75" customHeight="1" x14ac:dyDescent="0.25">
      <c r="H1556" s="2"/>
    </row>
    <row r="1557" spans="8:8" ht="12.75" customHeight="1" x14ac:dyDescent="0.25">
      <c r="H1557" s="2"/>
    </row>
    <row r="1558" spans="8:8" ht="12.75" customHeight="1" x14ac:dyDescent="0.25">
      <c r="H1558" s="2"/>
    </row>
    <row r="1559" spans="8:8" ht="12.75" customHeight="1" x14ac:dyDescent="0.25">
      <c r="H1559" s="2"/>
    </row>
    <row r="1560" spans="8:8" ht="12.75" customHeight="1" x14ac:dyDescent="0.25">
      <c r="H1560" s="2"/>
    </row>
    <row r="1561" spans="8:8" ht="12.75" customHeight="1" x14ac:dyDescent="0.25">
      <c r="H1561" s="2"/>
    </row>
    <row r="1562" spans="8:8" ht="12.75" customHeight="1" x14ac:dyDescent="0.25">
      <c r="H1562" s="2"/>
    </row>
    <row r="1563" spans="8:8" ht="12.75" customHeight="1" x14ac:dyDescent="0.25">
      <c r="H1563" s="2"/>
    </row>
    <row r="1564" spans="8:8" ht="12.75" customHeight="1" x14ac:dyDescent="0.25">
      <c r="H1564" s="2"/>
    </row>
    <row r="1565" spans="8:8" ht="12.75" customHeight="1" x14ac:dyDescent="0.25">
      <c r="H1565" s="2"/>
    </row>
    <row r="1566" spans="8:8" ht="12.75" customHeight="1" x14ac:dyDescent="0.25">
      <c r="H1566" s="2"/>
    </row>
    <row r="1567" spans="8:8" ht="12.75" customHeight="1" x14ac:dyDescent="0.25">
      <c r="H1567" s="2"/>
    </row>
    <row r="1568" spans="8:8" ht="12.75" customHeight="1" x14ac:dyDescent="0.25">
      <c r="H1568" s="2"/>
    </row>
    <row r="1569" spans="8:8" ht="12.75" customHeight="1" x14ac:dyDescent="0.25">
      <c r="H1569" s="2"/>
    </row>
    <row r="1570" spans="8:8" ht="12.75" customHeight="1" x14ac:dyDescent="0.25">
      <c r="H1570" s="2"/>
    </row>
    <row r="1571" spans="8:8" ht="12.75" customHeight="1" x14ac:dyDescent="0.25">
      <c r="H1571" s="2"/>
    </row>
    <row r="1572" spans="8:8" ht="12.75" customHeight="1" x14ac:dyDescent="0.25">
      <c r="H1572" s="2"/>
    </row>
    <row r="1573" spans="8:8" ht="12.75" customHeight="1" x14ac:dyDescent="0.25">
      <c r="H1573" s="2"/>
    </row>
    <row r="1574" spans="8:8" ht="12.75" customHeight="1" x14ac:dyDescent="0.25">
      <c r="H1574" s="2"/>
    </row>
    <row r="1575" spans="8:8" ht="12.75" customHeight="1" x14ac:dyDescent="0.25">
      <c r="H1575" s="2"/>
    </row>
    <row r="1576" spans="8:8" ht="12.75" customHeight="1" x14ac:dyDescent="0.25">
      <c r="H1576" s="2"/>
    </row>
    <row r="1577" spans="8:8" ht="12.75" customHeight="1" x14ac:dyDescent="0.25">
      <c r="H1577" s="2"/>
    </row>
    <row r="1578" spans="8:8" ht="12.75" customHeight="1" x14ac:dyDescent="0.25">
      <c r="H1578" s="2"/>
    </row>
    <row r="1579" spans="8:8" ht="12.75" customHeight="1" x14ac:dyDescent="0.25">
      <c r="H1579" s="2"/>
    </row>
    <row r="1580" spans="8:8" ht="12.75" customHeight="1" x14ac:dyDescent="0.25">
      <c r="H1580" s="2"/>
    </row>
    <row r="1581" spans="8:8" ht="12.75" customHeight="1" x14ac:dyDescent="0.25">
      <c r="H1581" s="2"/>
    </row>
    <row r="1582" spans="8:8" ht="12.75" customHeight="1" x14ac:dyDescent="0.25">
      <c r="H1582" s="2"/>
    </row>
    <row r="1583" spans="8:8" ht="12.75" customHeight="1" x14ac:dyDescent="0.25">
      <c r="H1583" s="2"/>
    </row>
    <row r="1584" spans="8:8" ht="12.75" customHeight="1" x14ac:dyDescent="0.25">
      <c r="H1584" s="2"/>
    </row>
    <row r="1585" spans="8:8" ht="12.75" customHeight="1" x14ac:dyDescent="0.25">
      <c r="H1585" s="2"/>
    </row>
    <row r="1586" spans="8:8" ht="12.75" customHeight="1" x14ac:dyDescent="0.25">
      <c r="H1586" s="2"/>
    </row>
    <row r="1587" spans="8:8" ht="12.75" customHeight="1" x14ac:dyDescent="0.25">
      <c r="H1587" s="2"/>
    </row>
    <row r="1588" spans="8:8" ht="12.75" customHeight="1" x14ac:dyDescent="0.25">
      <c r="H1588" s="2"/>
    </row>
    <row r="1589" spans="8:8" ht="12.75" customHeight="1" x14ac:dyDescent="0.25">
      <c r="H1589" s="2"/>
    </row>
    <row r="1590" spans="8:8" ht="12.75" customHeight="1" x14ac:dyDescent="0.25">
      <c r="H1590" s="2"/>
    </row>
    <row r="1591" spans="8:8" ht="12.75" customHeight="1" x14ac:dyDescent="0.25">
      <c r="H1591" s="2"/>
    </row>
    <row r="1592" spans="8:8" ht="12.75" customHeight="1" x14ac:dyDescent="0.25">
      <c r="H1592" s="2"/>
    </row>
    <row r="1593" spans="8:8" ht="12.75" customHeight="1" x14ac:dyDescent="0.25">
      <c r="H1593" s="2"/>
    </row>
    <row r="1594" spans="8:8" ht="12.75" customHeight="1" x14ac:dyDescent="0.25">
      <c r="H1594" s="2"/>
    </row>
    <row r="1595" spans="8:8" ht="12.75" customHeight="1" x14ac:dyDescent="0.25">
      <c r="H1595" s="2"/>
    </row>
    <row r="1596" spans="8:8" ht="12.75" customHeight="1" x14ac:dyDescent="0.25">
      <c r="H1596" s="2"/>
    </row>
    <row r="1597" spans="8:8" ht="12.75" customHeight="1" x14ac:dyDescent="0.25">
      <c r="H1597" s="2"/>
    </row>
    <row r="1598" spans="8:8" ht="12.75" customHeight="1" x14ac:dyDescent="0.25">
      <c r="H1598" s="2"/>
    </row>
    <row r="1599" spans="8:8" ht="12.75" customHeight="1" x14ac:dyDescent="0.25">
      <c r="H1599" s="2"/>
    </row>
    <row r="1600" spans="8:8" ht="12.75" customHeight="1" x14ac:dyDescent="0.25">
      <c r="H1600" s="2"/>
    </row>
    <row r="1601" spans="8:8" ht="12.75" customHeight="1" x14ac:dyDescent="0.25">
      <c r="H1601" s="2"/>
    </row>
    <row r="1602" spans="8:8" ht="12.75" customHeight="1" x14ac:dyDescent="0.25">
      <c r="H1602" s="2"/>
    </row>
    <row r="1603" spans="8:8" ht="12.75" customHeight="1" x14ac:dyDescent="0.25">
      <c r="H1603" s="2"/>
    </row>
    <row r="1604" spans="8:8" ht="12.75" customHeight="1" x14ac:dyDescent="0.25">
      <c r="H1604" s="2"/>
    </row>
    <row r="1605" spans="8:8" ht="12.75" customHeight="1" x14ac:dyDescent="0.25">
      <c r="H1605" s="2"/>
    </row>
    <row r="1606" spans="8:8" ht="12.75" customHeight="1" x14ac:dyDescent="0.25">
      <c r="H1606" s="2"/>
    </row>
    <row r="1607" spans="8:8" ht="12.75" customHeight="1" x14ac:dyDescent="0.25">
      <c r="H1607" s="2"/>
    </row>
    <row r="1608" spans="8:8" ht="12.75" customHeight="1" x14ac:dyDescent="0.25">
      <c r="H1608" s="2"/>
    </row>
    <row r="1609" spans="8:8" ht="12.75" customHeight="1" x14ac:dyDescent="0.25">
      <c r="H1609" s="2"/>
    </row>
    <row r="1610" spans="8:8" ht="12.75" customHeight="1" x14ac:dyDescent="0.25">
      <c r="H1610" s="2"/>
    </row>
    <row r="1611" spans="8:8" ht="12.75" customHeight="1" x14ac:dyDescent="0.25">
      <c r="H1611" s="2"/>
    </row>
    <row r="1612" spans="8:8" ht="12.75" customHeight="1" x14ac:dyDescent="0.25">
      <c r="H1612" s="2"/>
    </row>
    <row r="1613" spans="8:8" ht="12.75" customHeight="1" x14ac:dyDescent="0.25">
      <c r="H1613" s="2"/>
    </row>
    <row r="1614" spans="8:8" ht="12.75" customHeight="1" x14ac:dyDescent="0.25">
      <c r="H1614" s="2"/>
    </row>
    <row r="1615" spans="8:8" ht="12.75" customHeight="1" x14ac:dyDescent="0.25">
      <c r="H1615" s="2"/>
    </row>
    <row r="1616" spans="8:8" ht="12.75" customHeight="1" x14ac:dyDescent="0.25">
      <c r="H1616" s="2"/>
    </row>
    <row r="1617" spans="8:8" ht="12.75" customHeight="1" x14ac:dyDescent="0.25">
      <c r="H1617" s="2"/>
    </row>
    <row r="1618" spans="8:8" ht="12.75" customHeight="1" x14ac:dyDescent="0.25">
      <c r="H1618" s="2"/>
    </row>
    <row r="1619" spans="8:8" ht="12.75" customHeight="1" x14ac:dyDescent="0.25">
      <c r="H1619" s="2"/>
    </row>
    <row r="1620" spans="8:8" ht="12.75" customHeight="1" x14ac:dyDescent="0.25">
      <c r="H1620" s="2"/>
    </row>
    <row r="1621" spans="8:8" ht="12.75" customHeight="1" x14ac:dyDescent="0.25">
      <c r="H1621" s="2"/>
    </row>
    <row r="1622" spans="8:8" ht="12.75" customHeight="1" x14ac:dyDescent="0.25">
      <c r="H1622" s="2"/>
    </row>
    <row r="1623" spans="8:8" ht="12.75" customHeight="1" x14ac:dyDescent="0.25">
      <c r="H1623" s="2"/>
    </row>
    <row r="1624" spans="8:8" ht="12.75" customHeight="1" x14ac:dyDescent="0.25">
      <c r="H1624" s="2"/>
    </row>
    <row r="1625" spans="8:8" ht="12.75" customHeight="1" x14ac:dyDescent="0.25">
      <c r="H1625" s="2"/>
    </row>
    <row r="1626" spans="8:8" ht="12.75" customHeight="1" x14ac:dyDescent="0.25">
      <c r="H1626" s="2"/>
    </row>
    <row r="1627" spans="8:8" ht="12.75" customHeight="1" x14ac:dyDescent="0.25">
      <c r="H1627" s="2"/>
    </row>
    <row r="1628" spans="8:8" ht="12.75" customHeight="1" x14ac:dyDescent="0.25">
      <c r="H1628" s="2"/>
    </row>
    <row r="1629" spans="8:8" ht="12.75" customHeight="1" x14ac:dyDescent="0.25">
      <c r="H1629" s="2"/>
    </row>
    <row r="1630" spans="8:8" ht="12.75" customHeight="1" x14ac:dyDescent="0.25">
      <c r="H1630" s="2"/>
    </row>
    <row r="1631" spans="8:8" ht="12.75" customHeight="1" x14ac:dyDescent="0.25">
      <c r="H1631" s="2"/>
    </row>
    <row r="1632" spans="8:8" ht="12.75" customHeight="1" x14ac:dyDescent="0.25">
      <c r="H1632" s="2"/>
    </row>
    <row r="1633" spans="8:8" ht="12.75" customHeight="1" x14ac:dyDescent="0.25">
      <c r="H1633" s="2"/>
    </row>
    <row r="1634" spans="8:8" ht="12.75" customHeight="1" x14ac:dyDescent="0.25">
      <c r="H1634" s="2"/>
    </row>
    <row r="1635" spans="8:8" ht="12.75" customHeight="1" x14ac:dyDescent="0.25">
      <c r="H1635" s="2"/>
    </row>
    <row r="1636" spans="8:8" ht="12.75" customHeight="1" x14ac:dyDescent="0.25">
      <c r="H1636" s="2"/>
    </row>
    <row r="1637" spans="8:8" ht="12.75" customHeight="1" x14ac:dyDescent="0.25">
      <c r="H1637" s="2"/>
    </row>
    <row r="1638" spans="8:8" ht="12.75" customHeight="1" x14ac:dyDescent="0.25">
      <c r="H1638" s="2"/>
    </row>
    <row r="1639" spans="8:8" ht="12.75" customHeight="1" x14ac:dyDescent="0.25">
      <c r="H1639" s="2"/>
    </row>
    <row r="1640" spans="8:8" ht="12.75" customHeight="1" x14ac:dyDescent="0.25">
      <c r="H1640" s="2"/>
    </row>
    <row r="1641" spans="8:8" ht="12.75" customHeight="1" x14ac:dyDescent="0.25">
      <c r="H1641" s="2"/>
    </row>
    <row r="1642" spans="8:8" ht="12.75" customHeight="1" x14ac:dyDescent="0.25">
      <c r="H1642" s="2"/>
    </row>
    <row r="1643" spans="8:8" ht="12.75" customHeight="1" x14ac:dyDescent="0.25">
      <c r="H1643" s="2"/>
    </row>
    <row r="1644" spans="8:8" ht="12.75" customHeight="1" x14ac:dyDescent="0.25">
      <c r="H1644" s="2"/>
    </row>
    <row r="1645" spans="8:8" ht="12.75" customHeight="1" x14ac:dyDescent="0.25">
      <c r="H1645" s="2"/>
    </row>
    <row r="1646" spans="8:8" ht="12.75" customHeight="1" x14ac:dyDescent="0.25">
      <c r="H1646" s="2"/>
    </row>
    <row r="1647" spans="8:8" ht="12.75" customHeight="1" x14ac:dyDescent="0.25">
      <c r="H1647" s="2"/>
    </row>
    <row r="1648" spans="8:8" ht="12.75" customHeight="1" x14ac:dyDescent="0.25">
      <c r="H1648" s="2"/>
    </row>
    <row r="1649" spans="8:8" ht="12.75" customHeight="1" x14ac:dyDescent="0.25">
      <c r="H1649" s="2"/>
    </row>
    <row r="1650" spans="8:8" ht="12.75" customHeight="1" x14ac:dyDescent="0.25">
      <c r="H1650" s="2"/>
    </row>
    <row r="1651" spans="8:8" ht="12.75" customHeight="1" x14ac:dyDescent="0.25">
      <c r="H1651" s="2"/>
    </row>
    <row r="1652" spans="8:8" ht="12.75" customHeight="1" x14ac:dyDescent="0.25">
      <c r="H1652" s="2"/>
    </row>
    <row r="1653" spans="8:8" ht="12.75" customHeight="1" x14ac:dyDescent="0.25">
      <c r="H1653" s="2"/>
    </row>
    <row r="1654" spans="8:8" ht="12.75" customHeight="1" x14ac:dyDescent="0.25">
      <c r="H1654" s="2"/>
    </row>
    <row r="1655" spans="8:8" ht="12.75" customHeight="1" x14ac:dyDescent="0.25">
      <c r="H1655" s="2"/>
    </row>
    <row r="1656" spans="8:8" ht="12.75" customHeight="1" x14ac:dyDescent="0.25">
      <c r="H1656" s="2"/>
    </row>
    <row r="1657" spans="8:8" ht="12.75" customHeight="1" x14ac:dyDescent="0.25">
      <c r="H1657" s="2"/>
    </row>
    <row r="1658" spans="8:8" ht="12.75" customHeight="1" x14ac:dyDescent="0.25">
      <c r="H1658" s="2"/>
    </row>
    <row r="1659" spans="8:8" ht="12.75" customHeight="1" x14ac:dyDescent="0.25">
      <c r="H1659" s="2"/>
    </row>
    <row r="1660" spans="8:8" ht="12.75" customHeight="1" x14ac:dyDescent="0.25">
      <c r="H1660" s="2"/>
    </row>
    <row r="1661" spans="8:8" ht="12.75" customHeight="1" x14ac:dyDescent="0.25">
      <c r="H1661" s="2"/>
    </row>
    <row r="1662" spans="8:8" ht="12.75" customHeight="1" x14ac:dyDescent="0.25">
      <c r="H1662" s="2"/>
    </row>
    <row r="1663" spans="8:8" ht="12.75" customHeight="1" x14ac:dyDescent="0.25">
      <c r="H1663" s="2"/>
    </row>
    <row r="1664" spans="8:8" ht="12.75" customHeight="1" x14ac:dyDescent="0.25">
      <c r="H1664" s="2"/>
    </row>
    <row r="1665" spans="8:8" ht="12.75" customHeight="1" x14ac:dyDescent="0.25">
      <c r="H1665" s="2"/>
    </row>
    <row r="1666" spans="8:8" ht="12.75" customHeight="1" x14ac:dyDescent="0.25">
      <c r="H1666" s="2"/>
    </row>
    <row r="1667" spans="8:8" ht="12.75" customHeight="1" x14ac:dyDescent="0.25">
      <c r="H1667" s="2"/>
    </row>
    <row r="1668" spans="8:8" ht="12.75" customHeight="1" x14ac:dyDescent="0.25">
      <c r="H1668" s="2"/>
    </row>
    <row r="1669" spans="8:8" ht="12.75" customHeight="1" x14ac:dyDescent="0.25">
      <c r="H1669" s="2"/>
    </row>
    <row r="1670" spans="8:8" ht="12.75" customHeight="1" x14ac:dyDescent="0.25">
      <c r="H1670" s="2"/>
    </row>
    <row r="1671" spans="8:8" ht="12.75" customHeight="1" x14ac:dyDescent="0.25">
      <c r="H1671" s="2"/>
    </row>
    <row r="1672" spans="8:8" ht="12.75" customHeight="1" x14ac:dyDescent="0.25">
      <c r="H1672" s="2"/>
    </row>
    <row r="1673" spans="8:8" ht="12.75" customHeight="1" x14ac:dyDescent="0.25">
      <c r="H1673" s="2"/>
    </row>
    <row r="1674" spans="8:8" ht="12.75" customHeight="1" x14ac:dyDescent="0.25">
      <c r="H1674" s="2"/>
    </row>
    <row r="1675" spans="8:8" ht="12.75" customHeight="1" x14ac:dyDescent="0.25">
      <c r="H1675" s="2"/>
    </row>
    <row r="1676" spans="8:8" ht="12.75" customHeight="1" x14ac:dyDescent="0.25">
      <c r="H1676" s="2"/>
    </row>
    <row r="1677" spans="8:8" ht="12.75" customHeight="1" x14ac:dyDescent="0.25">
      <c r="H1677" s="2"/>
    </row>
    <row r="1678" spans="8:8" ht="12.75" customHeight="1" x14ac:dyDescent="0.25">
      <c r="H1678" s="2"/>
    </row>
    <row r="1679" spans="8:8" ht="12.75" customHeight="1" x14ac:dyDescent="0.25">
      <c r="H1679" s="2"/>
    </row>
    <row r="1680" spans="8:8" ht="12.75" customHeight="1" x14ac:dyDescent="0.25">
      <c r="H1680" s="2"/>
    </row>
    <row r="1681" spans="8:8" ht="12.75" customHeight="1" x14ac:dyDescent="0.25">
      <c r="H1681" s="2"/>
    </row>
    <row r="1682" spans="8:8" ht="12.75" customHeight="1" x14ac:dyDescent="0.25">
      <c r="H1682" s="2"/>
    </row>
    <row r="1683" spans="8:8" ht="12.75" customHeight="1" x14ac:dyDescent="0.25">
      <c r="H1683" s="2"/>
    </row>
    <row r="1684" spans="8:8" ht="12.75" customHeight="1" x14ac:dyDescent="0.25">
      <c r="H1684" s="2"/>
    </row>
    <row r="1685" spans="8:8" ht="12.75" customHeight="1" x14ac:dyDescent="0.25">
      <c r="H1685" s="2"/>
    </row>
    <row r="1686" spans="8:8" ht="12.75" customHeight="1" x14ac:dyDescent="0.25">
      <c r="H1686" s="2"/>
    </row>
    <row r="1687" spans="8:8" ht="12.75" customHeight="1" x14ac:dyDescent="0.25">
      <c r="H1687" s="2"/>
    </row>
    <row r="1688" spans="8:8" ht="12.75" customHeight="1" x14ac:dyDescent="0.25">
      <c r="H1688" s="2"/>
    </row>
    <row r="1689" spans="8:8" ht="12.75" customHeight="1" x14ac:dyDescent="0.25">
      <c r="H1689" s="2"/>
    </row>
    <row r="1690" spans="8:8" ht="12.75" customHeight="1" x14ac:dyDescent="0.25">
      <c r="H1690" s="2"/>
    </row>
    <row r="1691" spans="8:8" ht="12.75" customHeight="1" x14ac:dyDescent="0.25">
      <c r="H1691" s="2"/>
    </row>
    <row r="1692" spans="8:8" ht="12.75" customHeight="1" x14ac:dyDescent="0.25">
      <c r="H1692" s="2"/>
    </row>
    <row r="1693" spans="8:8" ht="12.75" customHeight="1" x14ac:dyDescent="0.25">
      <c r="H1693" s="2"/>
    </row>
    <row r="1694" spans="8:8" ht="12.75" customHeight="1" x14ac:dyDescent="0.25">
      <c r="H1694" s="2"/>
    </row>
    <row r="1695" spans="8:8" ht="12.75" customHeight="1" x14ac:dyDescent="0.25">
      <c r="H1695" s="2"/>
    </row>
    <row r="1696" spans="8:8" ht="12.75" customHeight="1" x14ac:dyDescent="0.25">
      <c r="H1696" s="2"/>
    </row>
    <row r="1697" spans="8:8" ht="12.75" customHeight="1" x14ac:dyDescent="0.25">
      <c r="H1697" s="2"/>
    </row>
    <row r="1698" spans="8:8" ht="12.75" customHeight="1" x14ac:dyDescent="0.25">
      <c r="H1698" s="2"/>
    </row>
    <row r="1699" spans="8:8" ht="12.75" customHeight="1" x14ac:dyDescent="0.25">
      <c r="H1699" s="2"/>
    </row>
    <row r="1700" spans="8:8" ht="12.75" customHeight="1" x14ac:dyDescent="0.25">
      <c r="H1700" s="2"/>
    </row>
    <row r="1701" spans="8:8" ht="12.75" customHeight="1" x14ac:dyDescent="0.25">
      <c r="H1701" s="2"/>
    </row>
    <row r="1702" spans="8:8" ht="12.75" customHeight="1" x14ac:dyDescent="0.25">
      <c r="H1702" s="2"/>
    </row>
    <row r="1703" spans="8:8" ht="12.75" customHeight="1" x14ac:dyDescent="0.25">
      <c r="H1703" s="2"/>
    </row>
    <row r="1704" spans="8:8" ht="12.75" customHeight="1" x14ac:dyDescent="0.25">
      <c r="H1704" s="2"/>
    </row>
    <row r="1705" spans="8:8" ht="12.75" customHeight="1" x14ac:dyDescent="0.25">
      <c r="H1705" s="2"/>
    </row>
    <row r="1706" spans="8:8" ht="12.75" customHeight="1" x14ac:dyDescent="0.25">
      <c r="H1706" s="2"/>
    </row>
    <row r="1707" spans="8:8" ht="12.75" customHeight="1" x14ac:dyDescent="0.25">
      <c r="H1707" s="2"/>
    </row>
    <row r="1708" spans="8:8" ht="12.75" customHeight="1" x14ac:dyDescent="0.25">
      <c r="H1708" s="2"/>
    </row>
    <row r="1709" spans="8:8" ht="12.75" customHeight="1" x14ac:dyDescent="0.25">
      <c r="H1709" s="2"/>
    </row>
    <row r="1710" spans="8:8" ht="12.75" customHeight="1" x14ac:dyDescent="0.25">
      <c r="H1710" s="2"/>
    </row>
    <row r="1711" spans="8:8" ht="12.75" customHeight="1" x14ac:dyDescent="0.25">
      <c r="H1711" s="2"/>
    </row>
    <row r="1712" spans="8:8" ht="12.75" customHeight="1" x14ac:dyDescent="0.25">
      <c r="H1712" s="2"/>
    </row>
    <row r="1713" spans="8:8" ht="12.75" customHeight="1" x14ac:dyDescent="0.25">
      <c r="H1713" s="2"/>
    </row>
    <row r="1714" spans="8:8" ht="12.75" customHeight="1" x14ac:dyDescent="0.25">
      <c r="H1714" s="2"/>
    </row>
    <row r="1715" spans="8:8" ht="12.75" customHeight="1" x14ac:dyDescent="0.25">
      <c r="H1715" s="2"/>
    </row>
    <row r="1716" spans="8:8" ht="12.75" customHeight="1" x14ac:dyDescent="0.25">
      <c r="H1716" s="2"/>
    </row>
    <row r="1717" spans="8:8" ht="12.75" customHeight="1" x14ac:dyDescent="0.25">
      <c r="H1717" s="2"/>
    </row>
    <row r="1718" spans="8:8" ht="12.75" customHeight="1" x14ac:dyDescent="0.25">
      <c r="H1718" s="2"/>
    </row>
    <row r="1719" spans="8:8" ht="12.75" customHeight="1" x14ac:dyDescent="0.25">
      <c r="H1719" s="2"/>
    </row>
    <row r="1720" spans="8:8" ht="12.75" customHeight="1" x14ac:dyDescent="0.25">
      <c r="H1720" s="2"/>
    </row>
    <row r="1721" spans="8:8" ht="12.75" customHeight="1" x14ac:dyDescent="0.25">
      <c r="H1721" s="2"/>
    </row>
    <row r="1722" spans="8:8" ht="12.75" customHeight="1" x14ac:dyDescent="0.25">
      <c r="H1722" s="2"/>
    </row>
    <row r="1723" spans="8:8" ht="12.75" customHeight="1" x14ac:dyDescent="0.25">
      <c r="H1723" s="2"/>
    </row>
    <row r="1724" spans="8:8" ht="12.75" customHeight="1" x14ac:dyDescent="0.25">
      <c r="H1724" s="2"/>
    </row>
    <row r="1725" spans="8:8" ht="12.75" customHeight="1" x14ac:dyDescent="0.25">
      <c r="H1725" s="2"/>
    </row>
    <row r="1726" spans="8:8" ht="12.75" customHeight="1" x14ac:dyDescent="0.25">
      <c r="H1726" s="2"/>
    </row>
    <row r="1727" spans="8:8" ht="12.75" customHeight="1" x14ac:dyDescent="0.25">
      <c r="H1727" s="2"/>
    </row>
    <row r="1728" spans="8:8" ht="12.75" customHeight="1" x14ac:dyDescent="0.25">
      <c r="H1728" s="2"/>
    </row>
    <row r="1729" spans="8:8" ht="12.75" customHeight="1" x14ac:dyDescent="0.25">
      <c r="H1729" s="2"/>
    </row>
    <row r="1730" spans="8:8" ht="12.75" customHeight="1" x14ac:dyDescent="0.25">
      <c r="H1730" s="2"/>
    </row>
    <row r="1731" spans="8:8" ht="12.75" customHeight="1" x14ac:dyDescent="0.25">
      <c r="H1731" s="2"/>
    </row>
    <row r="1732" spans="8:8" ht="12.75" customHeight="1" x14ac:dyDescent="0.25">
      <c r="H1732" s="2"/>
    </row>
    <row r="1733" spans="8:8" ht="12.75" customHeight="1" x14ac:dyDescent="0.25">
      <c r="H1733" s="2"/>
    </row>
    <row r="1734" spans="8:8" ht="12.75" customHeight="1" x14ac:dyDescent="0.25">
      <c r="H1734" s="2"/>
    </row>
    <row r="1735" spans="8:8" ht="12.75" customHeight="1" x14ac:dyDescent="0.25">
      <c r="H1735" s="2"/>
    </row>
    <row r="1736" spans="8:8" ht="12.75" customHeight="1" x14ac:dyDescent="0.25">
      <c r="H1736" s="2"/>
    </row>
    <row r="1737" spans="8:8" ht="12.75" customHeight="1" x14ac:dyDescent="0.25">
      <c r="H1737" s="2"/>
    </row>
    <row r="1738" spans="8:8" ht="12.75" customHeight="1" x14ac:dyDescent="0.25">
      <c r="H1738" s="2"/>
    </row>
    <row r="1739" spans="8:8" ht="12.75" customHeight="1" x14ac:dyDescent="0.25">
      <c r="H1739" s="2"/>
    </row>
    <row r="1740" spans="8:8" ht="12.75" customHeight="1" x14ac:dyDescent="0.25">
      <c r="H1740" s="2"/>
    </row>
    <row r="1741" spans="8:8" ht="12.75" customHeight="1" x14ac:dyDescent="0.25">
      <c r="H1741" s="2"/>
    </row>
    <row r="1742" spans="8:8" ht="12.75" customHeight="1" x14ac:dyDescent="0.25">
      <c r="H1742" s="2"/>
    </row>
    <row r="1743" spans="8:8" ht="12.75" customHeight="1" x14ac:dyDescent="0.25">
      <c r="H1743" s="2"/>
    </row>
    <row r="1744" spans="8:8" ht="12.75" customHeight="1" x14ac:dyDescent="0.25">
      <c r="H1744" s="2"/>
    </row>
    <row r="1745" spans="8:8" ht="12.75" customHeight="1" x14ac:dyDescent="0.25">
      <c r="H1745" s="2"/>
    </row>
    <row r="1746" spans="8:8" ht="12.75" customHeight="1" x14ac:dyDescent="0.25">
      <c r="H1746" s="2"/>
    </row>
    <row r="1747" spans="8:8" ht="12.75" customHeight="1" x14ac:dyDescent="0.25">
      <c r="H1747" s="2"/>
    </row>
    <row r="1748" spans="8:8" ht="12.75" customHeight="1" x14ac:dyDescent="0.25">
      <c r="H1748" s="2"/>
    </row>
    <row r="1749" spans="8:8" ht="12.75" customHeight="1" x14ac:dyDescent="0.25">
      <c r="H1749" s="2"/>
    </row>
    <row r="1750" spans="8:8" ht="12.75" customHeight="1" x14ac:dyDescent="0.25">
      <c r="H1750" s="2"/>
    </row>
    <row r="1751" spans="8:8" ht="12.75" customHeight="1" x14ac:dyDescent="0.25">
      <c r="H1751" s="2"/>
    </row>
    <row r="1752" spans="8:8" ht="12.75" customHeight="1" x14ac:dyDescent="0.25">
      <c r="H1752" s="2"/>
    </row>
    <row r="1753" spans="8:8" ht="12.75" customHeight="1" x14ac:dyDescent="0.25">
      <c r="H1753" s="2"/>
    </row>
    <row r="1754" spans="8:8" ht="12.75" customHeight="1" x14ac:dyDescent="0.25">
      <c r="H1754" s="2"/>
    </row>
    <row r="1755" spans="8:8" ht="12.75" customHeight="1" x14ac:dyDescent="0.25">
      <c r="H1755" s="2"/>
    </row>
    <row r="1756" spans="8:8" ht="12.75" customHeight="1" x14ac:dyDescent="0.25">
      <c r="H1756" s="2"/>
    </row>
    <row r="1757" spans="8:8" ht="12.75" customHeight="1" x14ac:dyDescent="0.25">
      <c r="H1757" s="2"/>
    </row>
    <row r="1758" spans="8:8" ht="12.75" customHeight="1" x14ac:dyDescent="0.25">
      <c r="H1758" s="2"/>
    </row>
    <row r="1759" spans="8:8" ht="12.75" customHeight="1" x14ac:dyDescent="0.25">
      <c r="H1759" s="2"/>
    </row>
    <row r="1760" spans="8:8" ht="12.75" customHeight="1" x14ac:dyDescent="0.25">
      <c r="H1760" s="2"/>
    </row>
    <row r="1761" spans="8:8" ht="12.75" customHeight="1" x14ac:dyDescent="0.25">
      <c r="H1761" s="2"/>
    </row>
    <row r="1762" spans="8:8" ht="12.75" customHeight="1" x14ac:dyDescent="0.25">
      <c r="H1762" s="2"/>
    </row>
    <row r="1763" spans="8:8" ht="12.75" customHeight="1" x14ac:dyDescent="0.25">
      <c r="H1763" s="2"/>
    </row>
    <row r="1764" spans="8:8" ht="12.75" customHeight="1" x14ac:dyDescent="0.25">
      <c r="H1764" s="2"/>
    </row>
    <row r="1765" spans="8:8" ht="12.75" customHeight="1" x14ac:dyDescent="0.25">
      <c r="H1765" s="2"/>
    </row>
    <row r="1766" spans="8:8" ht="12.75" customHeight="1" x14ac:dyDescent="0.25">
      <c r="H1766" s="2"/>
    </row>
    <row r="1767" spans="8:8" ht="12.75" customHeight="1" x14ac:dyDescent="0.25">
      <c r="H1767" s="2"/>
    </row>
    <row r="1768" spans="8:8" ht="12.75" customHeight="1" x14ac:dyDescent="0.25">
      <c r="H1768" s="2"/>
    </row>
    <row r="1769" spans="8:8" ht="12.75" customHeight="1" x14ac:dyDescent="0.25">
      <c r="H1769" s="2"/>
    </row>
    <row r="1770" spans="8:8" ht="12.75" customHeight="1" x14ac:dyDescent="0.25">
      <c r="H1770" s="2"/>
    </row>
    <row r="1771" spans="8:8" ht="12.75" customHeight="1" x14ac:dyDescent="0.25">
      <c r="H1771" s="2"/>
    </row>
    <row r="1772" spans="8:8" ht="12.75" customHeight="1" x14ac:dyDescent="0.25">
      <c r="H1772" s="2"/>
    </row>
    <row r="1773" spans="8:8" ht="12.75" customHeight="1" x14ac:dyDescent="0.25">
      <c r="H1773" s="2"/>
    </row>
    <row r="1774" spans="8:8" ht="12.75" customHeight="1" x14ac:dyDescent="0.25">
      <c r="H1774" s="2"/>
    </row>
    <row r="1775" spans="8:8" ht="12.75" customHeight="1" x14ac:dyDescent="0.25">
      <c r="H1775" s="2"/>
    </row>
    <row r="1776" spans="8:8" ht="12.75" customHeight="1" x14ac:dyDescent="0.25">
      <c r="H1776" s="2"/>
    </row>
    <row r="1777" spans="8:8" ht="12.75" customHeight="1" x14ac:dyDescent="0.25">
      <c r="H1777" s="2"/>
    </row>
    <row r="1778" spans="8:8" ht="12.75" customHeight="1" x14ac:dyDescent="0.25">
      <c r="H1778" s="2"/>
    </row>
    <row r="1779" spans="8:8" ht="12.75" customHeight="1" x14ac:dyDescent="0.25">
      <c r="H1779" s="2"/>
    </row>
    <row r="1780" spans="8:8" ht="12.75" customHeight="1" x14ac:dyDescent="0.25">
      <c r="H1780" s="2"/>
    </row>
    <row r="1781" spans="8:8" ht="12.75" customHeight="1" x14ac:dyDescent="0.25">
      <c r="H1781" s="2"/>
    </row>
    <row r="1782" spans="8:8" ht="12.75" customHeight="1" x14ac:dyDescent="0.25">
      <c r="H1782" s="2"/>
    </row>
    <row r="1783" spans="8:8" ht="12.75" customHeight="1" x14ac:dyDescent="0.25">
      <c r="H1783" s="2"/>
    </row>
    <row r="1784" spans="8:8" ht="12.75" customHeight="1" x14ac:dyDescent="0.25">
      <c r="H1784" s="2"/>
    </row>
    <row r="1785" spans="8:8" ht="12.75" customHeight="1" x14ac:dyDescent="0.25">
      <c r="H1785" s="2"/>
    </row>
    <row r="1786" spans="8:8" ht="12.75" customHeight="1" x14ac:dyDescent="0.25">
      <c r="H1786" s="2"/>
    </row>
    <row r="1787" spans="8:8" ht="12.75" customHeight="1" x14ac:dyDescent="0.25">
      <c r="H1787" s="2"/>
    </row>
    <row r="1788" spans="8:8" ht="12.75" customHeight="1" x14ac:dyDescent="0.25">
      <c r="H1788" s="2"/>
    </row>
    <row r="1789" spans="8:8" ht="12.75" customHeight="1" x14ac:dyDescent="0.25">
      <c r="H1789" s="2"/>
    </row>
    <row r="1790" spans="8:8" ht="12.75" customHeight="1" x14ac:dyDescent="0.25">
      <c r="H1790" s="2"/>
    </row>
    <row r="1791" spans="8:8" ht="12.75" customHeight="1" x14ac:dyDescent="0.25">
      <c r="H1791" s="2"/>
    </row>
    <row r="1792" spans="8:8" ht="12.75" customHeight="1" x14ac:dyDescent="0.25">
      <c r="H1792" s="2"/>
    </row>
    <row r="1793" spans="8:8" ht="12.75" customHeight="1" x14ac:dyDescent="0.25">
      <c r="H1793" s="2"/>
    </row>
    <row r="1794" spans="8:8" ht="12.75" customHeight="1" x14ac:dyDescent="0.25">
      <c r="H1794" s="2"/>
    </row>
    <row r="1795" spans="8:8" ht="12.75" customHeight="1" x14ac:dyDescent="0.25">
      <c r="H1795" s="2"/>
    </row>
    <row r="1796" spans="8:8" ht="12.75" customHeight="1" x14ac:dyDescent="0.25">
      <c r="H1796" s="2"/>
    </row>
    <row r="1797" spans="8:8" ht="12.75" customHeight="1" x14ac:dyDescent="0.25">
      <c r="H1797" s="2"/>
    </row>
    <row r="1798" spans="8:8" ht="12.75" customHeight="1" x14ac:dyDescent="0.25">
      <c r="H1798" s="2"/>
    </row>
    <row r="1799" spans="8:8" ht="12.75" customHeight="1" x14ac:dyDescent="0.25">
      <c r="H1799" s="2"/>
    </row>
    <row r="1800" spans="8:8" ht="12.75" customHeight="1" x14ac:dyDescent="0.25">
      <c r="H1800" s="2"/>
    </row>
    <row r="1801" spans="8:8" ht="12.75" customHeight="1" x14ac:dyDescent="0.25">
      <c r="H1801" s="2"/>
    </row>
    <row r="1802" spans="8:8" ht="12.75" customHeight="1" x14ac:dyDescent="0.25">
      <c r="H1802" s="2"/>
    </row>
    <row r="1803" spans="8:8" ht="12.75" customHeight="1" x14ac:dyDescent="0.25">
      <c r="H1803" s="2"/>
    </row>
    <row r="1804" spans="8:8" ht="12.75" customHeight="1" x14ac:dyDescent="0.25">
      <c r="H1804" s="2"/>
    </row>
    <row r="1805" spans="8:8" ht="12.75" customHeight="1" x14ac:dyDescent="0.25">
      <c r="H1805" s="2"/>
    </row>
    <row r="1806" spans="8:8" ht="12.75" customHeight="1" x14ac:dyDescent="0.25">
      <c r="H1806" s="2"/>
    </row>
    <row r="1807" spans="8:8" ht="12.75" customHeight="1" x14ac:dyDescent="0.25">
      <c r="H1807" s="2"/>
    </row>
    <row r="1808" spans="8:8" ht="12.75" customHeight="1" x14ac:dyDescent="0.25">
      <c r="H1808" s="2"/>
    </row>
    <row r="1809" spans="8:8" ht="12.75" customHeight="1" x14ac:dyDescent="0.25">
      <c r="H1809" s="2"/>
    </row>
    <row r="1810" spans="8:8" ht="12.75" customHeight="1" x14ac:dyDescent="0.25">
      <c r="H1810" s="2"/>
    </row>
    <row r="1811" spans="8:8" ht="12.75" customHeight="1" x14ac:dyDescent="0.25">
      <c r="H1811" s="2"/>
    </row>
    <row r="1812" spans="8:8" ht="12.75" customHeight="1" x14ac:dyDescent="0.25">
      <c r="H1812" s="2"/>
    </row>
    <row r="1813" spans="8:8" ht="12.75" customHeight="1" x14ac:dyDescent="0.25">
      <c r="H1813" s="2"/>
    </row>
    <row r="1814" spans="8:8" ht="12.75" customHeight="1" x14ac:dyDescent="0.25">
      <c r="H1814" s="2"/>
    </row>
    <row r="1815" spans="8:8" ht="12.75" customHeight="1" x14ac:dyDescent="0.25">
      <c r="H1815" s="2"/>
    </row>
    <row r="1816" spans="8:8" ht="12.75" customHeight="1" x14ac:dyDescent="0.25">
      <c r="H1816" s="2"/>
    </row>
    <row r="1817" spans="8:8" ht="12.75" customHeight="1" x14ac:dyDescent="0.25">
      <c r="H1817" s="2"/>
    </row>
    <row r="1818" spans="8:8" ht="12.75" customHeight="1" x14ac:dyDescent="0.25">
      <c r="H1818" s="2"/>
    </row>
    <row r="1819" spans="8:8" ht="12.75" customHeight="1" x14ac:dyDescent="0.25">
      <c r="H1819" s="2"/>
    </row>
    <row r="1820" spans="8:8" ht="12.75" customHeight="1" x14ac:dyDescent="0.25">
      <c r="H1820" s="2"/>
    </row>
    <row r="1821" spans="8:8" ht="12.75" customHeight="1" x14ac:dyDescent="0.25">
      <c r="H1821" s="2"/>
    </row>
    <row r="1822" spans="8:8" ht="12.75" customHeight="1" x14ac:dyDescent="0.25">
      <c r="H1822" s="2"/>
    </row>
    <row r="1823" spans="8:8" ht="12.75" customHeight="1" x14ac:dyDescent="0.25">
      <c r="H1823" s="2"/>
    </row>
    <row r="1824" spans="8:8" ht="12.75" customHeight="1" x14ac:dyDescent="0.25">
      <c r="H1824" s="2"/>
    </row>
    <row r="1825" spans="8:8" ht="12.75" customHeight="1" x14ac:dyDescent="0.25">
      <c r="H1825" s="2"/>
    </row>
    <row r="1826" spans="8:8" ht="12.75" customHeight="1" x14ac:dyDescent="0.25">
      <c r="H1826" s="2"/>
    </row>
    <row r="1827" spans="8:8" ht="12.75" customHeight="1" x14ac:dyDescent="0.25">
      <c r="H1827" s="2"/>
    </row>
    <row r="1828" spans="8:8" ht="12.75" customHeight="1" x14ac:dyDescent="0.25">
      <c r="H1828" s="2"/>
    </row>
    <row r="1829" spans="8:8" ht="12.75" customHeight="1" x14ac:dyDescent="0.25">
      <c r="H1829" s="2"/>
    </row>
    <row r="1830" spans="8:8" ht="12.75" customHeight="1" x14ac:dyDescent="0.25">
      <c r="H1830" s="2"/>
    </row>
    <row r="1831" spans="8:8" ht="12.75" customHeight="1" x14ac:dyDescent="0.25">
      <c r="H1831" s="2"/>
    </row>
    <row r="1832" spans="8:8" ht="12.75" customHeight="1" x14ac:dyDescent="0.25">
      <c r="H1832" s="2"/>
    </row>
    <row r="1833" spans="8:8" ht="12.75" customHeight="1" x14ac:dyDescent="0.25">
      <c r="H1833" s="2"/>
    </row>
    <row r="1834" spans="8:8" ht="12.75" customHeight="1" x14ac:dyDescent="0.25">
      <c r="H1834" s="2"/>
    </row>
    <row r="1835" spans="8:8" ht="12.75" customHeight="1" x14ac:dyDescent="0.25">
      <c r="H1835" s="2"/>
    </row>
    <row r="1836" spans="8:8" ht="12.75" customHeight="1" x14ac:dyDescent="0.25">
      <c r="H1836" s="2"/>
    </row>
    <row r="1837" spans="8:8" ht="12.75" customHeight="1" x14ac:dyDescent="0.25">
      <c r="H1837" s="2"/>
    </row>
    <row r="1838" spans="8:8" ht="12.75" customHeight="1" x14ac:dyDescent="0.25">
      <c r="H1838" s="2"/>
    </row>
    <row r="1839" spans="8:8" ht="12.75" customHeight="1" x14ac:dyDescent="0.25">
      <c r="H1839" s="2"/>
    </row>
    <row r="1840" spans="8:8" ht="12.75" customHeight="1" x14ac:dyDescent="0.25">
      <c r="H1840" s="2"/>
    </row>
    <row r="1841" spans="8:8" ht="12.75" customHeight="1" x14ac:dyDescent="0.25">
      <c r="H1841" s="2"/>
    </row>
    <row r="1842" spans="8:8" ht="12.75" customHeight="1" x14ac:dyDescent="0.25">
      <c r="H1842" s="2"/>
    </row>
    <row r="1843" spans="8:8" ht="12.75" customHeight="1" x14ac:dyDescent="0.25">
      <c r="H1843" s="2"/>
    </row>
    <row r="1844" spans="8:8" ht="12.75" customHeight="1" x14ac:dyDescent="0.25">
      <c r="H1844" s="2"/>
    </row>
    <row r="1845" spans="8:8" ht="12.75" customHeight="1" x14ac:dyDescent="0.25">
      <c r="H1845" s="2"/>
    </row>
    <row r="1846" spans="8:8" ht="12.75" customHeight="1" x14ac:dyDescent="0.25">
      <c r="H1846" s="2"/>
    </row>
    <row r="1847" spans="8:8" ht="12.75" customHeight="1" x14ac:dyDescent="0.25">
      <c r="H1847" s="2"/>
    </row>
    <row r="1848" spans="8:8" ht="12.75" customHeight="1" x14ac:dyDescent="0.25">
      <c r="H1848" s="2"/>
    </row>
    <row r="1849" spans="8:8" ht="12.75" customHeight="1" x14ac:dyDescent="0.25">
      <c r="H1849" s="2"/>
    </row>
    <row r="1850" spans="8:8" ht="12.75" customHeight="1" x14ac:dyDescent="0.25">
      <c r="H1850" s="2"/>
    </row>
    <row r="1851" spans="8:8" ht="12.75" customHeight="1" x14ac:dyDescent="0.25">
      <c r="H1851" s="2"/>
    </row>
    <row r="1852" spans="8:8" ht="12.75" customHeight="1" x14ac:dyDescent="0.25">
      <c r="H1852" s="2"/>
    </row>
    <row r="1853" spans="8:8" ht="12.75" customHeight="1" x14ac:dyDescent="0.25">
      <c r="H1853" s="2"/>
    </row>
    <row r="1854" spans="8:8" ht="12.75" customHeight="1" x14ac:dyDescent="0.25">
      <c r="H1854" s="2"/>
    </row>
    <row r="1855" spans="8:8" ht="12.75" customHeight="1" x14ac:dyDescent="0.25">
      <c r="H1855" s="2"/>
    </row>
    <row r="1856" spans="8:8" ht="12.75" customHeight="1" x14ac:dyDescent="0.25">
      <c r="H1856" s="2"/>
    </row>
    <row r="1857" spans="8:8" ht="12.75" customHeight="1" x14ac:dyDescent="0.25">
      <c r="H1857" s="2"/>
    </row>
    <row r="1858" spans="8:8" ht="12.75" customHeight="1" x14ac:dyDescent="0.25">
      <c r="H1858" s="2"/>
    </row>
    <row r="1859" spans="8:8" ht="12.75" customHeight="1" x14ac:dyDescent="0.25">
      <c r="H1859" s="2"/>
    </row>
    <row r="1860" spans="8:8" ht="12.75" customHeight="1" x14ac:dyDescent="0.25">
      <c r="H1860" s="2"/>
    </row>
    <row r="1861" spans="8:8" ht="12.75" customHeight="1" x14ac:dyDescent="0.25">
      <c r="H1861" s="2"/>
    </row>
    <row r="1862" spans="8:8" ht="12.75" customHeight="1" x14ac:dyDescent="0.25">
      <c r="H1862" s="2"/>
    </row>
    <row r="1863" spans="8:8" ht="12.75" customHeight="1" x14ac:dyDescent="0.25">
      <c r="H1863" s="2"/>
    </row>
    <row r="1864" spans="8:8" ht="12.75" customHeight="1" x14ac:dyDescent="0.25">
      <c r="H1864" s="2"/>
    </row>
    <row r="1865" spans="8:8" ht="12.75" customHeight="1" x14ac:dyDescent="0.25">
      <c r="H1865" s="2"/>
    </row>
    <row r="1866" spans="8:8" ht="12.75" customHeight="1" x14ac:dyDescent="0.25">
      <c r="H1866" s="2"/>
    </row>
    <row r="1867" spans="8:8" ht="12.75" customHeight="1" x14ac:dyDescent="0.25">
      <c r="H1867" s="2"/>
    </row>
    <row r="1868" spans="8:8" ht="12.75" customHeight="1" x14ac:dyDescent="0.25">
      <c r="H1868" s="2"/>
    </row>
    <row r="1869" spans="8:8" ht="12.75" customHeight="1" x14ac:dyDescent="0.25">
      <c r="H1869" s="2"/>
    </row>
    <row r="1870" spans="8:8" ht="12.75" customHeight="1" x14ac:dyDescent="0.25">
      <c r="H1870" s="2"/>
    </row>
    <row r="1871" spans="8:8" ht="12.75" customHeight="1" x14ac:dyDescent="0.25">
      <c r="H1871" s="2"/>
    </row>
    <row r="1872" spans="8:8" ht="12.75" customHeight="1" x14ac:dyDescent="0.25">
      <c r="H1872" s="2"/>
    </row>
    <row r="1873" spans="8:8" ht="12.75" customHeight="1" x14ac:dyDescent="0.25">
      <c r="H1873" s="2"/>
    </row>
    <row r="1874" spans="8:8" ht="12.75" customHeight="1" x14ac:dyDescent="0.25">
      <c r="H1874" s="2"/>
    </row>
    <row r="1875" spans="8:8" ht="12.75" customHeight="1" x14ac:dyDescent="0.25">
      <c r="H1875" s="2"/>
    </row>
    <row r="1876" spans="8:8" ht="12.75" customHeight="1" x14ac:dyDescent="0.25">
      <c r="H1876" s="2"/>
    </row>
    <row r="1877" spans="8:8" ht="12.75" customHeight="1" x14ac:dyDescent="0.25">
      <c r="H1877" s="2"/>
    </row>
    <row r="1878" spans="8:8" ht="12.75" customHeight="1" x14ac:dyDescent="0.25">
      <c r="H1878" s="2"/>
    </row>
    <row r="1879" spans="8:8" ht="12.75" customHeight="1" x14ac:dyDescent="0.25">
      <c r="H1879" s="2"/>
    </row>
    <row r="1880" spans="8:8" ht="12.75" customHeight="1" x14ac:dyDescent="0.25">
      <c r="H1880" s="2"/>
    </row>
    <row r="1881" spans="8:8" ht="12.75" customHeight="1" x14ac:dyDescent="0.25">
      <c r="H1881" s="2"/>
    </row>
    <row r="1882" spans="8:8" ht="12.75" customHeight="1" x14ac:dyDescent="0.25">
      <c r="H1882" s="2"/>
    </row>
    <row r="1883" spans="8:8" ht="12.75" customHeight="1" x14ac:dyDescent="0.25">
      <c r="H1883" s="2"/>
    </row>
    <row r="1884" spans="8:8" ht="12.75" customHeight="1" x14ac:dyDescent="0.25">
      <c r="H1884" s="2"/>
    </row>
    <row r="1885" spans="8:8" ht="12.75" customHeight="1" x14ac:dyDescent="0.25">
      <c r="H1885" s="2"/>
    </row>
  </sheetData>
  <mergeCells count="7">
    <mergeCell ref="A766:D766"/>
    <mergeCell ref="A748:D748"/>
    <mergeCell ref="A2:I3"/>
    <mergeCell ref="A4:I4"/>
    <mergeCell ref="D10:I10"/>
    <mergeCell ref="A6:I6"/>
    <mergeCell ref="A10:A11"/>
  </mergeCells>
  <printOptions horizontalCentered="1"/>
  <pageMargins left="0.25" right="0.25" top="0.25" bottom="0.25" header="0.17" footer="0.19"/>
  <pageSetup scale="54" fitToHeight="0" orientation="portrait" verticalDpi="1200" r:id="rId1"/>
  <headerFooter alignWithMargins="0"/>
  <rowBreaks count="1" manualBreakCount="1">
    <brk id="144" max="16383" man="1"/>
  </rowBreaks>
  <drawing r:id="rId2"/>
  <legacyDrawing r:id="rId3"/>
  <oleObjects>
    <mc:AlternateContent xmlns:mc="http://schemas.openxmlformats.org/markup-compatibility/2006">
      <mc:Choice Requires="x14">
        <oleObject progId="MSPhotoEd.3" shapeId="1025" r:id="rId4">
          <objectPr defaultSize="0" autoPict="0" r:id="rId5">
            <anchor moveWithCells="1" sizeWithCells="1">
              <from>
                <xdr:col>0</xdr:col>
                <xdr:colOff>30480</xdr:colOff>
                <xdr:row>0</xdr:row>
                <xdr:rowOff>68580</xdr:rowOff>
              </from>
              <to>
                <xdr:col>0</xdr:col>
                <xdr:colOff>2743200</xdr:colOff>
                <xdr:row>4</xdr:row>
                <xdr:rowOff>304800</xdr:rowOff>
              </to>
            </anchor>
          </objectPr>
        </oleObject>
      </mc:Choice>
      <mc:Fallback>
        <oleObject progId="MSPhotoEd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63"/>
  <sheetViews>
    <sheetView topLeftCell="A87" zoomScale="75" zoomScaleNormal="75" workbookViewId="0">
      <selection activeCell="L109" sqref="L109"/>
    </sheetView>
  </sheetViews>
  <sheetFormatPr defaultRowHeight="13.2" x14ac:dyDescent="0.25"/>
  <cols>
    <col min="1" max="1" width="62.88671875" bestFit="1" customWidth="1"/>
    <col min="2" max="6" width="0" hidden="1" customWidth="1"/>
    <col min="7" max="7" width="17" style="4" customWidth="1"/>
    <col min="8" max="8" width="18.109375" customWidth="1"/>
    <col min="9" max="9" width="17" customWidth="1"/>
    <col min="10" max="10" width="18.5546875" customWidth="1"/>
    <col min="11" max="11" width="17" customWidth="1"/>
    <col min="12" max="12" width="16.88671875" customWidth="1"/>
    <col min="13" max="13" width="6.33203125" hidden="1" customWidth="1"/>
    <col min="14" max="14" width="15.109375" hidden="1" customWidth="1"/>
    <col min="15" max="15" width="22.88671875" hidden="1" customWidth="1"/>
    <col min="16" max="16" width="13" hidden="1" customWidth="1"/>
    <col min="17" max="17" width="8.88671875" hidden="1" customWidth="1"/>
    <col min="18" max="18" width="17" hidden="1" customWidth="1"/>
    <col min="19" max="19" width="9.109375" style="4" customWidth="1"/>
  </cols>
  <sheetData>
    <row r="1" spans="1:19" x14ac:dyDescent="0.25">
      <c r="G1"/>
    </row>
    <row r="2" spans="1:19" x14ac:dyDescent="0.25">
      <c r="G2"/>
    </row>
    <row r="3" spans="1:19" ht="28.2" x14ac:dyDescent="0.5">
      <c r="G3" s="5"/>
      <c r="H3" s="5" t="s">
        <v>472</v>
      </c>
      <c r="J3" s="4"/>
      <c r="K3" s="7"/>
      <c r="L3" s="7"/>
    </row>
    <row r="4" spans="1:19" ht="28.2" x14ac:dyDescent="0.5">
      <c r="H4" s="5" t="s">
        <v>1</v>
      </c>
      <c r="J4" s="4"/>
      <c r="K4" s="7"/>
      <c r="L4" s="7"/>
    </row>
    <row r="5" spans="1:19" x14ac:dyDescent="0.25">
      <c r="G5"/>
    </row>
    <row r="6" spans="1:19" x14ac:dyDescent="0.25">
      <c r="G6"/>
    </row>
    <row r="7" spans="1:19" ht="0.75" customHeight="1" x14ac:dyDescent="0.25">
      <c r="G7"/>
    </row>
    <row r="8" spans="1:19" hidden="1" x14ac:dyDescent="0.25">
      <c r="G8"/>
    </row>
    <row r="9" spans="1:19" s="4" customFormat="1" ht="12.75" customHeight="1" x14ac:dyDescent="0.25">
      <c r="A9" s="531" t="str">
        <f>'Origination Summary'!A6:I6</f>
        <v>As of 09/28/01</v>
      </c>
      <c r="B9" s="531"/>
      <c r="C9" s="531"/>
      <c r="D9" s="531"/>
      <c r="E9" s="531"/>
      <c r="F9" s="531"/>
      <c r="G9" s="531"/>
      <c r="H9" s="531"/>
      <c r="I9" s="531"/>
      <c r="J9" s="531"/>
      <c r="K9" s="531"/>
      <c r="L9" s="531"/>
      <c r="M9" s="531"/>
      <c r="N9" s="531"/>
      <c r="O9" s="531"/>
      <c r="P9" s="531"/>
      <c r="Q9" s="531"/>
      <c r="R9" s="531"/>
      <c r="S9" s="241"/>
    </row>
    <row r="10" spans="1:19" s="4" customFormat="1" ht="12.75" customHeight="1" x14ac:dyDescent="0.25">
      <c r="A10" s="242"/>
      <c r="B10" s="242"/>
      <c r="C10" s="242"/>
      <c r="D10" s="242"/>
      <c r="E10" s="242"/>
      <c r="F10" s="242"/>
      <c r="G10" s="242"/>
      <c r="H10" s="242"/>
      <c r="I10" s="242"/>
      <c r="J10" s="242"/>
      <c r="K10" s="242"/>
      <c r="L10" s="243"/>
      <c r="M10" s="242"/>
      <c r="N10" s="242"/>
      <c r="O10" s="242"/>
      <c r="P10" s="242"/>
      <c r="Q10" s="242"/>
      <c r="R10" s="242"/>
    </row>
    <row r="11" spans="1:19" x14ac:dyDescent="0.25">
      <c r="G11"/>
    </row>
    <row r="12" spans="1:19" ht="13.8" thickBot="1" x14ac:dyDescent="0.3">
      <c r="G12"/>
    </row>
    <row r="13" spans="1:19" s="249" customFormat="1" ht="18.75" customHeight="1" thickBot="1" x14ac:dyDescent="0.35">
      <c r="A13" s="244"/>
      <c r="B13" s="245"/>
      <c r="C13" s="245"/>
      <c r="D13" s="245"/>
      <c r="E13" s="245"/>
      <c r="F13" s="245"/>
      <c r="G13" s="528" t="s">
        <v>3</v>
      </c>
      <c r="H13" s="534"/>
      <c r="I13" s="534"/>
      <c r="J13" s="534"/>
      <c r="K13" s="534"/>
      <c r="L13" s="535"/>
      <c r="M13" s="246"/>
      <c r="N13" s="537" t="s">
        <v>473</v>
      </c>
      <c r="O13" s="538"/>
      <c r="P13" s="539"/>
      <c r="Q13" s="247"/>
      <c r="R13" s="248"/>
    </row>
    <row r="14" spans="1:19" s="249" customFormat="1" ht="24" customHeight="1" x14ac:dyDescent="0.25">
      <c r="A14" s="16" t="s">
        <v>2</v>
      </c>
      <c r="B14" s="250" t="s">
        <v>474</v>
      </c>
      <c r="C14" s="250" t="s">
        <v>475</v>
      </c>
      <c r="D14" s="250" t="s">
        <v>476</v>
      </c>
      <c r="E14" s="250" t="s">
        <v>477</v>
      </c>
      <c r="F14" s="250" t="s">
        <v>5</v>
      </c>
      <c r="G14" s="532" t="s">
        <v>478</v>
      </c>
      <c r="H14" s="540" t="s">
        <v>479</v>
      </c>
      <c r="I14" s="533" t="s">
        <v>7</v>
      </c>
      <c r="J14" s="533" t="s">
        <v>480</v>
      </c>
      <c r="K14" s="542" t="s">
        <v>9</v>
      </c>
      <c r="L14" s="532" t="s">
        <v>536</v>
      </c>
      <c r="M14" s="251"/>
      <c r="N14" s="252" t="s">
        <v>481</v>
      </c>
      <c r="O14" s="252" t="s">
        <v>482</v>
      </c>
      <c r="P14" s="252" t="s">
        <v>483</v>
      </c>
      <c r="Q14" s="253"/>
      <c r="R14" s="254" t="s">
        <v>484</v>
      </c>
    </row>
    <row r="15" spans="1:19" s="249" customFormat="1" ht="27.75" customHeight="1" thickBot="1" x14ac:dyDescent="0.35">
      <c r="A15" s="19" t="s">
        <v>485</v>
      </c>
      <c r="B15" s="255"/>
      <c r="C15" s="255"/>
      <c r="D15" s="255"/>
      <c r="E15" s="255"/>
      <c r="F15" s="255"/>
      <c r="G15" s="536"/>
      <c r="H15" s="541"/>
      <c r="I15" s="536"/>
      <c r="J15" s="536"/>
      <c r="K15" s="543"/>
      <c r="L15" s="536"/>
      <c r="M15" s="256"/>
      <c r="N15" s="257" t="s">
        <v>486</v>
      </c>
      <c r="O15" s="258"/>
      <c r="P15" s="257" t="s">
        <v>487</v>
      </c>
      <c r="Q15" s="253"/>
      <c r="R15" s="259" t="s">
        <v>488</v>
      </c>
    </row>
    <row r="16" spans="1:19" x14ac:dyDescent="0.25">
      <c r="A16" s="260"/>
      <c r="B16" s="261"/>
      <c r="C16" s="261"/>
      <c r="D16" s="261"/>
      <c r="E16" s="261"/>
      <c r="F16" s="261"/>
      <c r="G16" s="262"/>
      <c r="H16" s="261"/>
      <c r="I16" s="261"/>
      <c r="J16" s="261"/>
      <c r="K16" s="261"/>
      <c r="L16" s="263"/>
      <c r="M16" s="262"/>
      <c r="P16" s="264"/>
      <c r="Q16" s="265"/>
      <c r="R16" s="260"/>
    </row>
    <row r="17" spans="1:19" ht="15.6" x14ac:dyDescent="0.3">
      <c r="A17" s="266" t="s">
        <v>489</v>
      </c>
      <c r="B17" s="267"/>
      <c r="C17" s="267"/>
      <c r="D17" s="267"/>
      <c r="E17" s="267"/>
      <c r="F17" s="267"/>
      <c r="G17" s="268"/>
      <c r="H17" s="267"/>
      <c r="I17" s="267"/>
      <c r="J17" s="267"/>
      <c r="K17" s="267"/>
      <c r="L17" s="269"/>
      <c r="M17" s="268"/>
      <c r="N17" s="270"/>
      <c r="O17" s="270"/>
      <c r="P17" s="271"/>
      <c r="Q17" s="106"/>
      <c r="R17" s="106"/>
    </row>
    <row r="18" spans="1:19" ht="15.6" x14ac:dyDescent="0.3">
      <c r="A18" s="266"/>
      <c r="B18" s="267"/>
      <c r="C18" s="267"/>
      <c r="D18" s="267"/>
      <c r="E18" s="267"/>
      <c r="F18" s="267"/>
      <c r="G18" s="268"/>
      <c r="H18" s="267"/>
      <c r="I18" s="267"/>
      <c r="J18" s="267"/>
      <c r="K18" s="267"/>
      <c r="L18" s="269"/>
      <c r="M18" s="268"/>
      <c r="N18" s="270"/>
      <c r="O18" s="270"/>
      <c r="P18" s="271"/>
      <c r="Q18" s="106"/>
      <c r="R18" s="106"/>
    </row>
    <row r="19" spans="1:19" x14ac:dyDescent="0.25">
      <c r="A19" s="272" t="s">
        <v>490</v>
      </c>
      <c r="B19" s="261"/>
      <c r="C19" s="261"/>
      <c r="D19" s="261"/>
      <c r="E19" s="261"/>
      <c r="F19" s="261"/>
      <c r="G19" s="262"/>
      <c r="H19" s="261"/>
      <c r="I19" s="261"/>
      <c r="J19" s="261"/>
      <c r="K19" s="261"/>
      <c r="L19" s="263"/>
      <c r="M19" s="262"/>
      <c r="P19" s="273"/>
      <c r="Q19" s="265"/>
      <c r="R19" s="265"/>
      <c r="S19"/>
    </row>
    <row r="20" spans="1:19" x14ac:dyDescent="0.25">
      <c r="A20" s="272"/>
      <c r="B20" s="261"/>
      <c r="C20" s="261"/>
      <c r="D20" s="261"/>
      <c r="E20" s="261"/>
      <c r="F20" s="261"/>
      <c r="G20" s="274"/>
      <c r="H20" s="275"/>
      <c r="I20" s="275"/>
      <c r="J20" s="275"/>
      <c r="K20" s="275"/>
      <c r="L20" s="276"/>
      <c r="M20" s="262"/>
      <c r="P20" s="273"/>
      <c r="Q20" s="265"/>
      <c r="R20" s="265"/>
      <c r="S20"/>
    </row>
    <row r="21" spans="1:19" x14ac:dyDescent="0.25">
      <c r="A21" s="438" t="s">
        <v>491</v>
      </c>
      <c r="B21" s="261"/>
      <c r="C21" s="261"/>
      <c r="D21" s="261"/>
      <c r="E21" s="261"/>
      <c r="F21" s="261"/>
      <c r="G21" s="274"/>
      <c r="H21" s="275"/>
      <c r="I21" s="275"/>
      <c r="J21" s="275"/>
      <c r="K21" s="278"/>
      <c r="L21" s="276"/>
      <c r="M21" s="262"/>
      <c r="P21" s="273"/>
      <c r="R21" s="265"/>
      <c r="S21"/>
    </row>
    <row r="22" spans="1:19" ht="9.75" hidden="1" customHeight="1" x14ac:dyDescent="0.25">
      <c r="A22" s="265" t="s">
        <v>492</v>
      </c>
      <c r="B22" s="261"/>
      <c r="C22" s="261"/>
      <c r="D22" s="261"/>
      <c r="E22" s="261"/>
      <c r="F22" s="261"/>
      <c r="G22" s="274"/>
      <c r="H22" s="280"/>
      <c r="I22" s="280"/>
      <c r="J22" s="280"/>
      <c r="K22" s="281"/>
      <c r="L22" s="282"/>
      <c r="M22" s="283"/>
      <c r="N22" s="284">
        <v>0</v>
      </c>
      <c r="O22" s="284">
        <v>0</v>
      </c>
      <c r="P22" s="284">
        <f>SUM(N22:O22)</f>
        <v>0</v>
      </c>
      <c r="Q22" s="283"/>
      <c r="R22" s="285">
        <f>L22+P22</f>
        <v>0</v>
      </c>
      <c r="S22"/>
    </row>
    <row r="23" spans="1:19" x14ac:dyDescent="0.25">
      <c r="A23" s="265"/>
      <c r="B23" s="261"/>
      <c r="C23" s="261"/>
      <c r="D23" s="261"/>
      <c r="E23" s="261"/>
      <c r="F23" s="261"/>
      <c r="G23" s="274"/>
      <c r="H23" s="280"/>
      <c r="I23" s="280"/>
      <c r="J23" s="280"/>
      <c r="K23" s="281"/>
      <c r="L23" s="282"/>
      <c r="M23" s="283"/>
      <c r="N23" s="284"/>
      <c r="O23" s="284"/>
      <c r="P23" s="284"/>
      <c r="Q23" s="283"/>
      <c r="R23" s="285"/>
      <c r="S23"/>
    </row>
    <row r="24" spans="1:19" x14ac:dyDescent="0.25">
      <c r="A24" s="265" t="s">
        <v>495</v>
      </c>
      <c r="B24" s="261"/>
      <c r="C24" s="261"/>
      <c r="D24" s="261"/>
      <c r="E24" s="261"/>
      <c r="F24" s="261"/>
      <c r="G24" s="274">
        <v>98.788549121665596</v>
      </c>
      <c r="H24" s="286">
        <v>98.788549121665596</v>
      </c>
      <c r="I24" s="286">
        <v>0</v>
      </c>
      <c r="J24" s="286">
        <v>0</v>
      </c>
      <c r="K24" s="287">
        <v>0</v>
      </c>
      <c r="L24" s="288">
        <f t="shared" ref="L24:L31" si="0">SUM(H24:K24)</f>
        <v>98.788549121665596</v>
      </c>
      <c r="M24" s="283"/>
      <c r="N24" s="284"/>
      <c r="O24" s="284"/>
      <c r="P24" s="284"/>
      <c r="Q24" s="283"/>
      <c r="R24" s="285"/>
      <c r="S24"/>
    </row>
    <row r="25" spans="1:19" s="261" customFormat="1" x14ac:dyDescent="0.25">
      <c r="A25" s="265" t="s">
        <v>496</v>
      </c>
      <c r="G25" s="274">
        <v>130.25117647058823</v>
      </c>
      <c r="H25" s="286">
        <v>7.8743070917371503</v>
      </c>
      <c r="I25" s="286">
        <v>-0.46997180221210155</v>
      </c>
      <c r="J25" s="286">
        <v>0</v>
      </c>
      <c r="K25" s="287">
        <v>0</v>
      </c>
      <c r="L25" s="288">
        <f t="shared" si="0"/>
        <v>7.4043352895250489</v>
      </c>
      <c r="M25" s="289"/>
      <c r="N25" s="280"/>
      <c r="O25" s="280"/>
      <c r="P25" s="280"/>
      <c r="Q25" s="289"/>
      <c r="R25" s="290"/>
    </row>
    <row r="26" spans="1:19" s="261" customFormat="1" x14ac:dyDescent="0.25">
      <c r="A26" s="265" t="s">
        <v>497</v>
      </c>
      <c r="G26" s="274">
        <v>47.142763157894734</v>
      </c>
      <c r="H26" s="286">
        <v>4.6286842105263162</v>
      </c>
      <c r="I26" s="286">
        <v>-0.19334434736842104</v>
      </c>
      <c r="J26" s="286">
        <v>-3.2000000000000003E-4</v>
      </c>
      <c r="K26" s="287">
        <v>0</v>
      </c>
      <c r="L26" s="288">
        <f t="shared" si="0"/>
        <v>4.435019863157895</v>
      </c>
      <c r="M26" s="289"/>
      <c r="N26" s="280"/>
      <c r="O26" s="280"/>
      <c r="P26" s="280"/>
      <c r="Q26" s="289"/>
      <c r="R26" s="290"/>
    </row>
    <row r="27" spans="1:19" s="261" customFormat="1" x14ac:dyDescent="0.25">
      <c r="A27" s="265" t="s">
        <v>498</v>
      </c>
      <c r="G27" s="274">
        <v>199.20233463035021</v>
      </c>
      <c r="H27" s="286">
        <v>23.415953307392996</v>
      </c>
      <c r="I27" s="286">
        <v>-0.81955836575875496</v>
      </c>
      <c r="J27" s="286">
        <v>-1.6433203631647211</v>
      </c>
      <c r="K27" s="287">
        <v>0</v>
      </c>
      <c r="L27" s="288">
        <f t="shared" si="0"/>
        <v>20.953074578469518</v>
      </c>
      <c r="M27" s="289"/>
      <c r="N27" s="280"/>
      <c r="O27" s="280"/>
      <c r="P27" s="280"/>
      <c r="Q27" s="289"/>
      <c r="R27" s="290"/>
    </row>
    <row r="28" spans="1:19" s="261" customFormat="1" x14ac:dyDescent="0.25">
      <c r="A28" s="439" t="s">
        <v>499</v>
      </c>
      <c r="G28" s="274">
        <v>133.10584255042292</v>
      </c>
      <c r="H28" s="286">
        <v>2.7682498373454787</v>
      </c>
      <c r="I28" s="286">
        <v>-0.54877784775536753</v>
      </c>
      <c r="J28" s="286">
        <v>-0.11190631099544568</v>
      </c>
      <c r="K28" s="287">
        <v>0</v>
      </c>
      <c r="L28" s="288">
        <f t="shared" si="0"/>
        <v>2.1075656785946655</v>
      </c>
      <c r="M28" s="289"/>
      <c r="N28" s="280"/>
      <c r="O28" s="280"/>
      <c r="P28" s="280"/>
      <c r="Q28" s="289"/>
      <c r="R28" s="290"/>
    </row>
    <row r="29" spans="1:19" s="261" customFormat="1" x14ac:dyDescent="0.25">
      <c r="A29" s="439" t="s">
        <v>500</v>
      </c>
      <c r="G29" s="274">
        <v>49.891898042785613</v>
      </c>
      <c r="H29" s="286">
        <v>5.896807334677157</v>
      </c>
      <c r="I29" s="286">
        <v>-0.1840760127446518</v>
      </c>
      <c r="J29" s="286">
        <v>0</v>
      </c>
      <c r="K29" s="287">
        <v>0</v>
      </c>
      <c r="L29" s="288">
        <f t="shared" si="0"/>
        <v>5.7127313219325053</v>
      </c>
      <c r="M29" s="289"/>
      <c r="N29" s="280"/>
      <c r="O29" s="280"/>
      <c r="P29" s="280"/>
      <c r="Q29" s="289"/>
      <c r="R29" s="290"/>
    </row>
    <row r="30" spans="1:19" s="261" customFormat="1" x14ac:dyDescent="0.25">
      <c r="A30" s="439" t="s">
        <v>501</v>
      </c>
      <c r="G30" s="274">
        <v>122.27423759672281</v>
      </c>
      <c r="H30" s="286">
        <v>15.022875349502568</v>
      </c>
      <c r="I30" s="286">
        <v>-0.50375093309057806</v>
      </c>
      <c r="J30" s="286">
        <v>-1.0566356720202874</v>
      </c>
      <c r="K30" s="287">
        <v>0</v>
      </c>
      <c r="L30" s="288">
        <f t="shared" si="0"/>
        <v>13.462488744391703</v>
      </c>
      <c r="M30" s="289"/>
      <c r="N30" s="280"/>
      <c r="O30" s="280"/>
      <c r="P30" s="280"/>
      <c r="Q30" s="289"/>
      <c r="R30" s="290"/>
    </row>
    <row r="31" spans="1:19" s="261" customFormat="1" x14ac:dyDescent="0.25">
      <c r="A31" s="439" t="s">
        <v>502</v>
      </c>
      <c r="G31" s="274">
        <v>73.336627869172261</v>
      </c>
      <c r="H31" s="286">
        <v>8.5780609922621753</v>
      </c>
      <c r="I31" s="286">
        <v>-0.28822284934000908</v>
      </c>
      <c r="J31" s="286">
        <v>-0.31601534560114442</v>
      </c>
      <c r="K31" s="287">
        <v>0</v>
      </c>
      <c r="L31" s="288">
        <f t="shared" si="0"/>
        <v>7.9738227973210218</v>
      </c>
      <c r="M31" s="289"/>
      <c r="N31" s="280"/>
      <c r="O31" s="280"/>
      <c r="P31" s="280"/>
      <c r="Q31" s="289"/>
      <c r="R31" s="290"/>
    </row>
    <row r="32" spans="1:19" s="261" customFormat="1" x14ac:dyDescent="0.25">
      <c r="A32" s="439" t="s">
        <v>503</v>
      </c>
      <c r="G32" s="274">
        <v>197.59088528025146</v>
      </c>
      <c r="H32" s="286">
        <v>18.919434258774228</v>
      </c>
      <c r="I32" s="286">
        <v>-0.75204751178627549</v>
      </c>
      <c r="J32" s="286">
        <v>-0.62008905185961238</v>
      </c>
      <c r="K32" s="287">
        <v>0</v>
      </c>
      <c r="L32" s="288">
        <f t="shared" ref="L32:L37" si="1">SUM(H32:K32)</f>
        <v>17.547297695128339</v>
      </c>
      <c r="M32" s="289"/>
      <c r="N32" s="280"/>
      <c r="O32" s="280"/>
      <c r="P32" s="280"/>
      <c r="Q32" s="289"/>
      <c r="R32" s="290"/>
    </row>
    <row r="33" spans="1:19" s="261" customFormat="1" x14ac:dyDescent="0.25">
      <c r="A33" s="439" t="s">
        <v>504</v>
      </c>
      <c r="G33" s="274">
        <v>126.95734023048718</v>
      </c>
      <c r="H33" s="286">
        <v>14.205801466736512</v>
      </c>
      <c r="I33" s="286">
        <v>-0.47305318884232583</v>
      </c>
      <c r="J33" s="286">
        <v>-0.44198533263488743</v>
      </c>
      <c r="K33" s="287">
        <v>0</v>
      </c>
      <c r="L33" s="288">
        <f t="shared" si="1"/>
        <v>13.290762945259299</v>
      </c>
      <c r="M33" s="289"/>
      <c r="N33" s="280"/>
      <c r="O33" s="280"/>
      <c r="P33" s="280"/>
      <c r="Q33" s="289"/>
      <c r="R33" s="290"/>
    </row>
    <row r="34" spans="1:19" s="3" customFormat="1" x14ac:dyDescent="0.25">
      <c r="A34" s="439" t="s">
        <v>505</v>
      </c>
      <c r="G34" s="274">
        <v>268.35542168674698</v>
      </c>
      <c r="H34" s="286">
        <v>29.119067574646419</v>
      </c>
      <c r="I34" s="286">
        <v>-0.99278891566265048</v>
      </c>
      <c r="J34" s="286">
        <v>-0.91147197485594567</v>
      </c>
      <c r="K34" s="287">
        <v>0</v>
      </c>
      <c r="L34" s="288">
        <f t="shared" si="1"/>
        <v>27.214806684127822</v>
      </c>
      <c r="M34" s="289"/>
      <c r="N34" s="280"/>
      <c r="O34" s="280"/>
      <c r="P34" s="280"/>
      <c r="Q34" s="289"/>
      <c r="R34" s="290"/>
    </row>
    <row r="35" spans="1:19" s="4" customFormat="1" x14ac:dyDescent="0.25">
      <c r="A35" s="439" t="s">
        <v>493</v>
      </c>
      <c r="B35" s="3"/>
      <c r="C35" s="3"/>
      <c r="D35" s="3"/>
      <c r="E35" s="3"/>
      <c r="F35" s="3"/>
      <c r="G35" s="274">
        <v>24.832329656067486</v>
      </c>
      <c r="H35" s="406">
        <v>4.0173913043478269</v>
      </c>
      <c r="I35" s="406">
        <v>-0.10224260869565217</v>
      </c>
      <c r="J35" s="406">
        <v>-0.28877352368591824</v>
      </c>
      <c r="K35" s="281">
        <v>0</v>
      </c>
      <c r="L35" s="288">
        <f t="shared" si="1"/>
        <v>3.6263751719662567</v>
      </c>
      <c r="M35" s="283"/>
      <c r="N35" s="284"/>
      <c r="O35" s="284"/>
      <c r="P35" s="284"/>
      <c r="Q35" s="283"/>
      <c r="R35" s="285"/>
    </row>
    <row r="36" spans="1:19" s="4" customFormat="1" x14ac:dyDescent="0.25">
      <c r="A36" s="439" t="s">
        <v>494</v>
      </c>
      <c r="B36" s="3"/>
      <c r="C36" s="3"/>
      <c r="D36" s="3"/>
      <c r="E36" s="3"/>
      <c r="F36" s="3"/>
      <c r="G36" s="274">
        <v>16.815089331952358</v>
      </c>
      <c r="H36" s="286">
        <v>2.2951838425686177</v>
      </c>
      <c r="I36" s="286">
        <v>-6.2538021750388403E-2</v>
      </c>
      <c r="J36" s="286">
        <v>0</v>
      </c>
      <c r="K36" s="287">
        <v>0</v>
      </c>
      <c r="L36" s="288">
        <f t="shared" si="1"/>
        <v>2.2326458208182292</v>
      </c>
      <c r="M36" s="283"/>
      <c r="N36" s="284"/>
      <c r="O36" s="284"/>
      <c r="P36" s="284"/>
      <c r="Q36" s="283"/>
      <c r="R36" s="285"/>
    </row>
    <row r="37" spans="1:19" x14ac:dyDescent="0.25">
      <c r="A37" s="439" t="s">
        <v>579</v>
      </c>
      <c r="B37" s="3"/>
      <c r="C37" s="3"/>
      <c r="D37" s="3"/>
      <c r="E37" s="3"/>
      <c r="F37" s="3"/>
      <c r="G37" s="274">
        <v>354.82210899709776</v>
      </c>
      <c r="H37" s="280">
        <v>12.969416317316993</v>
      </c>
      <c r="I37" s="280">
        <v>-1.4619460767494357</v>
      </c>
      <c r="J37" s="280">
        <v>-0.72557239600128987</v>
      </c>
      <c r="K37" s="281">
        <v>0</v>
      </c>
      <c r="L37" s="288">
        <f t="shared" si="1"/>
        <v>10.781897844566267</v>
      </c>
      <c r="M37" s="283">
        <v>8.763019929055142</v>
      </c>
      <c r="N37" s="284"/>
      <c r="O37" s="284"/>
      <c r="P37" s="284"/>
      <c r="Q37" s="283"/>
      <c r="R37" s="285"/>
      <c r="S37"/>
    </row>
    <row r="38" spans="1:19" x14ac:dyDescent="0.25">
      <c r="A38" s="439" t="s">
        <v>580</v>
      </c>
      <c r="B38" s="3"/>
      <c r="C38" s="3"/>
      <c r="D38" s="3"/>
      <c r="E38" s="3"/>
      <c r="F38" s="3"/>
      <c r="G38" s="274">
        <v>274.83811673653662</v>
      </c>
      <c r="H38" s="322">
        <v>24.954334085778779</v>
      </c>
      <c r="I38" s="280">
        <v>-1.1364744920993226</v>
      </c>
      <c r="J38" s="280">
        <v>-1.6949371170590133</v>
      </c>
      <c r="K38" s="281">
        <v>0</v>
      </c>
      <c r="L38" s="288">
        <f t="shared" ref="L38:L50" si="2">SUM(H38:K38)</f>
        <v>22.122922476620445</v>
      </c>
      <c r="M38" s="283">
        <v>20.553505320864236</v>
      </c>
      <c r="N38" s="284"/>
      <c r="O38" s="284"/>
      <c r="P38" s="284"/>
      <c r="Q38" s="283"/>
      <c r="R38" s="285"/>
      <c r="S38"/>
    </row>
    <row r="39" spans="1:19" x14ac:dyDescent="0.25">
      <c r="A39" s="439" t="s">
        <v>581</v>
      </c>
      <c r="B39" s="3"/>
      <c r="C39" s="3"/>
      <c r="D39" s="3"/>
      <c r="E39" s="3"/>
      <c r="F39" s="3"/>
      <c r="G39" s="274">
        <v>30.177906753030207</v>
      </c>
      <c r="H39" s="280">
        <v>2.8222664015904573</v>
      </c>
      <c r="I39" s="280">
        <v>-0.12389749502982109</v>
      </c>
      <c r="J39" s="280">
        <v>-0.19367664977874688</v>
      </c>
      <c r="K39" s="281">
        <v>0</v>
      </c>
      <c r="L39" s="288">
        <f t="shared" si="2"/>
        <v>2.5046922567818894</v>
      </c>
      <c r="M39" s="283">
        <v>2.333595716026422</v>
      </c>
      <c r="N39" s="284"/>
      <c r="O39" s="284"/>
      <c r="P39" s="284"/>
      <c r="Q39" s="283"/>
      <c r="R39" s="285"/>
      <c r="S39"/>
    </row>
    <row r="40" spans="1:19" x14ac:dyDescent="0.25">
      <c r="A40" s="439" t="s">
        <v>582</v>
      </c>
      <c r="B40" s="3"/>
      <c r="C40" s="3"/>
      <c r="D40" s="3"/>
      <c r="E40" s="3"/>
      <c r="F40" s="3"/>
      <c r="G40" s="274">
        <v>19.203610594497533</v>
      </c>
      <c r="H40" s="280">
        <v>2.1231065221573786</v>
      </c>
      <c r="I40" s="280">
        <v>-7.9082501122298476E-2</v>
      </c>
      <c r="J40" s="280">
        <v>-0.14814339767844548</v>
      </c>
      <c r="K40" s="281">
        <v>0</v>
      </c>
      <c r="L40" s="288">
        <f t="shared" si="2"/>
        <v>1.8958806233566348</v>
      </c>
      <c r="M40" s="283">
        <v>1.7866714551401273</v>
      </c>
      <c r="N40" s="284"/>
      <c r="O40" s="284"/>
      <c r="P40" s="284"/>
      <c r="Q40" s="283"/>
      <c r="R40" s="285"/>
      <c r="S40"/>
    </row>
    <row r="41" spans="1:19" x14ac:dyDescent="0.25">
      <c r="A41" s="439" t="s">
        <v>583</v>
      </c>
      <c r="B41" s="3"/>
      <c r="C41" s="3"/>
      <c r="D41" s="3"/>
      <c r="E41" s="3"/>
      <c r="F41" s="3"/>
      <c r="G41" s="274">
        <v>7.3321169290073884</v>
      </c>
      <c r="H41" s="322">
        <v>0.65700289110183108</v>
      </c>
      <c r="I41" s="280">
        <v>-3.0115065852875034E-2</v>
      </c>
      <c r="J41" s="280">
        <v>-4.497269514937359E-2</v>
      </c>
      <c r="K41" s="281">
        <v>0</v>
      </c>
      <c r="L41" s="288">
        <f t="shared" si="2"/>
        <v>0.5819151300995824</v>
      </c>
      <c r="M41" s="283">
        <v>0.54032765820751694</v>
      </c>
      <c r="N41" s="284"/>
      <c r="O41" s="284"/>
      <c r="P41" s="284"/>
      <c r="Q41" s="283"/>
      <c r="R41" s="285"/>
      <c r="S41"/>
    </row>
    <row r="42" spans="1:19" x14ac:dyDescent="0.25">
      <c r="A42" s="439" t="s">
        <v>584</v>
      </c>
      <c r="B42" s="3"/>
      <c r="C42" s="3"/>
      <c r="D42" s="3"/>
      <c r="E42" s="3"/>
      <c r="F42" s="3"/>
      <c r="G42" s="274">
        <v>8.8034307741728242</v>
      </c>
      <c r="H42" s="280">
        <v>1.4948409893992933</v>
      </c>
      <c r="I42" s="280">
        <v>-3.5600997108898171E-2</v>
      </c>
      <c r="J42" s="280">
        <v>-6.8743976871185358E-2</v>
      </c>
      <c r="K42" s="281">
        <v>0</v>
      </c>
      <c r="L42" s="288">
        <f t="shared" si="2"/>
        <v>1.3904960154192099</v>
      </c>
      <c r="M42" s="283">
        <v>1.3413327336973981</v>
      </c>
      <c r="N42" s="284"/>
      <c r="O42" s="284"/>
      <c r="P42" s="284"/>
      <c r="Q42" s="283"/>
      <c r="R42" s="285"/>
      <c r="S42"/>
    </row>
    <row r="43" spans="1:19" s="4" customFormat="1" x14ac:dyDescent="0.25">
      <c r="A43" s="439" t="s">
        <v>647</v>
      </c>
      <c r="B43" s="3"/>
      <c r="C43" s="3"/>
      <c r="D43" s="3"/>
      <c r="E43" s="3"/>
      <c r="F43" s="3"/>
      <c r="G43" s="274">
        <v>21.216715505159893</v>
      </c>
      <c r="H43" s="280">
        <v>1.7652184991718689</v>
      </c>
      <c r="I43" s="280">
        <v>-8.0317441712320026E-2</v>
      </c>
      <c r="J43" s="280">
        <v>-5.2235953624665564E-2</v>
      </c>
      <c r="K43" s="281">
        <v>0</v>
      </c>
      <c r="L43" s="282">
        <f t="shared" si="2"/>
        <v>1.6326651038348834</v>
      </c>
      <c r="M43" s="283"/>
      <c r="N43" s="284"/>
      <c r="O43" s="284"/>
      <c r="P43" s="284"/>
      <c r="Q43" s="283"/>
      <c r="R43" s="285"/>
    </row>
    <row r="44" spans="1:19" s="4" customFormat="1" x14ac:dyDescent="0.25">
      <c r="A44" s="439" t="s">
        <v>648</v>
      </c>
      <c r="B44" s="3"/>
      <c r="C44" s="3"/>
      <c r="D44" s="3"/>
      <c r="E44" s="3"/>
      <c r="F44" s="3"/>
      <c r="G44" s="274">
        <v>87.8586345381526</v>
      </c>
      <c r="H44" s="280">
        <v>6.6669344042838024</v>
      </c>
      <c r="I44" s="280">
        <v>-0.34963566265060236</v>
      </c>
      <c r="J44" s="280">
        <v>-0.23076432714986933</v>
      </c>
      <c r="K44" s="281">
        <v>0</v>
      </c>
      <c r="L44" s="282">
        <f t="shared" si="2"/>
        <v>6.0865344144833307</v>
      </c>
      <c r="M44" s="283"/>
      <c r="N44" s="284"/>
      <c r="O44" s="284"/>
      <c r="P44" s="284"/>
      <c r="Q44" s="283"/>
      <c r="R44" s="285"/>
    </row>
    <row r="45" spans="1:19" s="4" customFormat="1" x14ac:dyDescent="0.25">
      <c r="A45" s="439" t="s">
        <v>649</v>
      </c>
      <c r="B45" s="3"/>
      <c r="C45" s="3"/>
      <c r="D45" s="3"/>
      <c r="E45" s="3"/>
      <c r="F45" s="3"/>
      <c r="G45" s="274">
        <v>7.4984509466437173</v>
      </c>
      <c r="H45" s="280">
        <v>0.48862115127175365</v>
      </c>
      <c r="I45" s="280">
        <v>-2.7968674698795177E-2</v>
      </c>
      <c r="J45" s="280">
        <v>-2.2311468094600623E-2</v>
      </c>
      <c r="K45" s="281">
        <v>0</v>
      </c>
      <c r="L45" s="282">
        <f t="shared" si="2"/>
        <v>0.43834100847835789</v>
      </c>
      <c r="M45" s="283"/>
      <c r="N45" s="284"/>
      <c r="O45" s="284"/>
      <c r="P45" s="284"/>
      <c r="Q45" s="283"/>
      <c r="R45" s="285"/>
    </row>
    <row r="46" spans="1:19" s="4" customFormat="1" x14ac:dyDescent="0.25">
      <c r="A46" s="439" t="s">
        <v>650</v>
      </c>
      <c r="B46" s="3"/>
      <c r="C46" s="3"/>
      <c r="D46" s="3"/>
      <c r="E46" s="3"/>
      <c r="F46" s="3"/>
      <c r="G46" s="274">
        <v>101.81373111493595</v>
      </c>
      <c r="H46" s="280">
        <v>16.068770319372732</v>
      </c>
      <c r="I46" s="280">
        <v>-0.38439293172690758</v>
      </c>
      <c r="J46" s="280">
        <v>-0.50551411997195128</v>
      </c>
      <c r="K46" s="281">
        <v>0</v>
      </c>
      <c r="L46" s="282">
        <f t="shared" si="2"/>
        <v>15.178863267673872</v>
      </c>
      <c r="M46" s="283"/>
      <c r="N46" s="284"/>
      <c r="O46" s="284"/>
      <c r="P46" s="284"/>
      <c r="Q46" s="283"/>
      <c r="R46" s="285"/>
    </row>
    <row r="47" spans="1:19" s="4" customFormat="1" x14ac:dyDescent="0.25">
      <c r="A47" s="439" t="s">
        <v>651</v>
      </c>
      <c r="B47" s="3"/>
      <c r="C47" s="3"/>
      <c r="D47" s="3"/>
      <c r="E47" s="3"/>
      <c r="F47" s="3"/>
      <c r="G47" s="274">
        <v>7.1038439472174426</v>
      </c>
      <c r="H47" s="280">
        <v>1.2397526614394085</v>
      </c>
      <c r="I47" s="280">
        <v>-2.948441767068273E-2</v>
      </c>
      <c r="J47" s="280">
        <v>0</v>
      </c>
      <c r="K47" s="281">
        <v>0</v>
      </c>
      <c r="L47" s="282">
        <f t="shared" si="2"/>
        <v>1.2102682437687258</v>
      </c>
      <c r="M47" s="283"/>
      <c r="N47" s="284"/>
      <c r="O47" s="284"/>
      <c r="P47" s="284"/>
      <c r="Q47" s="283"/>
      <c r="R47" s="285"/>
    </row>
    <row r="48" spans="1:19" s="4" customFormat="1" x14ac:dyDescent="0.25">
      <c r="A48" s="439" t="s">
        <v>652</v>
      </c>
      <c r="B48" s="3"/>
      <c r="C48" s="3"/>
      <c r="D48" s="3"/>
      <c r="E48" s="3"/>
      <c r="F48" s="3"/>
      <c r="G48" s="274">
        <v>110.62344616561485</v>
      </c>
      <c r="H48" s="280">
        <v>17.953808886339008</v>
      </c>
      <c r="I48" s="280">
        <v>-0.44103740294511373</v>
      </c>
      <c r="J48" s="280">
        <v>-0.66806910180404155</v>
      </c>
      <c r="K48" s="281">
        <v>0</v>
      </c>
      <c r="L48" s="282">
        <f t="shared" si="2"/>
        <v>16.844702381589855</v>
      </c>
      <c r="M48" s="283"/>
      <c r="N48" s="284"/>
      <c r="O48" s="284"/>
      <c r="P48" s="284"/>
      <c r="Q48" s="283"/>
      <c r="R48" s="285"/>
    </row>
    <row r="49" spans="1:19" x14ac:dyDescent="0.25">
      <c r="A49" s="439" t="s">
        <v>662</v>
      </c>
      <c r="B49" s="261"/>
      <c r="C49" s="261"/>
      <c r="D49" s="261"/>
      <c r="E49" s="261"/>
      <c r="F49" s="261"/>
      <c r="G49" s="274">
        <v>85.760228136882134</v>
      </c>
      <c r="H49" s="280">
        <v>8.6982256020278825</v>
      </c>
      <c r="I49" s="280">
        <v>-0.35415081368821288</v>
      </c>
      <c r="J49" s="280">
        <v>-0.59949302915082381</v>
      </c>
      <c r="K49" s="281">
        <v>0</v>
      </c>
      <c r="L49" s="282">
        <f t="shared" si="2"/>
        <v>7.7445817591888462</v>
      </c>
      <c r="M49" s="283"/>
      <c r="N49" s="284"/>
      <c r="O49" s="284"/>
      <c r="P49" s="284"/>
      <c r="Q49" s="283"/>
      <c r="R49" s="285"/>
      <c r="S49"/>
    </row>
    <row r="50" spans="1:19" ht="13.8" thickBot="1" x14ac:dyDescent="0.3">
      <c r="A50" s="440" t="s">
        <v>663</v>
      </c>
      <c r="B50" s="298"/>
      <c r="C50" s="298"/>
      <c r="D50" s="298"/>
      <c r="E50" s="298"/>
      <c r="F50" s="298"/>
      <c r="G50" s="299">
        <v>297.54460076045632</v>
      </c>
      <c r="H50" s="300">
        <v>38.174112801013933</v>
      </c>
      <c r="I50" s="300">
        <v>-1.169184980988593</v>
      </c>
      <c r="J50" s="300">
        <v>-1.4024081115335869</v>
      </c>
      <c r="K50" s="301">
        <v>0</v>
      </c>
      <c r="L50" s="302">
        <f t="shared" si="2"/>
        <v>35.602519708491755</v>
      </c>
      <c r="M50" s="283"/>
      <c r="N50" s="284"/>
      <c r="O50" s="284"/>
      <c r="P50" s="284"/>
      <c r="Q50" s="283"/>
      <c r="R50" s="285"/>
      <c r="S50"/>
    </row>
    <row r="51" spans="1:19" s="261" customFormat="1" x14ac:dyDescent="0.25">
      <c r="A51" s="292" t="s">
        <v>506</v>
      </c>
      <c r="B51" s="293"/>
      <c r="C51" s="293"/>
      <c r="D51" s="293"/>
      <c r="E51" s="293"/>
      <c r="F51" s="293"/>
      <c r="G51" s="294">
        <f t="shared" ref="G51:L51" si="3">SUM(G23:G50)</f>
        <v>2903.1414375245126</v>
      </c>
      <c r="H51" s="304">
        <f t="shared" si="3"/>
        <v>371.60677722444814</v>
      </c>
      <c r="I51" s="295">
        <f t="shared" si="3"/>
        <v>-11.093661359051056</v>
      </c>
      <c r="J51" s="295">
        <f t="shared" si="3"/>
        <v>-11.747359918685556</v>
      </c>
      <c r="K51" s="295">
        <f t="shared" si="3"/>
        <v>0</v>
      </c>
      <c r="L51" s="296">
        <f t="shared" si="3"/>
        <v>348.76575594671141</v>
      </c>
      <c r="M51" s="289"/>
      <c r="N51" s="280"/>
      <c r="O51" s="280"/>
      <c r="P51" s="280"/>
      <c r="Q51" s="289"/>
      <c r="R51" s="290"/>
    </row>
    <row r="52" spans="1:19" s="261" customFormat="1" x14ac:dyDescent="0.25">
      <c r="A52" s="279"/>
      <c r="G52" s="297"/>
      <c r="H52" s="322"/>
      <c r="I52" s="280"/>
      <c r="J52" s="280"/>
      <c r="K52" s="281"/>
      <c r="L52" s="282"/>
      <c r="M52" s="289"/>
      <c r="N52" s="280"/>
      <c r="O52" s="280"/>
      <c r="P52" s="280"/>
      <c r="Q52" s="289"/>
      <c r="R52" s="290"/>
    </row>
    <row r="53" spans="1:19" s="261" customFormat="1" x14ac:dyDescent="0.25">
      <c r="A53" s="277" t="s">
        <v>507</v>
      </c>
      <c r="G53" s="297"/>
      <c r="H53" s="322"/>
      <c r="I53" s="280"/>
      <c r="J53" s="280"/>
      <c r="K53" s="281"/>
      <c r="L53" s="282"/>
      <c r="M53" s="289"/>
      <c r="N53" s="280"/>
      <c r="O53" s="280"/>
      <c r="P53" s="280"/>
      <c r="Q53" s="289"/>
      <c r="R53" s="290"/>
    </row>
    <row r="54" spans="1:19" s="261" customFormat="1" x14ac:dyDescent="0.25">
      <c r="A54" s="277"/>
      <c r="G54" s="297"/>
      <c r="H54" s="322"/>
      <c r="I54" s="280"/>
      <c r="J54" s="280"/>
      <c r="K54" s="281"/>
      <c r="L54" s="282"/>
      <c r="M54" s="289"/>
      <c r="N54" s="280"/>
      <c r="O54" s="280"/>
      <c r="P54" s="280"/>
      <c r="Q54" s="289"/>
      <c r="R54" s="290"/>
    </row>
    <row r="55" spans="1:19" s="261" customFormat="1" x14ac:dyDescent="0.25">
      <c r="A55" s="261" t="s">
        <v>508</v>
      </c>
      <c r="G55" s="274">
        <v>202.99954825438027</v>
      </c>
      <c r="H55" s="322">
        <v>27.849266709928621</v>
      </c>
      <c r="I55" s="280">
        <v>-5.5698533419857199</v>
      </c>
      <c r="J55" s="280">
        <v>-1.6430889033095393</v>
      </c>
      <c r="K55" s="281">
        <v>0</v>
      </c>
      <c r="L55" s="282">
        <f t="shared" ref="L55:L63" si="4">SUM(H55:K55)</f>
        <v>20.636324464633361</v>
      </c>
      <c r="M55" s="289"/>
      <c r="N55" s="280"/>
      <c r="O55" s="280"/>
      <c r="P55" s="280"/>
      <c r="Q55" s="289"/>
      <c r="R55" s="290"/>
    </row>
    <row r="56" spans="1:19" s="261" customFormat="1" x14ac:dyDescent="0.25">
      <c r="A56" s="3" t="s">
        <v>585</v>
      </c>
      <c r="G56" s="274">
        <f>90968*5.36/1.5593/1000</f>
        <v>312.69703071891234</v>
      </c>
      <c r="H56" s="322">
        <f>85519*0.72/1.5593/1000</f>
        <v>39.488026678637858</v>
      </c>
      <c r="I56" s="280">
        <f>-85519*0.72/1.5593/1000*0.2</f>
        <v>-7.8976053357275724</v>
      </c>
      <c r="J56" s="280">
        <f>-1268/1.5593/1000</f>
        <v>-0.8131854037067916</v>
      </c>
      <c r="K56" s="280">
        <v>0</v>
      </c>
      <c r="L56" s="282">
        <f t="shared" si="4"/>
        <v>30.777235939203493</v>
      </c>
      <c r="M56" s="289"/>
      <c r="N56" s="280"/>
      <c r="O56" s="280"/>
      <c r="P56" s="280"/>
      <c r="Q56" s="289"/>
      <c r="R56" s="290"/>
    </row>
    <row r="57" spans="1:19" s="261" customFormat="1" x14ac:dyDescent="0.25">
      <c r="A57" s="3" t="s">
        <v>586</v>
      </c>
      <c r="G57" s="274">
        <f>58432*5.16/1.5593/1000</f>
        <v>193.36184185211314</v>
      </c>
      <c r="H57" s="322">
        <f>52287*0.23/1.5593/1000</f>
        <v>7.7124414801513499</v>
      </c>
      <c r="I57" s="280">
        <f>-52287*0.23/1.5593/1000*0.2</f>
        <v>-1.5424882960302702</v>
      </c>
      <c r="J57" s="280">
        <f>-615/1.5593/1000</f>
        <v>-0.39440774706599113</v>
      </c>
      <c r="K57" s="280">
        <v>0</v>
      </c>
      <c r="L57" s="282">
        <f t="shared" si="4"/>
        <v>5.7755454370550883</v>
      </c>
      <c r="M57" s="289"/>
      <c r="N57" s="280"/>
      <c r="O57" s="280"/>
      <c r="P57" s="280"/>
      <c r="Q57" s="289"/>
      <c r="R57" s="290"/>
    </row>
    <row r="58" spans="1:19" s="261" customFormat="1" x14ac:dyDescent="0.25">
      <c r="A58" s="3" t="s">
        <v>653</v>
      </c>
      <c r="G58" s="274">
        <v>297.34683414509095</v>
      </c>
      <c r="H58" s="322">
        <v>17.841047167392979</v>
      </c>
      <c r="I58" s="280">
        <v>-3.5682094334785961</v>
      </c>
      <c r="J58" s="280">
        <v>-0.64022045629325819</v>
      </c>
      <c r="K58" s="280">
        <v>0</v>
      </c>
      <c r="L58" s="282">
        <f t="shared" si="4"/>
        <v>13.632617277621124</v>
      </c>
      <c r="M58" s="289"/>
      <c r="N58" s="280"/>
      <c r="O58" s="280"/>
      <c r="P58" s="280"/>
      <c r="Q58" s="289"/>
      <c r="R58" s="290"/>
    </row>
    <row r="59" spans="1:19" s="261" customFormat="1" x14ac:dyDescent="0.25">
      <c r="A59" s="3" t="s">
        <v>664</v>
      </c>
      <c r="G59" s="297">
        <v>231.3128431309699</v>
      </c>
      <c r="H59" s="405">
        <f>58990*0.629/1.5599/1000</f>
        <v>23.786595294570166</v>
      </c>
      <c r="I59" s="406">
        <f>-58990*0.629/1.5599/1000*0.2</f>
        <v>-4.7573190589140335</v>
      </c>
      <c r="J59" s="406">
        <f>-2956/1.5599/1000</f>
        <v>-1.8949932687992819</v>
      </c>
      <c r="K59" s="406">
        <v>0</v>
      </c>
      <c r="L59" s="282">
        <f t="shared" si="4"/>
        <v>17.134282966856851</v>
      </c>
      <c r="M59" s="289"/>
      <c r="N59" s="280"/>
      <c r="O59" s="280"/>
      <c r="P59" s="280"/>
      <c r="Q59" s="289"/>
      <c r="R59" s="290"/>
    </row>
    <row r="60" spans="1:19" s="261" customFormat="1" x14ac:dyDescent="0.25">
      <c r="A60" s="3" t="s">
        <v>668</v>
      </c>
      <c r="G60" s="297">
        <v>38.552140521828321</v>
      </c>
      <c r="H60" s="405">
        <f>7782*0.489/1.5599/1000</f>
        <v>2.4395140714148345</v>
      </c>
      <c r="I60" s="406">
        <f>-7782*0.489/1.5599/1000*0.2</f>
        <v>-0.48790281428296689</v>
      </c>
      <c r="J60" s="406">
        <f>-185/1.5599/1000</f>
        <v>-0.11859734598371691</v>
      </c>
      <c r="K60" s="406">
        <v>0</v>
      </c>
      <c r="L60" s="282">
        <f t="shared" si="4"/>
        <v>1.8330139111481507</v>
      </c>
      <c r="M60" s="289"/>
      <c r="N60" s="280"/>
      <c r="O60" s="280"/>
      <c r="P60" s="280"/>
      <c r="Q60" s="289"/>
      <c r="R60" s="290"/>
    </row>
    <row r="61" spans="1:19" s="261" customFormat="1" x14ac:dyDescent="0.25">
      <c r="A61" s="3" t="s">
        <v>665</v>
      </c>
      <c r="G61" s="297">
        <v>83.529637797294697</v>
      </c>
      <c r="H61" s="405">
        <f>20948*0.779/1.5599/1000</f>
        <v>10.46124238733252</v>
      </c>
      <c r="I61" s="406">
        <f>-20948*0.779/1.5599/1000*0.2</f>
        <v>-2.0922484774665042</v>
      </c>
      <c r="J61" s="406">
        <f>-1068/1.5599/1000</f>
        <v>-0.68465927303032248</v>
      </c>
      <c r="K61" s="406">
        <v>0</v>
      </c>
      <c r="L61" s="282">
        <f t="shared" si="4"/>
        <v>7.6843346368356942</v>
      </c>
      <c r="M61" s="289"/>
      <c r="N61" s="280"/>
      <c r="O61" s="280"/>
      <c r="P61" s="280"/>
      <c r="Q61" s="289"/>
      <c r="R61" s="290"/>
    </row>
    <row r="62" spans="1:19" s="261" customFormat="1" x14ac:dyDescent="0.25">
      <c r="A62" s="3" t="s">
        <v>666</v>
      </c>
      <c r="G62" s="297">
        <v>38.552140521828321</v>
      </c>
      <c r="H62" s="405">
        <f>9651*0.769/1.5599/1000</f>
        <v>4.75775306109366</v>
      </c>
      <c r="I62" s="406">
        <f>-9651*0.769/1.5599/1000*0.2</f>
        <v>-0.95155061221873205</v>
      </c>
      <c r="J62" s="406">
        <f>-493/1.5599/1000</f>
        <v>-0.31604590037822938</v>
      </c>
      <c r="K62" s="406">
        <v>0</v>
      </c>
      <c r="L62" s="282">
        <f t="shared" si="4"/>
        <v>3.490156548496699</v>
      </c>
      <c r="M62" s="289"/>
      <c r="N62" s="280"/>
      <c r="O62" s="280"/>
      <c r="P62" s="280"/>
      <c r="Q62" s="289"/>
      <c r="R62" s="290"/>
    </row>
    <row r="63" spans="1:19" s="261" customFormat="1" ht="13.8" thickBot="1" x14ac:dyDescent="0.3">
      <c r="A63" s="291" t="s">
        <v>667</v>
      </c>
      <c r="B63" s="298"/>
      <c r="C63" s="298"/>
      <c r="D63" s="298"/>
      <c r="E63" s="298"/>
      <c r="F63" s="298"/>
      <c r="G63" s="326">
        <v>12.850713507276108</v>
      </c>
      <c r="H63" s="442">
        <f>3218*0.75/1.5599/1000</f>
        <v>1.5472145650362201</v>
      </c>
      <c r="I63" s="441">
        <f>-3218*0.75/1.5599/1000*0.2</f>
        <v>-0.30944291300724402</v>
      </c>
      <c r="J63" s="441">
        <f>-164/1.5599/1000</f>
        <v>-0.10513494454772741</v>
      </c>
      <c r="K63" s="441">
        <v>0</v>
      </c>
      <c r="L63" s="302">
        <f t="shared" si="4"/>
        <v>1.1326367074812487</v>
      </c>
      <c r="M63" s="289"/>
      <c r="N63" s="280"/>
      <c r="O63" s="280"/>
      <c r="P63" s="280"/>
      <c r="Q63" s="289"/>
      <c r="R63" s="290"/>
    </row>
    <row r="64" spans="1:19" s="261" customFormat="1" x14ac:dyDescent="0.25">
      <c r="A64" s="303" t="s">
        <v>509</v>
      </c>
      <c r="B64" s="3"/>
      <c r="C64" s="3"/>
      <c r="D64" s="3"/>
      <c r="E64" s="3"/>
      <c r="G64" s="294">
        <f t="shared" ref="G64:L64" si="5">SUM(G53:G63)</f>
        <v>1411.2027304496942</v>
      </c>
      <c r="H64" s="304">
        <f t="shared" si="5"/>
        <v>135.88310141555823</v>
      </c>
      <c r="I64" s="295">
        <f t="shared" si="5"/>
        <v>-27.176620283111646</v>
      </c>
      <c r="J64" s="295">
        <f t="shared" si="5"/>
        <v>-6.6103332431148587</v>
      </c>
      <c r="K64" s="305">
        <f t="shared" si="5"/>
        <v>0</v>
      </c>
      <c r="L64" s="296">
        <f t="shared" si="5"/>
        <v>102.09614788933173</v>
      </c>
      <c r="M64" s="306"/>
      <c r="N64" s="280"/>
      <c r="O64" s="280"/>
      <c r="P64" s="280"/>
      <c r="Q64" s="289"/>
      <c r="R64" s="290"/>
    </row>
    <row r="65" spans="1:19" x14ac:dyDescent="0.25">
      <c r="A65" s="307"/>
      <c r="B65" s="261"/>
      <c r="C65" s="261"/>
      <c r="D65" s="261"/>
      <c r="E65" s="261"/>
      <c r="F65" s="261"/>
      <c r="G65" s="289"/>
      <c r="H65" s="308"/>
      <c r="I65" s="309"/>
      <c r="J65" s="309"/>
      <c r="K65" s="310"/>
      <c r="L65" s="311"/>
      <c r="M65" s="306"/>
      <c r="N65" s="280">
        <f>SUM(N22:N64)</f>
        <v>0</v>
      </c>
      <c r="O65" s="280">
        <f>SUM(O22:O64)</f>
        <v>0</v>
      </c>
      <c r="P65" s="282">
        <f>SUM(P22:P64)</f>
        <v>0</v>
      </c>
      <c r="Q65" s="312"/>
      <c r="R65" s="313">
        <f>SUM(R22:R64)</f>
        <v>0</v>
      </c>
      <c r="S65"/>
    </row>
    <row r="66" spans="1:19" x14ac:dyDescent="0.25">
      <c r="A66" s="314" t="s">
        <v>510</v>
      </c>
      <c r="B66" s="315"/>
      <c r="C66" s="315"/>
      <c r="D66" s="315"/>
      <c r="E66" s="315"/>
      <c r="F66" s="315"/>
      <c r="G66" s="316">
        <f t="shared" ref="G66:L66" si="6">+G64+G51</f>
        <v>4314.3441679742064</v>
      </c>
      <c r="H66" s="317">
        <f t="shared" si="6"/>
        <v>507.4898786400064</v>
      </c>
      <c r="I66" s="318">
        <f t="shared" si="6"/>
        <v>-38.270281642162701</v>
      </c>
      <c r="J66" s="318">
        <f t="shared" si="6"/>
        <v>-18.357693161800412</v>
      </c>
      <c r="K66" s="319">
        <f t="shared" si="6"/>
        <v>0</v>
      </c>
      <c r="L66" s="320">
        <f t="shared" si="6"/>
        <v>450.86190383604315</v>
      </c>
      <c r="M66" s="306"/>
      <c r="N66" s="280"/>
      <c r="O66" s="280"/>
      <c r="P66" s="282"/>
      <c r="Q66" s="312"/>
      <c r="R66" s="313"/>
      <c r="S66"/>
    </row>
    <row r="67" spans="1:19" x14ac:dyDescent="0.25">
      <c r="A67" s="307"/>
      <c r="B67" s="261"/>
      <c r="C67" s="261"/>
      <c r="D67" s="261"/>
      <c r="E67" s="261"/>
      <c r="F67" s="261"/>
      <c r="G67" s="289"/>
      <c r="H67" s="308"/>
      <c r="I67" s="309"/>
      <c r="J67" s="309"/>
      <c r="K67" s="310"/>
      <c r="L67" s="311"/>
      <c r="M67" s="306"/>
      <c r="N67" s="280"/>
      <c r="O67" s="280"/>
      <c r="P67" s="282"/>
      <c r="Q67" s="312"/>
      <c r="R67" s="313"/>
      <c r="S67"/>
    </row>
    <row r="68" spans="1:19" x14ac:dyDescent="0.25">
      <c r="A68" s="321" t="s">
        <v>511</v>
      </c>
      <c r="B68" s="261"/>
      <c r="C68" s="261"/>
      <c r="D68" s="261"/>
      <c r="E68" s="261"/>
      <c r="F68" s="261"/>
      <c r="G68" s="289"/>
      <c r="H68" s="308"/>
      <c r="I68" s="309"/>
      <c r="J68" s="309"/>
      <c r="K68" s="310"/>
      <c r="L68" s="311"/>
      <c r="M68" s="306"/>
      <c r="N68" s="280"/>
      <c r="O68" s="280"/>
      <c r="P68" s="282"/>
      <c r="Q68" s="312"/>
      <c r="R68" s="313"/>
      <c r="S68"/>
    </row>
    <row r="69" spans="1:19" x14ac:dyDescent="0.25">
      <c r="A69" s="321"/>
      <c r="B69" s="261"/>
      <c r="C69" s="261"/>
      <c r="D69" s="261"/>
      <c r="E69" s="261"/>
      <c r="F69" s="261"/>
      <c r="G69" s="289"/>
      <c r="H69" s="308"/>
      <c r="I69" s="309"/>
      <c r="J69" s="309"/>
      <c r="K69" s="310"/>
      <c r="L69" s="311"/>
      <c r="M69" s="306"/>
      <c r="N69" s="280"/>
      <c r="O69" s="280"/>
      <c r="P69" s="282"/>
      <c r="Q69" s="312"/>
      <c r="R69" s="313"/>
      <c r="S69"/>
    </row>
    <row r="70" spans="1:19" x14ac:dyDescent="0.25">
      <c r="A70" s="407" t="s">
        <v>587</v>
      </c>
      <c r="B70" s="261"/>
      <c r="C70" s="261"/>
      <c r="D70" s="261"/>
      <c r="E70" s="261"/>
      <c r="F70" s="261"/>
      <c r="G70" s="289"/>
      <c r="H70" s="308"/>
      <c r="I70" s="309"/>
      <c r="J70" s="309"/>
      <c r="K70" s="310"/>
      <c r="L70" s="311"/>
      <c r="M70" s="306"/>
      <c r="N70" s="280"/>
      <c r="O70" s="280"/>
      <c r="P70" s="282"/>
      <c r="Q70" s="312"/>
      <c r="R70" s="313"/>
      <c r="S70"/>
    </row>
    <row r="71" spans="1:19" x14ac:dyDescent="0.25">
      <c r="A71" s="307"/>
      <c r="B71" s="261"/>
      <c r="C71" s="261"/>
      <c r="D71" s="261"/>
      <c r="E71" s="261"/>
      <c r="F71" s="261"/>
      <c r="G71" s="297"/>
      <c r="H71" s="322"/>
      <c r="I71" s="280"/>
      <c r="J71" s="280"/>
      <c r="K71" s="281"/>
      <c r="L71" s="282"/>
      <c r="M71" s="306"/>
      <c r="N71" s="323"/>
      <c r="O71" s="323"/>
      <c r="P71" s="324"/>
      <c r="Q71" s="312"/>
      <c r="R71" s="312"/>
      <c r="S71"/>
    </row>
    <row r="72" spans="1:19" x14ac:dyDescent="0.25">
      <c r="A72" s="169" t="s">
        <v>514</v>
      </c>
      <c r="B72" s="261"/>
      <c r="C72" s="261"/>
      <c r="D72" s="261"/>
      <c r="E72" s="261"/>
      <c r="F72" s="261"/>
      <c r="G72" s="297">
        <v>538.04407894736835</v>
      </c>
      <c r="H72" s="322">
        <v>8.3453947368421062</v>
      </c>
      <c r="I72" s="280">
        <v>-0.60086842105263161</v>
      </c>
      <c r="J72" s="280">
        <v>0</v>
      </c>
      <c r="K72" s="281">
        <v>0</v>
      </c>
      <c r="L72" s="282">
        <f t="shared" ref="L72:L86" si="7">SUM(H72:K72)</f>
        <v>7.744526315789475</v>
      </c>
      <c r="M72" s="306"/>
      <c r="N72" s="323"/>
      <c r="O72" s="323"/>
      <c r="P72" s="324"/>
      <c r="Q72" s="312"/>
      <c r="R72" s="312"/>
      <c r="S72"/>
    </row>
    <row r="73" spans="1:19" x14ac:dyDescent="0.25">
      <c r="A73" s="169" t="s">
        <v>515</v>
      </c>
      <c r="B73" s="261"/>
      <c r="C73" s="261"/>
      <c r="D73" s="261"/>
      <c r="E73" s="261"/>
      <c r="F73" s="261"/>
      <c r="G73" s="297">
        <v>174.87631578947369</v>
      </c>
      <c r="H73" s="322">
        <v>12.588815789473685</v>
      </c>
      <c r="I73" s="280">
        <v>-0.82179789473684206</v>
      </c>
      <c r="J73" s="280">
        <v>-8.2799999999999996E-4</v>
      </c>
      <c r="K73" s="281">
        <v>0</v>
      </c>
      <c r="L73" s="282">
        <f t="shared" si="7"/>
        <v>11.766189894736842</v>
      </c>
      <c r="M73" s="306"/>
      <c r="N73" s="280"/>
      <c r="O73" s="280"/>
      <c r="P73" s="282"/>
      <c r="Q73" s="312"/>
      <c r="R73" s="313"/>
      <c r="S73"/>
    </row>
    <row r="74" spans="1:19" x14ac:dyDescent="0.25">
      <c r="A74" s="169" t="s">
        <v>516</v>
      </c>
      <c r="B74" s="325"/>
      <c r="C74" s="325"/>
      <c r="D74" s="325"/>
      <c r="E74" s="325"/>
      <c r="F74" s="325"/>
      <c r="G74" s="297">
        <v>266.7247159224442</v>
      </c>
      <c r="H74" s="322">
        <v>42.620446533490011</v>
      </c>
      <c r="I74" s="280">
        <v>-1.194472385428907</v>
      </c>
      <c r="J74" s="280">
        <v>-1.6124820472646559</v>
      </c>
      <c r="K74" s="281">
        <v>0</v>
      </c>
      <c r="L74" s="282">
        <f t="shared" si="7"/>
        <v>39.813492100796445</v>
      </c>
      <c r="M74" s="306"/>
      <c r="N74" s="280"/>
      <c r="O74" s="280"/>
      <c r="P74" s="282"/>
      <c r="Q74" s="312"/>
      <c r="R74" s="313"/>
      <c r="S74"/>
    </row>
    <row r="75" spans="1:19" x14ac:dyDescent="0.25">
      <c r="A75" s="169" t="s">
        <v>498</v>
      </c>
      <c r="B75" s="261"/>
      <c r="C75" s="261"/>
      <c r="D75" s="261"/>
      <c r="E75" s="261"/>
      <c r="F75" s="261"/>
      <c r="G75" s="297">
        <v>381.37787898503581</v>
      </c>
      <c r="H75" s="322">
        <v>41.63305139882889</v>
      </c>
      <c r="I75" s="280">
        <v>-1.795883305139883</v>
      </c>
      <c r="J75" s="280">
        <v>-2.896551724137931</v>
      </c>
      <c r="K75" s="281">
        <v>0</v>
      </c>
      <c r="L75" s="282">
        <f t="shared" si="7"/>
        <v>36.94061636955108</v>
      </c>
      <c r="M75" s="306"/>
      <c r="N75" s="323"/>
      <c r="O75" s="323"/>
      <c r="P75" s="324"/>
      <c r="Q75" s="312"/>
      <c r="R75" s="312"/>
      <c r="S75"/>
    </row>
    <row r="76" spans="1:19" x14ac:dyDescent="0.25">
      <c r="A76" s="169" t="s">
        <v>517</v>
      </c>
      <c r="B76" s="261"/>
      <c r="C76" s="261"/>
      <c r="D76" s="261"/>
      <c r="E76" s="261"/>
      <c r="F76" s="261"/>
      <c r="G76" s="297">
        <v>34.227716330513992</v>
      </c>
      <c r="H76" s="322">
        <v>0.53285621340273259</v>
      </c>
      <c r="I76" s="280">
        <v>-3.8365647364996744E-2</v>
      </c>
      <c r="J76" s="280">
        <v>0</v>
      </c>
      <c r="K76" s="281">
        <v>0</v>
      </c>
      <c r="L76" s="282">
        <f t="shared" si="7"/>
        <v>0.49449056603773583</v>
      </c>
      <c r="M76" s="306"/>
      <c r="N76" s="323"/>
      <c r="O76" s="323"/>
      <c r="P76" s="324"/>
      <c r="Q76" s="312"/>
      <c r="R76" s="312"/>
      <c r="S76"/>
    </row>
    <row r="77" spans="1:19" x14ac:dyDescent="0.25">
      <c r="A77" s="443" t="s">
        <v>505</v>
      </c>
      <c r="B77" s="261"/>
      <c r="C77" s="261"/>
      <c r="D77" s="261"/>
      <c r="E77" s="261"/>
      <c r="F77" s="261"/>
      <c r="G77" s="297">
        <v>190.79332765845993</v>
      </c>
      <c r="H77" s="322">
        <v>28.215754321634364</v>
      </c>
      <c r="I77" s="280">
        <v>-0.81201498166579367</v>
      </c>
      <c r="J77" s="280">
        <v>-0.90099528548978525</v>
      </c>
      <c r="K77" s="281">
        <v>0</v>
      </c>
      <c r="L77" s="282">
        <f t="shared" si="7"/>
        <v>26.502744054478786</v>
      </c>
      <c r="M77" s="306"/>
      <c r="N77" s="323"/>
      <c r="O77" s="323"/>
      <c r="P77" s="324"/>
      <c r="Q77" s="312"/>
      <c r="R77" s="312"/>
      <c r="S77"/>
    </row>
    <row r="78" spans="1:19" x14ac:dyDescent="0.25">
      <c r="A78" s="279" t="s">
        <v>512</v>
      </c>
      <c r="B78" s="261"/>
      <c r="C78" s="261"/>
      <c r="D78" s="261"/>
      <c r="E78" s="261"/>
      <c r="F78" s="261"/>
      <c r="G78" s="297">
        <f>+'[1]Enron Direct Canada Origination'!H51*1000</f>
        <v>4.1326795687751652</v>
      </c>
      <c r="H78" s="322">
        <f>+'[1]Enron Direct Canada Origination'!I51*1000</f>
        <v>0.8098454344720093</v>
      </c>
      <c r="I78" s="280">
        <v>-1.9168203662813348E-2</v>
      </c>
      <c r="J78" s="280">
        <v>0</v>
      </c>
      <c r="K78" s="281">
        <f>+'[1]Enron Direct Canada Origination'!L51*1000</f>
        <v>0</v>
      </c>
      <c r="L78" s="282">
        <f t="shared" si="7"/>
        <v>0.79067723080919594</v>
      </c>
      <c r="M78" s="306"/>
      <c r="N78" s="323"/>
      <c r="O78" s="323"/>
      <c r="P78" s="324"/>
      <c r="Q78" s="312"/>
      <c r="R78" s="312"/>
      <c r="S78"/>
    </row>
    <row r="79" spans="1:19" x14ac:dyDescent="0.25">
      <c r="A79" s="279" t="s">
        <v>513</v>
      </c>
      <c r="B79" s="261"/>
      <c r="C79" s="261"/>
      <c r="D79" s="261"/>
      <c r="E79" s="261"/>
      <c r="F79" s="261"/>
      <c r="G79" s="297">
        <f>+'[1]Enron Direct Canada Origination'!H52*1000</f>
        <v>9.5513723459347482</v>
      </c>
      <c r="H79" s="322">
        <f>+'[1]Enron Direct Canada Origination'!I52*1000</f>
        <v>1.9899016053858105</v>
      </c>
      <c r="I79" s="280">
        <v>-4.4997576385292594E-2</v>
      </c>
      <c r="J79" s="280">
        <v>0</v>
      </c>
      <c r="K79" s="281">
        <f>+'[1]Enron Direct Canada Origination'!L52*1000</f>
        <v>0</v>
      </c>
      <c r="L79" s="282">
        <f t="shared" si="7"/>
        <v>1.944904029000518</v>
      </c>
      <c r="M79" s="306"/>
      <c r="N79" s="323"/>
      <c r="O79" s="323"/>
      <c r="P79" s="324"/>
      <c r="Q79" s="312"/>
      <c r="R79" s="312"/>
      <c r="S79"/>
    </row>
    <row r="80" spans="1:19" x14ac:dyDescent="0.25">
      <c r="A80" s="265" t="s">
        <v>494</v>
      </c>
      <c r="B80" s="261"/>
      <c r="C80" s="261"/>
      <c r="D80" s="261"/>
      <c r="E80" s="261"/>
      <c r="F80" s="261"/>
      <c r="G80" s="297">
        <f>+'[1]Enron Direct Canada Origination'!H53*1000</f>
        <v>24.251411185914034</v>
      </c>
      <c r="H80" s="322">
        <f>+'[1]Enron Direct Canada Origination'!I53*1000</f>
        <v>4.6837778353184873</v>
      </c>
      <c r="I80" s="280">
        <v>-0.10354185396167788</v>
      </c>
      <c r="J80" s="280">
        <v>0</v>
      </c>
      <c r="K80" s="281">
        <f>+'[1]Enron Direct Canada Origination'!L53*1000</f>
        <v>0</v>
      </c>
      <c r="L80" s="282">
        <f t="shared" si="7"/>
        <v>4.5802359813568092</v>
      </c>
      <c r="M80" s="306"/>
      <c r="N80" s="323"/>
      <c r="O80" s="323"/>
      <c r="P80" s="324"/>
      <c r="Q80" s="312"/>
      <c r="R80" s="312"/>
      <c r="S80"/>
    </row>
    <row r="81" spans="1:19" x14ac:dyDescent="0.25">
      <c r="A81" t="s">
        <v>517</v>
      </c>
      <c r="B81" s="261"/>
      <c r="C81" s="261"/>
      <c r="D81" s="261"/>
      <c r="E81" s="261"/>
      <c r="F81" s="261"/>
      <c r="G81" s="297">
        <v>5.7459407831900675</v>
      </c>
      <c r="H81" s="322">
        <v>8.9143584845590582E-2</v>
      </c>
      <c r="I81" s="280">
        <v>-6.418338108882521E-3</v>
      </c>
      <c r="J81" s="280">
        <v>0</v>
      </c>
      <c r="K81" s="281">
        <v>0</v>
      </c>
      <c r="L81" s="282"/>
      <c r="M81" s="306"/>
      <c r="N81" s="323"/>
      <c r="O81" s="323"/>
      <c r="P81" s="324"/>
      <c r="Q81" s="312"/>
      <c r="R81" s="312"/>
      <c r="S81"/>
    </row>
    <row r="82" spans="1:19" x14ac:dyDescent="0.25">
      <c r="A82" s="439" t="s">
        <v>584</v>
      </c>
      <c r="B82" s="261"/>
      <c r="C82" s="261"/>
      <c r="D82" s="261"/>
      <c r="E82" s="261"/>
      <c r="F82" s="261"/>
      <c r="G82" s="297">
        <v>75.098368522072946</v>
      </c>
      <c r="H82" s="322">
        <v>14.095969289827256</v>
      </c>
      <c r="I82" s="280">
        <v>-0.34707408829174669</v>
      </c>
      <c r="J82" s="280">
        <v>-0.6513115802943058</v>
      </c>
      <c r="K82" s="281">
        <v>0</v>
      </c>
      <c r="L82" s="282">
        <f t="shared" si="7"/>
        <v>13.097583621241203</v>
      </c>
      <c r="M82" s="306"/>
      <c r="N82" s="323"/>
      <c r="O82" s="323"/>
      <c r="P82" s="324"/>
      <c r="Q82" s="312"/>
      <c r="R82" s="312"/>
      <c r="S82"/>
    </row>
    <row r="83" spans="1:19" x14ac:dyDescent="0.25">
      <c r="A83" s="439" t="s">
        <v>654</v>
      </c>
      <c r="B83" s="261"/>
      <c r="C83" s="261"/>
      <c r="D83" s="261"/>
      <c r="E83" s="261"/>
      <c r="F83" s="261"/>
      <c r="G83" s="297">
        <v>202.04500541849941</v>
      </c>
      <c r="H83" s="322">
        <v>36.662204373047743</v>
      </c>
      <c r="I83" s="280">
        <v>-0.92050334672021417</v>
      </c>
      <c r="J83" s="280">
        <v>-1.3724740230764327</v>
      </c>
      <c r="K83" s="281">
        <v>0</v>
      </c>
      <c r="L83" s="282">
        <f t="shared" si="7"/>
        <v>34.36922700325109</v>
      </c>
      <c r="M83" s="306"/>
      <c r="N83" s="323"/>
      <c r="O83" s="323"/>
      <c r="P83" s="324"/>
      <c r="Q83" s="312"/>
      <c r="R83" s="312"/>
      <c r="S83"/>
    </row>
    <row r="84" spans="1:19" x14ac:dyDescent="0.25">
      <c r="A84" s="439" t="s">
        <v>650</v>
      </c>
      <c r="B84" s="261"/>
      <c r="C84" s="261"/>
      <c r="D84" s="261"/>
      <c r="E84" s="261"/>
      <c r="F84" s="261"/>
      <c r="G84" s="297">
        <v>182.74582644102301</v>
      </c>
      <c r="H84" s="322">
        <v>33.030366458837001</v>
      </c>
      <c r="I84" s="280">
        <v>-0.83293262756075837</v>
      </c>
      <c r="J84" s="280">
        <v>-1.2361623616236161</v>
      </c>
      <c r="K84" s="281">
        <v>0</v>
      </c>
      <c r="L84" s="282">
        <f t="shared" si="7"/>
        <v>30.961271469652626</v>
      </c>
      <c r="M84" s="306"/>
      <c r="N84" s="323"/>
      <c r="O84" s="323"/>
      <c r="P84" s="324"/>
      <c r="Q84" s="312"/>
      <c r="R84" s="312"/>
      <c r="S84"/>
    </row>
    <row r="85" spans="1:19" x14ac:dyDescent="0.25">
      <c r="A85" s="439" t="s">
        <v>669</v>
      </c>
      <c r="B85" s="261"/>
      <c r="C85" s="261"/>
      <c r="D85" s="261"/>
      <c r="E85" s="261"/>
      <c r="F85" s="261"/>
      <c r="G85" s="297">
        <v>14.778156453051345</v>
      </c>
      <c r="H85" s="322">
        <v>2.2779971970951709</v>
      </c>
      <c r="I85" s="280">
        <v>-6.310052235953624E-2</v>
      </c>
      <c r="J85" s="280">
        <v>-7.2620716014778944E-2</v>
      </c>
      <c r="K85" s="281">
        <v>0</v>
      </c>
      <c r="L85" s="282">
        <f>SUM(H85:K85)</f>
        <v>2.1422759587208553</v>
      </c>
      <c r="M85" s="306"/>
      <c r="N85" s="323"/>
      <c r="O85" s="323"/>
      <c r="P85" s="324"/>
      <c r="Q85" s="312"/>
      <c r="R85" s="312"/>
      <c r="S85"/>
    </row>
    <row r="86" spans="1:19" ht="13.8" thickBot="1" x14ac:dyDescent="0.3">
      <c r="A86" s="440" t="s">
        <v>670</v>
      </c>
      <c r="B86" s="298"/>
      <c r="C86" s="298"/>
      <c r="D86" s="298"/>
      <c r="E86" s="298"/>
      <c r="F86" s="298"/>
      <c r="G86" s="326">
        <v>74.988073861827445</v>
      </c>
      <c r="H86" s="327">
        <v>13.212403693091373</v>
      </c>
      <c r="I86" s="300">
        <v>-0.32533663419293218</v>
      </c>
      <c r="J86" s="300">
        <v>-0.41579114931550465</v>
      </c>
      <c r="K86" s="301">
        <v>0</v>
      </c>
      <c r="L86" s="302">
        <f t="shared" si="7"/>
        <v>12.471275909582936</v>
      </c>
      <c r="M86" s="306"/>
      <c r="N86" s="323"/>
      <c r="O86" s="323"/>
      <c r="P86" s="324"/>
      <c r="Q86" s="312"/>
      <c r="R86" s="312"/>
      <c r="S86"/>
    </row>
    <row r="87" spans="1:19" x14ac:dyDescent="0.25">
      <c r="A87" s="408" t="s">
        <v>588</v>
      </c>
      <c r="B87" s="261"/>
      <c r="C87" s="261"/>
      <c r="D87" s="261"/>
      <c r="E87" s="261"/>
      <c r="F87" s="261"/>
      <c r="G87" s="297">
        <f t="shared" ref="G87:L87" si="8">SUM(G71:G86)</f>
        <v>2179.3808682135841</v>
      </c>
      <c r="H87" s="322">
        <f t="shared" si="8"/>
        <v>240.78792846559222</v>
      </c>
      <c r="I87" s="280">
        <f t="shared" si="8"/>
        <v>-7.9264758266329087</v>
      </c>
      <c r="J87" s="280">
        <f t="shared" si="8"/>
        <v>-9.1592168872170099</v>
      </c>
      <c r="K87" s="281">
        <f t="shared" si="8"/>
        <v>0</v>
      </c>
      <c r="L87" s="282">
        <f t="shared" si="8"/>
        <v>223.61951050500559</v>
      </c>
      <c r="M87" s="306"/>
      <c r="N87" s="323"/>
      <c r="O87" s="323"/>
      <c r="P87" s="324"/>
      <c r="Q87" s="312"/>
      <c r="R87" s="312"/>
      <c r="S87"/>
    </row>
    <row r="88" spans="1:19" x14ac:dyDescent="0.25">
      <c r="A88" s="92"/>
      <c r="B88" s="261"/>
      <c r="C88" s="261"/>
      <c r="D88" s="261"/>
      <c r="E88" s="261"/>
      <c r="F88" s="261"/>
      <c r="G88" s="297"/>
      <c r="H88" s="322"/>
      <c r="I88" s="280"/>
      <c r="J88" s="280"/>
      <c r="K88" s="281"/>
      <c r="L88" s="282"/>
      <c r="M88" s="306"/>
      <c r="N88" s="323"/>
      <c r="O88" s="323"/>
      <c r="P88" s="324"/>
      <c r="Q88" s="312"/>
      <c r="R88" s="312"/>
      <c r="S88"/>
    </row>
    <row r="89" spans="1:19" x14ac:dyDescent="0.25">
      <c r="A89" s="407" t="s">
        <v>589</v>
      </c>
      <c r="B89" s="261"/>
      <c r="C89" s="261"/>
      <c r="D89" s="261"/>
      <c r="E89" s="261"/>
      <c r="F89" s="261"/>
      <c r="G89" s="297"/>
      <c r="H89" s="322"/>
      <c r="I89" s="280"/>
      <c r="J89" s="280"/>
      <c r="K89" s="281"/>
      <c r="L89" s="282"/>
      <c r="M89" s="306"/>
      <c r="N89" s="323"/>
      <c r="O89" s="323"/>
      <c r="P89" s="324"/>
      <c r="Q89" s="312"/>
      <c r="R89" s="312"/>
      <c r="S89"/>
    </row>
    <row r="90" spans="1:19" x14ac:dyDescent="0.25">
      <c r="A90" s="407"/>
      <c r="B90" s="261"/>
      <c r="C90" s="261"/>
      <c r="D90" s="261"/>
      <c r="E90" s="261"/>
      <c r="F90" s="261"/>
      <c r="G90" s="297"/>
      <c r="H90" s="322"/>
      <c r="I90" s="280"/>
      <c r="J90" s="280"/>
      <c r="K90" s="281"/>
      <c r="L90" s="282"/>
      <c r="M90" s="306"/>
      <c r="N90" s="323"/>
      <c r="O90" s="323"/>
      <c r="P90" s="324"/>
      <c r="Q90" s="312"/>
      <c r="R90" s="312"/>
      <c r="S90"/>
    </row>
    <row r="91" spans="1:19" x14ac:dyDescent="0.25">
      <c r="A91" s="3" t="s">
        <v>508</v>
      </c>
      <c r="B91" s="261"/>
      <c r="C91" s="261"/>
      <c r="D91" s="261"/>
      <c r="E91" s="261"/>
      <c r="F91" s="261"/>
      <c r="G91" s="297">
        <v>588.35799999999995</v>
      </c>
      <c r="H91" s="322">
        <v>50.387</v>
      </c>
      <c r="I91" s="280">
        <v>-50.387</v>
      </c>
      <c r="J91" s="280">
        <v>0</v>
      </c>
      <c r="K91" s="281">
        <v>0</v>
      </c>
      <c r="L91" s="282">
        <f t="shared" ref="L91:R91" si="9">SUM(H91:K91)</f>
        <v>0</v>
      </c>
      <c r="M91" s="282">
        <f t="shared" si="9"/>
        <v>-50.387</v>
      </c>
      <c r="N91" s="280">
        <f t="shared" si="9"/>
        <v>-50.387</v>
      </c>
      <c r="O91" s="280">
        <f t="shared" si="9"/>
        <v>-100.774</v>
      </c>
      <c r="P91" s="282">
        <f t="shared" si="9"/>
        <v>-201.548</v>
      </c>
      <c r="Q91" s="290">
        <f t="shared" si="9"/>
        <v>-403.096</v>
      </c>
      <c r="R91" s="290">
        <f t="shared" si="9"/>
        <v>-755.80500000000006</v>
      </c>
      <c r="S91"/>
    </row>
    <row r="92" spans="1:19" x14ac:dyDescent="0.25">
      <c r="A92" s="3" t="s">
        <v>590</v>
      </c>
      <c r="B92" s="261"/>
      <c r="C92" s="261"/>
      <c r="D92" s="261"/>
      <c r="E92" s="261"/>
      <c r="F92" s="261"/>
      <c r="G92" s="297">
        <v>877.23500000000001</v>
      </c>
      <c r="H92" s="322">
        <v>49.823999999999998</v>
      </c>
      <c r="I92" s="280">
        <v>-49.823999999999998</v>
      </c>
      <c r="J92" s="280">
        <v>0</v>
      </c>
      <c r="K92" s="281">
        <v>0</v>
      </c>
      <c r="L92" s="282">
        <f t="shared" ref="L92:L98" si="10">SUM(H92:K92)</f>
        <v>0</v>
      </c>
      <c r="M92" s="306"/>
      <c r="N92" s="364"/>
      <c r="O92" s="364"/>
      <c r="P92" s="324"/>
      <c r="Q92" s="312"/>
      <c r="R92" s="312"/>
      <c r="S92"/>
    </row>
    <row r="93" spans="1:19" x14ac:dyDescent="0.25">
      <c r="A93" s="3" t="s">
        <v>591</v>
      </c>
      <c r="B93" s="261"/>
      <c r="C93" s="261"/>
      <c r="D93" s="261"/>
      <c r="E93" s="261"/>
      <c r="F93" s="261"/>
      <c r="G93" s="297">
        <v>420.166</v>
      </c>
      <c r="H93" s="322">
        <v>29.800999999999998</v>
      </c>
      <c r="I93" s="280">
        <v>-29.800999999999998</v>
      </c>
      <c r="J93" s="280">
        <v>0</v>
      </c>
      <c r="K93" s="281">
        <v>0</v>
      </c>
      <c r="L93" s="282">
        <f t="shared" si="10"/>
        <v>0</v>
      </c>
      <c r="M93" s="306"/>
      <c r="N93" s="323"/>
      <c r="O93" s="323"/>
      <c r="P93" s="324"/>
      <c r="Q93" s="312"/>
      <c r="R93" s="312"/>
      <c r="S93"/>
    </row>
    <row r="94" spans="1:19" x14ac:dyDescent="0.25">
      <c r="A94" s="169" t="s">
        <v>592</v>
      </c>
      <c r="B94" s="261"/>
      <c r="C94" s="261"/>
      <c r="D94" s="261"/>
      <c r="E94" s="261"/>
      <c r="F94" s="261"/>
      <c r="G94" s="297">
        <v>830.07399999999996</v>
      </c>
      <c r="H94" s="322">
        <v>47.255000000000003</v>
      </c>
      <c r="I94" s="280">
        <v>-47.255000000000003</v>
      </c>
      <c r="J94" s="280">
        <v>0</v>
      </c>
      <c r="K94" s="281">
        <v>0</v>
      </c>
      <c r="L94" s="282">
        <f t="shared" si="10"/>
        <v>0</v>
      </c>
      <c r="M94" s="306"/>
      <c r="N94" s="323"/>
      <c r="O94" s="323"/>
      <c r="P94" s="324"/>
      <c r="Q94" s="312"/>
      <c r="R94" s="312"/>
      <c r="S94"/>
    </row>
    <row r="95" spans="1:19" x14ac:dyDescent="0.25">
      <c r="A95" s="3" t="s">
        <v>655</v>
      </c>
      <c r="B95" s="261"/>
      <c r="C95" s="261"/>
      <c r="D95" s="261"/>
      <c r="E95" s="261"/>
      <c r="F95" s="261"/>
      <c r="G95" s="297">
        <v>97.955128205128204</v>
      </c>
      <c r="H95" s="322">
        <v>7.7320000000000002</v>
      </c>
      <c r="I95" s="280">
        <v>-7.7320000000000002</v>
      </c>
      <c r="J95" s="280">
        <v>0</v>
      </c>
      <c r="K95" s="281">
        <v>0</v>
      </c>
      <c r="L95" s="282">
        <f t="shared" si="10"/>
        <v>0</v>
      </c>
      <c r="M95" s="306"/>
      <c r="N95" s="365"/>
      <c r="O95" s="365"/>
      <c r="P95" s="324"/>
      <c r="Q95" s="365"/>
      <c r="R95" s="365"/>
      <c r="S95"/>
    </row>
    <row r="96" spans="1:19" x14ac:dyDescent="0.25">
      <c r="A96" s="3" t="s">
        <v>671</v>
      </c>
      <c r="B96" s="261"/>
      <c r="C96" s="261"/>
      <c r="D96" s="261"/>
      <c r="E96" s="261"/>
      <c r="F96" s="261"/>
      <c r="G96" s="297">
        <v>683.74382973267507</v>
      </c>
      <c r="H96" s="322">
        <v>48.84</v>
      </c>
      <c r="I96" s="280">
        <v>-48.84</v>
      </c>
      <c r="J96" s="280">
        <v>0</v>
      </c>
      <c r="K96" s="281">
        <v>0</v>
      </c>
      <c r="L96" s="282">
        <f t="shared" si="10"/>
        <v>0</v>
      </c>
      <c r="M96" s="306"/>
      <c r="N96" s="323"/>
      <c r="O96" s="323"/>
      <c r="P96" s="324"/>
      <c r="Q96" s="312"/>
      <c r="R96" s="312"/>
      <c r="S96"/>
    </row>
    <row r="97" spans="1:19" x14ac:dyDescent="0.25">
      <c r="A97" s="3" t="s">
        <v>672</v>
      </c>
      <c r="B97" s="261"/>
      <c r="C97" s="261"/>
      <c r="D97" s="261"/>
      <c r="E97" s="261"/>
      <c r="F97" s="261"/>
      <c r="G97" s="297">
        <v>555.53615801210583</v>
      </c>
      <c r="H97" s="322">
        <v>35.715833067856011</v>
      </c>
      <c r="I97" s="280">
        <v>-35.715833067856011</v>
      </c>
      <c r="J97" s="280">
        <v>0</v>
      </c>
      <c r="K97" s="281">
        <v>0</v>
      </c>
      <c r="L97" s="282">
        <f t="shared" si="10"/>
        <v>0</v>
      </c>
      <c r="M97" s="306"/>
      <c r="N97" s="323"/>
      <c r="O97" s="323"/>
      <c r="P97" s="324"/>
      <c r="Q97" s="312"/>
      <c r="R97" s="312"/>
      <c r="S97"/>
    </row>
    <row r="98" spans="1:19" ht="13.8" thickBot="1" x14ac:dyDescent="0.3">
      <c r="A98" s="440" t="s">
        <v>673</v>
      </c>
      <c r="B98" s="298"/>
      <c r="C98" s="298"/>
      <c r="D98" s="298"/>
      <c r="E98" s="298"/>
      <c r="F98" s="298"/>
      <c r="G98" s="326">
        <v>1511.8125</v>
      </c>
      <c r="H98" s="327">
        <v>108.02307692307693</v>
      </c>
      <c r="I98" s="300">
        <v>-108.02307692307693</v>
      </c>
      <c r="J98" s="300">
        <v>0</v>
      </c>
      <c r="K98" s="301">
        <v>0</v>
      </c>
      <c r="L98" s="302">
        <f t="shared" si="10"/>
        <v>0</v>
      </c>
      <c r="M98" s="306"/>
      <c r="N98" s="323"/>
      <c r="O98" s="323"/>
      <c r="P98" s="324"/>
      <c r="Q98" s="312"/>
      <c r="R98" s="312"/>
      <c r="S98"/>
    </row>
    <row r="99" spans="1:19" x14ac:dyDescent="0.25">
      <c r="A99" s="408" t="s">
        <v>593</v>
      </c>
      <c r="B99" s="261"/>
      <c r="C99" s="261"/>
      <c r="D99" s="261"/>
      <c r="E99" s="261"/>
      <c r="F99" s="261"/>
      <c r="G99" s="297">
        <f t="shared" ref="G99:L99" si="11">SUM(G90:G98)</f>
        <v>5564.880615949909</v>
      </c>
      <c r="H99" s="322">
        <f t="shared" si="11"/>
        <v>377.57790999093294</v>
      </c>
      <c r="I99" s="280">
        <f t="shared" si="11"/>
        <v>-377.57790999093294</v>
      </c>
      <c r="J99" s="280">
        <f t="shared" si="11"/>
        <v>0</v>
      </c>
      <c r="K99" s="281">
        <f t="shared" si="11"/>
        <v>0</v>
      </c>
      <c r="L99" s="282">
        <f t="shared" si="11"/>
        <v>0</v>
      </c>
      <c r="M99" s="306"/>
      <c r="N99" s="323"/>
      <c r="O99" s="323"/>
      <c r="P99" s="324"/>
      <c r="Q99" s="312"/>
      <c r="R99" s="312"/>
      <c r="S99"/>
    </row>
    <row r="100" spans="1:19" x14ac:dyDescent="0.25">
      <c r="A100" s="92"/>
      <c r="B100" s="261"/>
      <c r="C100" s="261"/>
      <c r="D100" s="261"/>
      <c r="E100" s="261"/>
      <c r="F100" s="261"/>
      <c r="G100" s="297"/>
      <c r="H100" s="322"/>
      <c r="I100" s="280"/>
      <c r="J100" s="280"/>
      <c r="K100" s="281"/>
      <c r="L100" s="282"/>
      <c r="M100" s="306"/>
      <c r="N100" s="323"/>
      <c r="O100" s="323"/>
      <c r="P100" s="324"/>
      <c r="Q100" s="312"/>
      <c r="R100" s="312"/>
      <c r="S100"/>
    </row>
    <row r="101" spans="1:19" x14ac:dyDescent="0.25">
      <c r="A101" s="92"/>
      <c r="B101" s="261"/>
      <c r="C101" s="261"/>
      <c r="D101" s="261"/>
      <c r="E101" s="261"/>
      <c r="F101" s="261"/>
      <c r="G101" s="297"/>
      <c r="H101" s="322"/>
      <c r="I101" s="280"/>
      <c r="J101" s="280"/>
      <c r="K101" s="281"/>
      <c r="L101" s="282"/>
      <c r="M101" s="306"/>
      <c r="N101" s="323"/>
      <c r="O101" s="323"/>
      <c r="P101" s="324"/>
      <c r="Q101" s="312"/>
      <c r="R101" s="312"/>
      <c r="S101"/>
    </row>
    <row r="102" spans="1:19" x14ac:dyDescent="0.25">
      <c r="A102" s="314" t="s">
        <v>518</v>
      </c>
      <c r="B102" s="315"/>
      <c r="C102" s="315"/>
      <c r="D102" s="315"/>
      <c r="E102" s="315"/>
      <c r="F102" s="315"/>
      <c r="G102" s="316">
        <f t="shared" ref="G102:L102" si="12">+G99+G87</f>
        <v>7744.2614841634932</v>
      </c>
      <c r="H102" s="317">
        <f t="shared" si="12"/>
        <v>618.36583845652513</v>
      </c>
      <c r="I102" s="318">
        <f t="shared" si="12"/>
        <v>-385.50438581756583</v>
      </c>
      <c r="J102" s="318">
        <f t="shared" si="12"/>
        <v>-9.1592168872170099</v>
      </c>
      <c r="K102" s="319">
        <f t="shared" si="12"/>
        <v>0</v>
      </c>
      <c r="L102" s="320">
        <f t="shared" si="12"/>
        <v>223.61951050500559</v>
      </c>
      <c r="M102" s="306"/>
      <c r="N102" s="280">
        <f>SUM(N82:N86)</f>
        <v>0</v>
      </c>
      <c r="O102" s="280">
        <f>SUM(O82:O86)</f>
        <v>0</v>
      </c>
      <c r="P102" s="282">
        <f>SUM(P82:P86)</f>
        <v>0</v>
      </c>
      <c r="Q102" s="312"/>
      <c r="R102" s="313">
        <f>SUM(R82:R86)</f>
        <v>0</v>
      </c>
      <c r="S102"/>
    </row>
    <row r="103" spans="1:19" x14ac:dyDescent="0.25">
      <c r="A103" s="307"/>
      <c r="B103" s="261"/>
      <c r="C103" s="261"/>
      <c r="D103" s="261"/>
      <c r="E103" s="261"/>
      <c r="F103" s="261"/>
      <c r="G103" s="297"/>
      <c r="H103" s="322"/>
      <c r="I103" s="280"/>
      <c r="J103" s="280"/>
      <c r="K103" s="281"/>
      <c r="L103" s="282"/>
      <c r="M103" s="306"/>
      <c r="N103" s="280"/>
      <c r="O103" s="280"/>
      <c r="P103" s="282"/>
      <c r="Q103" s="312"/>
      <c r="R103" s="313"/>
      <c r="S103"/>
    </row>
    <row r="104" spans="1:19" x14ac:dyDescent="0.25">
      <c r="A104" s="315" t="s">
        <v>674</v>
      </c>
      <c r="B104" s="261"/>
      <c r="C104" s="261"/>
      <c r="D104" s="261"/>
      <c r="E104" s="261"/>
      <c r="F104" s="261"/>
      <c r="G104" s="316"/>
      <c r="H104" s="317"/>
      <c r="I104" s="318"/>
      <c r="J104" s="318"/>
      <c r="K104" s="319"/>
      <c r="L104" s="320">
        <v>80.409000000000006</v>
      </c>
      <c r="M104" s="306"/>
      <c r="N104" s="280"/>
      <c r="O104" s="280"/>
      <c r="P104" s="282"/>
      <c r="Q104" s="312"/>
      <c r="R104" s="313"/>
      <c r="S104"/>
    </row>
    <row r="105" spans="1:19" x14ac:dyDescent="0.25">
      <c r="A105" s="265"/>
      <c r="B105" s="261"/>
      <c r="C105" s="261"/>
      <c r="D105" s="261"/>
      <c r="E105" s="261"/>
      <c r="F105" s="261"/>
      <c r="G105" s="297"/>
      <c r="H105" s="322"/>
      <c r="I105" s="280"/>
      <c r="J105" s="280"/>
      <c r="K105" s="281"/>
      <c r="L105" s="282"/>
      <c r="M105" s="306"/>
      <c r="N105" s="323"/>
      <c r="O105" s="323"/>
      <c r="P105" s="324"/>
      <c r="Q105" s="312"/>
      <c r="R105" s="312"/>
      <c r="S105"/>
    </row>
    <row r="106" spans="1:19" x14ac:dyDescent="0.25">
      <c r="A106" s="328" t="s">
        <v>519</v>
      </c>
      <c r="B106" s="261"/>
      <c r="C106" s="261"/>
      <c r="D106" s="261"/>
      <c r="E106" s="261"/>
      <c r="F106" s="261"/>
      <c r="G106" s="289">
        <f>G66+G102</f>
        <v>12058.6056521377</v>
      </c>
      <c r="H106" s="308">
        <f>H66+H102</f>
        <v>1125.8557170965314</v>
      </c>
      <c r="I106" s="309">
        <f>I66+I102</f>
        <v>-423.77466745972856</v>
      </c>
      <c r="J106" s="309">
        <f>J66+J102</f>
        <v>-27.516910049017422</v>
      </c>
      <c r="K106" s="310">
        <f>K66+K102</f>
        <v>0</v>
      </c>
      <c r="L106" s="311">
        <f>L66+L102+L104</f>
        <v>754.89041434104877</v>
      </c>
      <c r="M106" s="306"/>
      <c r="N106" s="323">
        <f>N65+N102</f>
        <v>0</v>
      </c>
      <c r="O106" s="323">
        <f>O65+O102</f>
        <v>0</v>
      </c>
      <c r="P106" s="324">
        <f>P65+P102</f>
        <v>0</v>
      </c>
      <c r="Q106" s="312"/>
      <c r="R106" s="312">
        <f>R65+R102</f>
        <v>0</v>
      </c>
      <c r="S106"/>
    </row>
    <row r="107" spans="1:19" x14ac:dyDescent="0.25">
      <c r="A107" s="265"/>
      <c r="B107" s="261"/>
      <c r="C107" s="261"/>
      <c r="D107" s="261"/>
      <c r="E107" s="261"/>
      <c r="F107" s="261"/>
      <c r="G107" s="297"/>
      <c r="H107" s="322"/>
      <c r="I107" s="280"/>
      <c r="J107" s="280"/>
      <c r="K107" s="281"/>
      <c r="L107" s="282"/>
      <c r="M107" s="306"/>
      <c r="N107" s="323"/>
      <c r="O107" s="323"/>
      <c r="P107" s="324"/>
      <c r="Q107" s="323"/>
      <c r="R107" s="312"/>
      <c r="S107"/>
    </row>
    <row r="108" spans="1:19" ht="13.8" thickBot="1" x14ac:dyDescent="0.3">
      <c r="A108" s="329"/>
      <c r="B108" s="261"/>
      <c r="C108" s="261"/>
      <c r="D108" s="261"/>
      <c r="E108" s="261"/>
      <c r="F108" s="261"/>
      <c r="G108" s="326"/>
      <c r="H108" s="327"/>
      <c r="I108" s="300"/>
      <c r="J108" s="300"/>
      <c r="K108" s="301"/>
      <c r="L108" s="302"/>
      <c r="M108" s="306"/>
      <c r="N108" s="323"/>
      <c r="O108" s="323"/>
      <c r="P108" s="324"/>
      <c r="Q108" s="323"/>
      <c r="R108" s="312"/>
    </row>
    <row r="109" spans="1:19" ht="18" thickBot="1" x14ac:dyDescent="0.35">
      <c r="A109" s="330" t="s">
        <v>520</v>
      </c>
      <c r="B109" s="331"/>
      <c r="C109" s="331"/>
      <c r="D109" s="331"/>
      <c r="E109" s="331"/>
      <c r="F109" s="331"/>
      <c r="G109" s="332">
        <f>G102+G66</f>
        <v>12058.6056521377</v>
      </c>
      <c r="H109" s="333">
        <f>H102+H66</f>
        <v>1125.8557170965314</v>
      </c>
      <c r="I109" s="333">
        <f>I102+I66</f>
        <v>-423.77466745972856</v>
      </c>
      <c r="J109" s="333">
        <f>J102+J66</f>
        <v>-27.516910049017422</v>
      </c>
      <c r="K109" s="334">
        <f>K102+K66</f>
        <v>0</v>
      </c>
      <c r="L109" s="335">
        <f>L102+L66+L104</f>
        <v>754.89041434104877</v>
      </c>
      <c r="M109" s="336"/>
      <c r="N109" s="337">
        <f>N106</f>
        <v>0</v>
      </c>
      <c r="O109" s="337">
        <f>O106</f>
        <v>0</v>
      </c>
      <c r="P109" s="338">
        <f>P106</f>
        <v>0</v>
      </c>
      <c r="Q109" s="339"/>
      <c r="R109" s="340">
        <f>R106</f>
        <v>0</v>
      </c>
    </row>
    <row r="110" spans="1:19" s="3" customFormat="1" ht="18" thickBot="1" x14ac:dyDescent="0.35">
      <c r="A110" s="341"/>
      <c r="B110" s="342"/>
      <c r="C110" s="342"/>
      <c r="D110" s="342"/>
      <c r="E110" s="342"/>
      <c r="F110" s="342"/>
      <c r="G110" s="343"/>
      <c r="H110" s="343"/>
      <c r="I110" s="343"/>
      <c r="J110" s="343"/>
      <c r="K110" s="344"/>
      <c r="L110" s="343"/>
      <c r="M110" s="345"/>
      <c r="N110" s="346"/>
      <c r="O110" s="346"/>
      <c r="P110" s="347"/>
      <c r="Q110" s="348"/>
      <c r="R110" s="349"/>
    </row>
    <row r="111" spans="1:19" s="4" customFormat="1" ht="18" thickBot="1" x14ac:dyDescent="0.35">
      <c r="A111" s="170" t="s">
        <v>426</v>
      </c>
      <c r="B111" s="177"/>
      <c r="C111" s="177"/>
      <c r="D111" s="177"/>
      <c r="E111" s="177"/>
      <c r="F111" s="177"/>
      <c r="G111" s="350">
        <v>0</v>
      </c>
      <c r="H111" s="351">
        <v>0</v>
      </c>
      <c r="I111" s="351">
        <v>0</v>
      </c>
      <c r="J111" s="351">
        <v>0</v>
      </c>
      <c r="K111" s="352">
        <v>0</v>
      </c>
      <c r="L111" s="353">
        <v>0</v>
      </c>
      <c r="M111" s="11"/>
      <c r="N111" s="172">
        <v>0</v>
      </c>
      <c r="O111" s="173">
        <v>0</v>
      </c>
      <c r="P111" s="174">
        <v>0</v>
      </c>
      <c r="Q111" s="11"/>
      <c r="R111" s="178">
        <v>2597.0219999999999</v>
      </c>
      <c r="S111" s="3"/>
    </row>
    <row r="112" spans="1:19" s="4" customFormat="1" ht="18" thickBot="1" x14ac:dyDescent="0.35">
      <c r="A112" s="170" t="s">
        <v>427</v>
      </c>
      <c r="B112" s="177"/>
      <c r="C112" s="177"/>
      <c r="D112" s="177"/>
      <c r="E112" s="177"/>
      <c r="F112" s="177"/>
      <c r="G112" s="350">
        <v>6810.0550000000003</v>
      </c>
      <c r="H112" s="351">
        <v>2519.768</v>
      </c>
      <c r="I112" s="351">
        <v>-347.88799999999998</v>
      </c>
      <c r="J112" s="351">
        <v>-10.731999999999999</v>
      </c>
      <c r="K112" s="352">
        <v>0</v>
      </c>
      <c r="L112" s="353">
        <v>2161.1480000000001</v>
      </c>
      <c r="M112" s="11"/>
      <c r="N112" s="172">
        <v>0</v>
      </c>
      <c r="O112" s="173">
        <v>0</v>
      </c>
      <c r="P112" s="174">
        <v>0</v>
      </c>
      <c r="Q112" s="11"/>
      <c r="R112" s="178">
        <v>2597.0219999999999</v>
      </c>
      <c r="S112" s="3"/>
    </row>
    <row r="113" spans="1:19" s="4" customFormat="1" ht="18" thickBot="1" x14ac:dyDescent="0.35">
      <c r="A113" s="170" t="s">
        <v>428</v>
      </c>
      <c r="B113" s="177"/>
      <c r="C113" s="177"/>
      <c r="D113" s="177"/>
      <c r="E113" s="177"/>
      <c r="F113" s="177"/>
      <c r="G113" s="350">
        <f t="shared" ref="G113:P113" si="13">G109</f>
        <v>12058.6056521377</v>
      </c>
      <c r="H113" s="351">
        <f t="shared" si="13"/>
        <v>1125.8557170965314</v>
      </c>
      <c r="I113" s="351">
        <f t="shared" si="13"/>
        <v>-423.77466745972856</v>
      </c>
      <c r="J113" s="351">
        <f t="shared" si="13"/>
        <v>-27.516910049017422</v>
      </c>
      <c r="K113" s="352">
        <f t="shared" si="13"/>
        <v>0</v>
      </c>
      <c r="L113" s="353">
        <f t="shared" si="13"/>
        <v>754.89041434104877</v>
      </c>
      <c r="M113" s="11">
        <f t="shared" si="13"/>
        <v>0</v>
      </c>
      <c r="N113" s="172">
        <f t="shared" si="13"/>
        <v>0</v>
      </c>
      <c r="O113" s="173">
        <f t="shared" si="13"/>
        <v>0</v>
      </c>
      <c r="P113" s="174">
        <f t="shared" si="13"/>
        <v>0</v>
      </c>
      <c r="Q113" s="11"/>
      <c r="R113" s="178">
        <f>R109</f>
        <v>0</v>
      </c>
      <c r="S113" s="3"/>
    </row>
    <row r="114" spans="1:19" s="4" customFormat="1" ht="18" thickBot="1" x14ac:dyDescent="0.35">
      <c r="A114" s="170" t="s">
        <v>429</v>
      </c>
      <c r="B114" s="177"/>
      <c r="C114" s="177"/>
      <c r="D114" s="177"/>
      <c r="E114" s="177"/>
      <c r="F114" s="177"/>
      <c r="G114" s="350">
        <v>0</v>
      </c>
      <c r="H114" s="351">
        <v>0</v>
      </c>
      <c r="I114" s="351">
        <v>0</v>
      </c>
      <c r="J114" s="351">
        <v>0</v>
      </c>
      <c r="K114" s="351">
        <v>0</v>
      </c>
      <c r="L114" s="353">
        <v>0</v>
      </c>
      <c r="M114" s="11"/>
      <c r="N114" s="172">
        <v>0</v>
      </c>
      <c r="O114" s="173">
        <v>0</v>
      </c>
      <c r="P114" s="174">
        <v>0</v>
      </c>
      <c r="Q114" s="11"/>
      <c r="R114" s="178">
        <v>0</v>
      </c>
      <c r="S114" s="3"/>
    </row>
    <row r="115" spans="1:19" s="4" customFormat="1" ht="18" thickBot="1" x14ac:dyDescent="0.35">
      <c r="A115" s="170" t="s">
        <v>430</v>
      </c>
      <c r="B115" s="177"/>
      <c r="C115" s="177"/>
      <c r="D115" s="177"/>
      <c r="E115" s="177"/>
      <c r="F115" s="177"/>
      <c r="G115" s="350">
        <f t="shared" ref="G115:L115" si="14">SUM(G111:G114)</f>
        <v>18868.6606521377</v>
      </c>
      <c r="H115" s="351">
        <f t="shared" si="14"/>
        <v>3645.6237170965314</v>
      </c>
      <c r="I115" s="351">
        <f t="shared" si="14"/>
        <v>-771.66266745972848</v>
      </c>
      <c r="J115" s="351">
        <f t="shared" si="14"/>
        <v>-38.248910049017425</v>
      </c>
      <c r="K115" s="351">
        <f t="shared" si="14"/>
        <v>0</v>
      </c>
      <c r="L115" s="353">
        <f t="shared" si="14"/>
        <v>2916.0384143410488</v>
      </c>
      <c r="M115" s="11">
        <f>SUM(M109:M114)</f>
        <v>0</v>
      </c>
      <c r="N115" s="172">
        <f>SUM(N109:N114)</f>
        <v>0</v>
      </c>
      <c r="O115" s="173">
        <f>SUM(O109:O114)</f>
        <v>0</v>
      </c>
      <c r="P115" s="174">
        <f>SUM(P109:P114)</f>
        <v>0</v>
      </c>
      <c r="Q115" s="11"/>
      <c r="R115" s="178">
        <f>SUM(R109:R114)</f>
        <v>5194.0439999999999</v>
      </c>
      <c r="S115" s="3"/>
    </row>
    <row r="116" spans="1:19" x14ac:dyDescent="0.25">
      <c r="M116" s="261"/>
    </row>
    <row r="117" spans="1:19" x14ac:dyDescent="0.25">
      <c r="M117" s="261"/>
    </row>
    <row r="118" spans="1:19" x14ac:dyDescent="0.25">
      <c r="M118" s="261"/>
    </row>
    <row r="119" spans="1:19" x14ac:dyDescent="0.25">
      <c r="G119"/>
      <c r="M119" s="261"/>
      <c r="N119" s="261"/>
      <c r="O119" s="261"/>
      <c r="P119" s="261"/>
      <c r="Q119" s="261"/>
      <c r="R119" s="261"/>
    </row>
    <row r="120" spans="1:19" x14ac:dyDescent="0.25">
      <c r="G120"/>
      <c r="M120" s="261"/>
      <c r="N120" s="261"/>
      <c r="O120" s="261"/>
      <c r="P120" s="261"/>
      <c r="Q120" s="261"/>
      <c r="R120" s="261"/>
    </row>
    <row r="121" spans="1:19" ht="28.2" x14ac:dyDescent="0.5">
      <c r="G121" s="5"/>
      <c r="H121" s="5" t="s">
        <v>521</v>
      </c>
      <c r="J121" s="4"/>
      <c r="K121" s="7"/>
      <c r="L121" s="7"/>
      <c r="M121" s="261"/>
      <c r="N121" s="261"/>
      <c r="O121" s="261"/>
      <c r="P121" s="261"/>
      <c r="Q121" s="261"/>
      <c r="R121" s="261"/>
    </row>
    <row r="122" spans="1:19" ht="28.2" x14ac:dyDescent="0.5">
      <c r="H122" s="5" t="s">
        <v>522</v>
      </c>
      <c r="J122" s="4"/>
      <c r="K122" s="7"/>
      <c r="L122" s="7"/>
      <c r="M122" s="261"/>
      <c r="N122" s="261"/>
      <c r="O122" s="261"/>
      <c r="P122" s="261"/>
      <c r="Q122" s="261"/>
      <c r="R122" s="261"/>
    </row>
    <row r="123" spans="1:19" x14ac:dyDescent="0.25">
      <c r="G123"/>
      <c r="M123" s="261"/>
      <c r="N123" s="261"/>
      <c r="O123" s="261"/>
      <c r="P123" s="261"/>
      <c r="Q123" s="261"/>
      <c r="R123" s="261"/>
    </row>
    <row r="124" spans="1:19" x14ac:dyDescent="0.25">
      <c r="G124"/>
      <c r="M124" s="261"/>
      <c r="N124" s="261"/>
      <c r="O124" s="261"/>
      <c r="P124" s="261"/>
      <c r="Q124" s="261"/>
      <c r="R124" s="261"/>
    </row>
    <row r="125" spans="1:19" x14ac:dyDescent="0.25">
      <c r="G125"/>
      <c r="M125" s="261"/>
      <c r="N125" s="261"/>
      <c r="O125" s="261"/>
      <c r="P125" s="261"/>
      <c r="Q125" s="261"/>
      <c r="R125" s="261"/>
    </row>
    <row r="126" spans="1:19" x14ac:dyDescent="0.25">
      <c r="G126"/>
      <c r="M126" s="261"/>
      <c r="N126" s="261"/>
      <c r="O126" s="261"/>
      <c r="P126" s="261"/>
      <c r="Q126" s="261"/>
      <c r="R126" s="261"/>
    </row>
    <row r="127" spans="1:19" x14ac:dyDescent="0.25">
      <c r="A127" s="544" t="str">
        <f>A9</f>
        <v>As of 09/28/01</v>
      </c>
      <c r="B127" s="544"/>
      <c r="C127" s="544"/>
      <c r="D127" s="544"/>
      <c r="E127" s="544"/>
      <c r="F127" s="544"/>
      <c r="G127" s="544"/>
      <c r="H127" s="544"/>
      <c r="I127" s="544"/>
      <c r="J127" s="544"/>
      <c r="K127" s="544"/>
      <c r="L127" s="544"/>
      <c r="M127" s="544"/>
      <c r="N127" s="544"/>
      <c r="O127" s="544"/>
      <c r="P127" s="544"/>
      <c r="Q127" s="544"/>
      <c r="R127" s="544"/>
    </row>
    <row r="128" spans="1:19" x14ac:dyDescent="0.25">
      <c r="A128" s="242"/>
      <c r="B128" s="242"/>
      <c r="C128" s="242"/>
      <c r="D128" s="242"/>
      <c r="E128" s="242"/>
      <c r="F128" s="242"/>
      <c r="G128" s="242"/>
      <c r="H128" s="242"/>
      <c r="I128" s="242"/>
      <c r="J128" s="242"/>
      <c r="K128" s="242"/>
      <c r="L128" s="243"/>
      <c r="M128" s="3"/>
      <c r="N128" s="243"/>
      <c r="O128" s="243"/>
      <c r="P128" s="243"/>
      <c r="Q128" s="243"/>
      <c r="R128" s="243"/>
    </row>
    <row r="129" spans="1:18" x14ac:dyDescent="0.25">
      <c r="G129"/>
      <c r="M129" s="261"/>
      <c r="N129" s="261"/>
      <c r="O129" s="261"/>
      <c r="P129" s="261"/>
      <c r="Q129" s="261"/>
      <c r="R129" s="261"/>
    </row>
    <row r="130" spans="1:18" ht="13.8" thickBot="1" x14ac:dyDescent="0.3">
      <c r="G130"/>
      <c r="M130" s="261"/>
      <c r="N130" s="261"/>
      <c r="O130" s="261"/>
      <c r="P130" s="261"/>
      <c r="Q130" s="261"/>
      <c r="R130" s="261"/>
    </row>
    <row r="131" spans="1:18" ht="16.2" thickBot="1" x14ac:dyDescent="0.35">
      <c r="A131" s="244"/>
      <c r="B131" s="245"/>
      <c r="C131" s="245"/>
      <c r="D131" s="245"/>
      <c r="E131" s="245"/>
      <c r="F131" s="245"/>
      <c r="G131" s="545" t="s">
        <v>3</v>
      </c>
      <c r="H131" s="546"/>
      <c r="I131" s="546"/>
      <c r="J131" s="546"/>
      <c r="K131" s="546"/>
      <c r="L131" s="547"/>
      <c r="M131" s="354"/>
      <c r="N131" s="548" t="s">
        <v>473</v>
      </c>
      <c r="O131" s="548"/>
      <c r="P131" s="548"/>
      <c r="Q131" s="355"/>
      <c r="R131" s="254"/>
    </row>
    <row r="132" spans="1:18" ht="28.5" customHeight="1" x14ac:dyDescent="0.25">
      <c r="A132" s="16" t="s">
        <v>2</v>
      </c>
      <c r="B132" s="250" t="s">
        <v>474</v>
      </c>
      <c r="C132" s="250" t="s">
        <v>475</v>
      </c>
      <c r="D132" s="250" t="s">
        <v>476</v>
      </c>
      <c r="E132" s="250" t="s">
        <v>477</v>
      </c>
      <c r="F132" s="250" t="s">
        <v>5</v>
      </c>
      <c r="G132" s="532" t="s">
        <v>478</v>
      </c>
      <c r="H132" s="540" t="s">
        <v>479</v>
      </c>
      <c r="I132" s="533" t="s">
        <v>7</v>
      </c>
      <c r="J132" s="533" t="s">
        <v>523</v>
      </c>
      <c r="K132" s="542" t="s">
        <v>9</v>
      </c>
      <c r="L132" s="532" t="s">
        <v>536</v>
      </c>
      <c r="M132" s="356"/>
      <c r="N132" s="357" t="s">
        <v>481</v>
      </c>
      <c r="O132" s="357" t="s">
        <v>482</v>
      </c>
      <c r="P132" s="357" t="s">
        <v>483</v>
      </c>
      <c r="Q132" s="358"/>
      <c r="R132" s="359" t="s">
        <v>484</v>
      </c>
    </row>
    <row r="133" spans="1:18" ht="22.5" customHeight="1" thickBot="1" x14ac:dyDescent="0.35">
      <c r="A133" s="19" t="s">
        <v>524</v>
      </c>
      <c r="B133" s="255"/>
      <c r="C133" s="255"/>
      <c r="D133" s="255"/>
      <c r="E133" s="255"/>
      <c r="F133" s="255"/>
      <c r="G133" s="536"/>
      <c r="H133" s="541"/>
      <c r="I133" s="536"/>
      <c r="J133" s="536"/>
      <c r="K133" s="543"/>
      <c r="L133" s="536"/>
      <c r="M133" s="360"/>
      <c r="N133" s="361" t="s">
        <v>486</v>
      </c>
      <c r="O133" s="362"/>
      <c r="P133" s="361" t="s">
        <v>487</v>
      </c>
      <c r="Q133" s="358"/>
      <c r="R133" s="363" t="s">
        <v>488</v>
      </c>
    </row>
    <row r="134" spans="1:18" x14ac:dyDescent="0.25">
      <c r="A134" s="279"/>
      <c r="B134" s="261"/>
      <c r="C134" s="261"/>
      <c r="D134" s="261"/>
      <c r="E134" s="261"/>
      <c r="F134" s="261"/>
      <c r="G134" s="289"/>
      <c r="H134" s="364"/>
      <c r="I134" s="364"/>
      <c r="J134" s="364"/>
      <c r="K134" s="364"/>
      <c r="L134" s="365"/>
      <c r="M134" s="366"/>
      <c r="N134" s="261"/>
      <c r="O134" s="261"/>
      <c r="P134" s="360"/>
      <c r="Q134" s="261"/>
      <c r="R134" s="265"/>
    </row>
    <row r="135" spans="1:18" ht="15.6" x14ac:dyDescent="0.3">
      <c r="A135" s="367" t="s">
        <v>525</v>
      </c>
      <c r="B135" s="267"/>
      <c r="C135" s="267"/>
      <c r="D135" s="267"/>
      <c r="E135" s="267"/>
      <c r="F135" s="267"/>
      <c r="G135" s="368"/>
      <c r="H135" s="369"/>
      <c r="I135" s="369"/>
      <c r="J135" s="369"/>
      <c r="K135" s="369"/>
      <c r="L135" s="370"/>
      <c r="M135" s="371"/>
      <c r="N135" s="267"/>
      <c r="O135" s="267"/>
      <c r="P135" s="372"/>
      <c r="Q135" s="267"/>
      <c r="R135" s="106"/>
    </row>
    <row r="136" spans="1:18" ht="15.6" x14ac:dyDescent="0.3">
      <c r="A136" s="367"/>
      <c r="B136" s="267"/>
      <c r="C136" s="267"/>
      <c r="D136" s="267"/>
      <c r="E136" s="267"/>
      <c r="F136" s="267"/>
      <c r="G136" s="368"/>
      <c r="H136" s="369"/>
      <c r="I136" s="369"/>
      <c r="J136" s="369"/>
      <c r="K136" s="369"/>
      <c r="L136" s="370"/>
      <c r="M136" s="373"/>
      <c r="N136" s="267"/>
      <c r="O136" s="267"/>
      <c r="P136" s="372"/>
      <c r="Q136" s="267"/>
      <c r="R136" s="106"/>
    </row>
    <row r="137" spans="1:18" ht="15.6" x14ac:dyDescent="0.25">
      <c r="A137" s="374" t="s">
        <v>660</v>
      </c>
      <c r="B137" s="267"/>
      <c r="C137" s="267"/>
      <c r="D137" s="267"/>
      <c r="E137" s="267"/>
      <c r="F137" s="267"/>
      <c r="G137" s="375">
        <v>63689.83929207542</v>
      </c>
      <c r="H137" s="45">
        <v>17831.172354680079</v>
      </c>
      <c r="I137" s="45">
        <v>-44.824804636131603</v>
      </c>
      <c r="J137" s="45">
        <v>-59.5995500439465</v>
      </c>
      <c r="K137" s="45">
        <v>0</v>
      </c>
      <c r="L137" s="55">
        <f>SUM(H137:K137)</f>
        <v>17726.748</v>
      </c>
      <c r="M137" s="373"/>
      <c r="N137" s="376">
        <v>0</v>
      </c>
      <c r="O137" s="376">
        <v>0</v>
      </c>
      <c r="P137" s="376">
        <f>SUM(N137:O137)</f>
        <v>0</v>
      </c>
      <c r="Q137" s="377"/>
      <c r="R137" s="378">
        <f>L137+P137</f>
        <v>17726.748</v>
      </c>
    </row>
    <row r="138" spans="1:18" ht="15.6" x14ac:dyDescent="0.25">
      <c r="A138" s="374" t="s">
        <v>661</v>
      </c>
      <c r="B138" s="267"/>
      <c r="C138" s="267"/>
      <c r="D138" s="267"/>
      <c r="E138" s="267"/>
      <c r="F138" s="267"/>
      <c r="G138" s="375">
        <v>25745.674276700018</v>
      </c>
      <c r="H138" s="45">
        <v>2362.0769740000001</v>
      </c>
      <c r="I138" s="45">
        <v>0</v>
      </c>
      <c r="J138" s="45">
        <v>0</v>
      </c>
      <c r="K138" s="45">
        <v>0</v>
      </c>
      <c r="L138" s="55">
        <f>SUM(H138:K138)</f>
        <v>2362.0769740000001</v>
      </c>
      <c r="M138" s="373"/>
      <c r="N138" s="376"/>
      <c r="O138" s="376"/>
      <c r="P138" s="376"/>
      <c r="Q138" s="377"/>
      <c r="R138" s="378"/>
    </row>
    <row r="139" spans="1:18" ht="15.6" x14ac:dyDescent="0.25">
      <c r="A139" s="374" t="s">
        <v>526</v>
      </c>
      <c r="B139" s="267"/>
      <c r="C139" s="267"/>
      <c r="D139" s="267"/>
      <c r="E139" s="267"/>
      <c r="F139" s="267"/>
      <c r="G139" s="375">
        <v>7835.0639063906392</v>
      </c>
      <c r="H139" s="45">
        <v>-18</v>
      </c>
      <c r="I139" s="45">
        <v>0</v>
      </c>
      <c r="J139" s="45">
        <v>0</v>
      </c>
      <c r="K139" s="45">
        <v>0</v>
      </c>
      <c r="L139" s="55">
        <f>SUM(H139:K139)</f>
        <v>-18</v>
      </c>
      <c r="M139" s="373"/>
      <c r="N139" s="376"/>
      <c r="O139" s="376"/>
      <c r="P139" s="376"/>
      <c r="Q139" s="377"/>
      <c r="R139" s="378">
        <f>L139+P139</f>
        <v>-18</v>
      </c>
    </row>
    <row r="140" spans="1:18" ht="16.2" thickBot="1" x14ac:dyDescent="0.3">
      <c r="A140" s="374" t="s">
        <v>527</v>
      </c>
      <c r="B140" s="379"/>
      <c r="C140" s="379"/>
      <c r="D140" s="379"/>
      <c r="E140" s="379"/>
      <c r="F140" s="379"/>
      <c r="G140" s="380">
        <v>15330</v>
      </c>
      <c r="H140" s="76">
        <v>1512.9503021556779</v>
      </c>
      <c r="I140" s="77">
        <v>0</v>
      </c>
      <c r="J140" s="77">
        <v>-180</v>
      </c>
      <c r="K140" s="77">
        <v>0</v>
      </c>
      <c r="L140" s="78">
        <f>SUM(H140:K140)</f>
        <v>1332.9503021556779</v>
      </c>
      <c r="M140" s="373"/>
      <c r="N140" s="376">
        <v>0</v>
      </c>
      <c r="O140" s="376">
        <v>0</v>
      </c>
      <c r="P140" s="376">
        <f>SUM(N140:O140)</f>
        <v>0</v>
      </c>
      <c r="Q140" s="377"/>
      <c r="R140" s="378">
        <f>L140+P140</f>
        <v>1332.9503021556779</v>
      </c>
    </row>
    <row r="141" spans="1:18" ht="15.6" x14ac:dyDescent="0.3">
      <c r="A141" s="381" t="s">
        <v>528</v>
      </c>
      <c r="B141" s="267"/>
      <c r="C141" s="267"/>
      <c r="D141" s="267"/>
      <c r="E141" s="267"/>
      <c r="F141" s="267"/>
      <c r="G141" s="375">
        <f>SUM(G137:G140)</f>
        <v>112600.57747516608</v>
      </c>
      <c r="H141" s="382">
        <f>SUM(H137:H140)</f>
        <v>21688.199630835756</v>
      </c>
      <c r="I141" s="382">
        <f>SUM(I137:I140)</f>
        <v>-44.824804636131603</v>
      </c>
      <c r="J141" s="382">
        <f>SUM(J137:J140)</f>
        <v>-239.59955004394649</v>
      </c>
      <c r="K141" s="382">
        <v>0</v>
      </c>
      <c r="L141" s="383">
        <f>SUM(L137:L140)</f>
        <v>21403.775276155677</v>
      </c>
      <c r="M141" s="384"/>
      <c r="N141" s="376">
        <f>SUM(N137:N140)</f>
        <v>0</v>
      </c>
      <c r="O141" s="376">
        <f>SUM(O137:O140)</f>
        <v>0</v>
      </c>
      <c r="P141" s="376">
        <f>SUM(P137:P140)</f>
        <v>0</v>
      </c>
      <c r="Q141" s="385"/>
      <c r="R141" s="378">
        <f>SUM(R137:R140)</f>
        <v>19041.698302155677</v>
      </c>
    </row>
    <row r="142" spans="1:18" ht="15.6" x14ac:dyDescent="0.3">
      <c r="A142" s="374"/>
      <c r="B142" s="267"/>
      <c r="C142" s="267"/>
      <c r="D142" s="267"/>
      <c r="E142" s="267"/>
      <c r="F142" s="267"/>
      <c r="G142" s="386"/>
      <c r="H142" s="45"/>
      <c r="I142" s="45"/>
      <c r="J142" s="387"/>
      <c r="K142" s="387"/>
      <c r="L142" s="388"/>
      <c r="M142" s="373"/>
      <c r="N142" s="385"/>
      <c r="O142" s="385"/>
      <c r="P142" s="389"/>
      <c r="Q142" s="385"/>
      <c r="R142" s="390"/>
    </row>
    <row r="143" spans="1:18" ht="15.6" x14ac:dyDescent="0.3">
      <c r="A143" s="367" t="s">
        <v>529</v>
      </c>
      <c r="B143" s="267"/>
      <c r="C143" s="267"/>
      <c r="D143" s="267"/>
      <c r="E143" s="267"/>
      <c r="F143" s="267"/>
      <c r="G143" s="386"/>
      <c r="H143" s="45"/>
      <c r="I143" s="45"/>
      <c r="J143" s="387"/>
      <c r="K143" s="387"/>
      <c r="L143" s="388"/>
      <c r="M143" s="373"/>
      <c r="N143" s="385"/>
      <c r="O143" s="385"/>
      <c r="P143" s="389"/>
      <c r="Q143" s="385"/>
      <c r="R143" s="390"/>
    </row>
    <row r="144" spans="1:18" ht="15.6" x14ac:dyDescent="0.3">
      <c r="A144" s="374"/>
      <c r="B144" s="267"/>
      <c r="C144" s="267"/>
      <c r="D144" s="267"/>
      <c r="E144" s="267"/>
      <c r="F144" s="267"/>
      <c r="G144" s="386"/>
      <c r="H144" s="45"/>
      <c r="I144" s="45"/>
      <c r="J144" s="387"/>
      <c r="K144" s="387"/>
      <c r="L144" s="388"/>
      <c r="M144" s="373"/>
      <c r="N144" s="385"/>
      <c r="O144" s="385"/>
      <c r="P144" s="389"/>
      <c r="Q144" s="385"/>
      <c r="R144" s="390"/>
    </row>
    <row r="145" spans="1:19" ht="15.6" x14ac:dyDescent="0.25">
      <c r="A145" s="374" t="s">
        <v>530</v>
      </c>
      <c r="B145" s="267"/>
      <c r="C145" s="267"/>
      <c r="D145" s="267"/>
      <c r="E145" s="267"/>
      <c r="F145" s="267"/>
      <c r="G145" s="375">
        <v>266.45874107999998</v>
      </c>
      <c r="H145" s="45">
        <v>8.8507159999999985</v>
      </c>
      <c r="I145" s="45">
        <v>0</v>
      </c>
      <c r="J145" s="45">
        <v>0</v>
      </c>
      <c r="K145" s="45">
        <v>0</v>
      </c>
      <c r="L145" s="55">
        <f>SUM(H145:K145)</f>
        <v>8.8507159999999985</v>
      </c>
      <c r="M145" s="373"/>
      <c r="N145" s="376">
        <v>0</v>
      </c>
      <c r="O145" s="376">
        <v>0</v>
      </c>
      <c r="P145" s="376">
        <f>SUM(N145:O145)</f>
        <v>0</v>
      </c>
      <c r="Q145" s="385"/>
      <c r="R145" s="378">
        <f>L145+P145</f>
        <v>8.8507159999999985</v>
      </c>
    </row>
    <row r="146" spans="1:19" ht="15.6" x14ac:dyDescent="0.25">
      <c r="A146" s="374" t="s">
        <v>531</v>
      </c>
      <c r="B146" s="267"/>
      <c r="C146" s="267"/>
      <c r="D146" s="267"/>
      <c r="E146" s="267"/>
      <c r="F146" s="267"/>
      <c r="G146" s="375">
        <v>489.73753192000004</v>
      </c>
      <c r="H146" s="45">
        <v>77.072310000000002</v>
      </c>
      <c r="I146" s="45">
        <v>0</v>
      </c>
      <c r="J146" s="45">
        <v>0</v>
      </c>
      <c r="K146" s="45">
        <v>0</v>
      </c>
      <c r="L146" s="55">
        <f>SUM(H146:K146)</f>
        <v>77.072310000000002</v>
      </c>
      <c r="M146" s="373"/>
      <c r="N146" s="376"/>
      <c r="O146" s="376"/>
      <c r="P146" s="376"/>
      <c r="Q146" s="385"/>
      <c r="R146" s="378">
        <f>L146+P146</f>
        <v>77.072310000000002</v>
      </c>
    </row>
    <row r="147" spans="1:19" ht="15.6" x14ac:dyDescent="0.25">
      <c r="A147" s="374" t="s">
        <v>594</v>
      </c>
      <c r="B147" s="267"/>
      <c r="C147" s="267"/>
      <c r="D147" s="267"/>
      <c r="E147" s="267"/>
      <c r="F147" s="267"/>
      <c r="G147" s="375">
        <v>37.799999999999997</v>
      </c>
      <c r="H147" s="45">
        <v>1.6519999999999999</v>
      </c>
      <c r="I147" s="45">
        <v>0</v>
      </c>
      <c r="J147" s="45">
        <v>0</v>
      </c>
      <c r="K147" s="45">
        <v>0</v>
      </c>
      <c r="L147" s="55">
        <f t="shared" ref="L147:L152" si="15">SUM(H147:K147)</f>
        <v>1.6519999999999999</v>
      </c>
      <c r="M147" s="373"/>
      <c r="N147" s="376"/>
      <c r="O147" s="376"/>
      <c r="P147" s="376"/>
      <c r="Q147" s="385"/>
      <c r="R147" s="378"/>
    </row>
    <row r="148" spans="1:19" ht="15.6" x14ac:dyDescent="0.25">
      <c r="A148" s="374" t="s">
        <v>595</v>
      </c>
      <c r="B148" s="267"/>
      <c r="C148" s="267"/>
      <c r="D148" s="267"/>
      <c r="E148" s="267"/>
      <c r="F148" s="267"/>
      <c r="G148" s="375">
        <v>6300</v>
      </c>
      <c r="H148" s="45">
        <v>28</v>
      </c>
      <c r="I148" s="45">
        <v>0</v>
      </c>
      <c r="J148" s="45">
        <v>0</v>
      </c>
      <c r="K148" s="45">
        <v>0</v>
      </c>
      <c r="L148" s="55">
        <f t="shared" si="15"/>
        <v>28</v>
      </c>
      <c r="M148" s="373"/>
      <c r="N148" s="376"/>
      <c r="O148" s="376"/>
      <c r="P148" s="376"/>
      <c r="Q148" s="385"/>
      <c r="R148" s="378"/>
    </row>
    <row r="149" spans="1:19" ht="15.6" x14ac:dyDescent="0.25">
      <c r="A149" s="374" t="s">
        <v>596</v>
      </c>
      <c r="B149" s="267"/>
      <c r="C149" s="267"/>
      <c r="D149" s="267"/>
      <c r="E149" s="267"/>
      <c r="F149" s="267"/>
      <c r="G149" s="375">
        <v>2100</v>
      </c>
      <c r="H149" s="45">
        <v>42</v>
      </c>
      <c r="I149" s="45">
        <v>0</v>
      </c>
      <c r="J149" s="45">
        <v>0</v>
      </c>
      <c r="K149" s="45">
        <v>0</v>
      </c>
      <c r="L149" s="55">
        <f t="shared" si="15"/>
        <v>42</v>
      </c>
      <c r="M149" s="373"/>
      <c r="N149" s="376"/>
      <c r="O149" s="376"/>
      <c r="P149" s="376"/>
      <c r="Q149" s="385"/>
      <c r="R149" s="378"/>
    </row>
    <row r="150" spans="1:19" ht="15.6" x14ac:dyDescent="0.25">
      <c r="A150" s="374" t="s">
        <v>597</v>
      </c>
      <c r="B150" s="267"/>
      <c r="C150" s="267"/>
      <c r="D150" s="267"/>
      <c r="E150" s="267"/>
      <c r="F150" s="267"/>
      <c r="G150" s="375">
        <v>310.8</v>
      </c>
      <c r="H150" s="45">
        <v>2.8</v>
      </c>
      <c r="I150" s="45">
        <v>0</v>
      </c>
      <c r="J150" s="45">
        <v>0</v>
      </c>
      <c r="K150" s="45">
        <v>0</v>
      </c>
      <c r="L150" s="55">
        <f t="shared" si="15"/>
        <v>2.8</v>
      </c>
      <c r="M150" s="373"/>
      <c r="N150" s="376"/>
      <c r="O150" s="376"/>
      <c r="P150" s="376"/>
      <c r="Q150" s="385"/>
      <c r="R150" s="378"/>
    </row>
    <row r="151" spans="1:19" ht="15.6" x14ac:dyDescent="0.25">
      <c r="A151" s="374" t="s">
        <v>598</v>
      </c>
      <c r="B151" s="267"/>
      <c r="C151" s="267"/>
      <c r="D151" s="267"/>
      <c r="E151" s="267"/>
      <c r="F151" s="267"/>
      <c r="G151" s="375">
        <v>180.6</v>
      </c>
      <c r="H151" s="45">
        <v>2.8</v>
      </c>
      <c r="I151" s="45">
        <v>0</v>
      </c>
      <c r="J151" s="45">
        <v>0</v>
      </c>
      <c r="K151" s="45">
        <v>0</v>
      </c>
      <c r="L151" s="55">
        <f t="shared" si="15"/>
        <v>2.8</v>
      </c>
      <c r="M151" s="373"/>
      <c r="N151" s="376"/>
      <c r="O151" s="376"/>
      <c r="P151" s="376"/>
      <c r="Q151" s="385"/>
      <c r="R151" s="378"/>
    </row>
    <row r="152" spans="1:19" ht="15.6" x14ac:dyDescent="0.25">
      <c r="A152" s="374" t="s">
        <v>599</v>
      </c>
      <c r="B152" s="267"/>
      <c r="C152" s="267"/>
      <c r="D152" s="267"/>
      <c r="E152" s="267"/>
      <c r="F152" s="267"/>
      <c r="G152" s="375">
        <v>21300</v>
      </c>
      <c r="H152" s="45">
        <v>772</v>
      </c>
      <c r="I152" s="45">
        <v>-72</v>
      </c>
      <c r="J152" s="45">
        <v>0</v>
      </c>
      <c r="K152" s="45">
        <v>0</v>
      </c>
      <c r="L152" s="55">
        <f t="shared" si="15"/>
        <v>700</v>
      </c>
      <c r="M152" s="373"/>
      <c r="N152" s="376"/>
      <c r="O152" s="376"/>
      <c r="P152" s="376"/>
      <c r="Q152" s="385"/>
      <c r="R152" s="378"/>
    </row>
    <row r="153" spans="1:19" ht="16.2" thickBot="1" x14ac:dyDescent="0.3">
      <c r="A153" s="374" t="s">
        <v>532</v>
      </c>
      <c r="B153" s="379"/>
      <c r="C153" s="379"/>
      <c r="D153" s="379"/>
      <c r="E153" s="379"/>
      <c r="F153" s="379"/>
      <c r="G153" s="380">
        <v>100000</v>
      </c>
      <c r="H153" s="76">
        <v>170</v>
      </c>
      <c r="I153" s="77">
        <v>0</v>
      </c>
      <c r="J153" s="77">
        <v>0</v>
      </c>
      <c r="K153" s="77">
        <v>0</v>
      </c>
      <c r="L153" s="78">
        <f>SUM(H153:K153)</f>
        <v>170</v>
      </c>
      <c r="M153" s="373"/>
      <c r="N153" s="376">
        <v>0</v>
      </c>
      <c r="O153" s="376">
        <v>0</v>
      </c>
      <c r="P153" s="376">
        <f>SUM(N153:O153)</f>
        <v>0</v>
      </c>
      <c r="Q153" s="385"/>
      <c r="R153" s="378">
        <f>L153+P153</f>
        <v>170</v>
      </c>
    </row>
    <row r="154" spans="1:19" ht="15.6" x14ac:dyDescent="0.3">
      <c r="A154" s="381"/>
      <c r="B154" s="267"/>
      <c r="C154" s="267"/>
      <c r="D154" s="267"/>
      <c r="E154" s="267"/>
      <c r="F154" s="267"/>
      <c r="G154" s="375">
        <f t="shared" ref="G154:L154" si="16">SUM(G145:G153)</f>
        <v>130985.39627299999</v>
      </c>
      <c r="H154" s="382">
        <f t="shared" si="16"/>
        <v>1105.1750259999999</v>
      </c>
      <c r="I154" s="382">
        <f t="shared" si="16"/>
        <v>-72</v>
      </c>
      <c r="J154" s="382">
        <f t="shared" si="16"/>
        <v>0</v>
      </c>
      <c r="K154" s="382">
        <f t="shared" si="16"/>
        <v>0</v>
      </c>
      <c r="L154" s="383">
        <f t="shared" si="16"/>
        <v>1033.1750259999999</v>
      </c>
      <c r="M154" s="384"/>
      <c r="N154" s="376">
        <f>SUM(N140:N153)</f>
        <v>0</v>
      </c>
      <c r="O154" s="376">
        <f>SUM(O140:O153)</f>
        <v>0</v>
      </c>
      <c r="P154" s="376">
        <f>SUM(P140:P153)</f>
        <v>0</v>
      </c>
      <c r="Q154" s="385"/>
      <c r="R154" s="378">
        <f>SUM(R145:R153)</f>
        <v>255.92302599999999</v>
      </c>
    </row>
    <row r="155" spans="1:19" x14ac:dyDescent="0.25">
      <c r="A155" s="279"/>
      <c r="B155" s="261"/>
      <c r="C155" s="261"/>
      <c r="D155" s="261"/>
      <c r="E155" s="261"/>
      <c r="F155" s="261"/>
      <c r="G155" s="289"/>
      <c r="H155" s="364"/>
      <c r="I155" s="364"/>
      <c r="J155" s="364"/>
      <c r="K155" s="364"/>
      <c r="L155" s="365"/>
      <c r="M155" s="391"/>
      <c r="N155" s="392"/>
      <c r="O155" s="392"/>
      <c r="P155" s="393"/>
      <c r="Q155" s="392"/>
      <c r="R155" s="394"/>
    </row>
    <row r="156" spans="1:19" ht="13.8" thickBot="1" x14ac:dyDescent="0.3">
      <c r="A156" s="279"/>
      <c r="B156" s="261"/>
      <c r="C156" s="261"/>
      <c r="D156" s="261"/>
      <c r="E156" s="261"/>
      <c r="F156" s="261"/>
      <c r="G156" s="289"/>
      <c r="H156" s="364"/>
      <c r="I156" s="364"/>
      <c r="J156" s="364"/>
      <c r="K156" s="364"/>
      <c r="L156" s="365"/>
      <c r="M156" s="391"/>
      <c r="N156" s="392"/>
      <c r="O156" s="392"/>
      <c r="P156" s="393"/>
      <c r="Q156" s="392"/>
      <c r="R156" s="394"/>
    </row>
    <row r="157" spans="1:19" ht="18" thickBot="1" x14ac:dyDescent="0.35">
      <c r="A157" s="330" t="s">
        <v>533</v>
      </c>
      <c r="B157" s="331"/>
      <c r="C157" s="331"/>
      <c r="D157" s="331"/>
      <c r="E157" s="331"/>
      <c r="F157" s="331"/>
      <c r="G157" s="395">
        <f t="shared" ref="G157:L157" si="17">G141+G154</f>
        <v>243585.97374816606</v>
      </c>
      <c r="H157" s="396">
        <f t="shared" si="17"/>
        <v>22793.374656835756</v>
      </c>
      <c r="I157" s="396">
        <f t="shared" si="17"/>
        <v>-116.8248046361316</v>
      </c>
      <c r="J157" s="396">
        <f t="shared" si="17"/>
        <v>-239.59955004394649</v>
      </c>
      <c r="K157" s="396">
        <f t="shared" si="17"/>
        <v>0</v>
      </c>
      <c r="L157" s="397">
        <f t="shared" si="17"/>
        <v>22436.950302155677</v>
      </c>
      <c r="M157" s="336"/>
      <c r="N157" s="337">
        <f>N155</f>
        <v>0</v>
      </c>
      <c r="O157" s="337">
        <f>O155</f>
        <v>0</v>
      </c>
      <c r="P157" s="338">
        <f>P155</f>
        <v>0</v>
      </c>
      <c r="Q157" s="339"/>
      <c r="R157" s="340">
        <f>R155</f>
        <v>0</v>
      </c>
    </row>
    <row r="158" spans="1:19" ht="18" thickBot="1" x14ac:dyDescent="0.35">
      <c r="A158" s="341"/>
      <c r="B158" s="342"/>
      <c r="C158" s="342"/>
      <c r="D158" s="342"/>
      <c r="E158" s="342"/>
      <c r="F158" s="342"/>
      <c r="G158" s="398"/>
      <c r="H158" s="398"/>
      <c r="I158" s="398"/>
      <c r="J158" s="398"/>
      <c r="K158" s="398"/>
      <c r="L158" s="398"/>
      <c r="M158" s="345"/>
      <c r="N158" s="337"/>
      <c r="O158" s="337"/>
      <c r="P158" s="338"/>
      <c r="Q158" s="348"/>
      <c r="R158" s="340"/>
    </row>
    <row r="159" spans="1:19" s="4" customFormat="1" ht="18" thickBot="1" x14ac:dyDescent="0.35">
      <c r="A159" s="170" t="s">
        <v>426</v>
      </c>
      <c r="B159" s="177"/>
      <c r="C159" s="177"/>
      <c r="D159" s="177"/>
      <c r="E159" s="177"/>
      <c r="F159" s="177"/>
      <c r="G159" s="399">
        <v>196609</v>
      </c>
      <c r="H159" s="400">
        <v>37632</v>
      </c>
      <c r="I159" s="400">
        <v>-408</v>
      </c>
      <c r="J159" s="400">
        <v>272</v>
      </c>
      <c r="K159" s="400">
        <v>0</v>
      </c>
      <c r="L159" s="401">
        <f>SUM(H159:K159)</f>
        <v>37496</v>
      </c>
      <c r="M159" s="11"/>
      <c r="N159" s="172">
        <v>0</v>
      </c>
      <c r="O159" s="173">
        <v>0</v>
      </c>
      <c r="P159" s="174">
        <v>0</v>
      </c>
      <c r="Q159" s="11"/>
      <c r="R159" s="178">
        <v>2597.0219999999999</v>
      </c>
      <c r="S159" s="3"/>
    </row>
    <row r="160" spans="1:19" s="4" customFormat="1" ht="18" thickBot="1" x14ac:dyDescent="0.35">
      <c r="A160" s="170" t="s">
        <v>427</v>
      </c>
      <c r="B160" s="177"/>
      <c r="C160" s="177"/>
      <c r="D160" s="177"/>
      <c r="E160" s="177"/>
      <c r="F160" s="177"/>
      <c r="G160" s="399">
        <v>561437</v>
      </c>
      <c r="H160" s="400">
        <v>47465.401455884188</v>
      </c>
      <c r="I160" s="400">
        <v>-1247.8344</v>
      </c>
      <c r="J160" s="400">
        <v>-4442.5346</v>
      </c>
      <c r="K160" s="400">
        <v>-1004.7996000000001</v>
      </c>
      <c r="L160" s="401">
        <f>SUM(H160:K160)</f>
        <v>40770.232855884191</v>
      </c>
      <c r="M160" s="11"/>
      <c r="N160" s="172">
        <v>0</v>
      </c>
      <c r="O160" s="173">
        <v>0</v>
      </c>
      <c r="P160" s="174">
        <v>0</v>
      </c>
      <c r="Q160" s="11"/>
      <c r="R160" s="178">
        <v>2597.0219999999999</v>
      </c>
      <c r="S160" s="3"/>
    </row>
    <row r="161" spans="1:19" s="4" customFormat="1" ht="18" thickBot="1" x14ac:dyDescent="0.35">
      <c r="A161" s="170" t="s">
        <v>428</v>
      </c>
      <c r="B161" s="177"/>
      <c r="C161" s="177"/>
      <c r="D161" s="177"/>
      <c r="E161" s="177"/>
      <c r="F161" s="177"/>
      <c r="G161" s="399">
        <f t="shared" ref="G161:P161" si="18">G157</f>
        <v>243585.97374816606</v>
      </c>
      <c r="H161" s="400">
        <f t="shared" si="18"/>
        <v>22793.374656835756</v>
      </c>
      <c r="I161" s="400">
        <f t="shared" si="18"/>
        <v>-116.8248046361316</v>
      </c>
      <c r="J161" s="400">
        <f t="shared" si="18"/>
        <v>-239.59955004394649</v>
      </c>
      <c r="K161" s="400">
        <f t="shared" si="18"/>
        <v>0</v>
      </c>
      <c r="L161" s="401">
        <f t="shared" si="18"/>
        <v>22436.950302155677</v>
      </c>
      <c r="M161" s="11">
        <f t="shared" si="18"/>
        <v>0</v>
      </c>
      <c r="N161" s="172">
        <f t="shared" si="18"/>
        <v>0</v>
      </c>
      <c r="O161" s="173">
        <f t="shared" si="18"/>
        <v>0</v>
      </c>
      <c r="P161" s="174">
        <f t="shared" si="18"/>
        <v>0</v>
      </c>
      <c r="Q161" s="11"/>
      <c r="R161" s="178">
        <f>R157</f>
        <v>0</v>
      </c>
      <c r="S161" s="3"/>
    </row>
    <row r="162" spans="1:19" s="4" customFormat="1" ht="18" thickBot="1" x14ac:dyDescent="0.35">
      <c r="A162" s="170" t="s">
        <v>429</v>
      </c>
      <c r="B162" s="177"/>
      <c r="C162" s="177"/>
      <c r="D162" s="177"/>
      <c r="E162" s="177"/>
      <c r="F162" s="177"/>
      <c r="G162" s="399">
        <v>0</v>
      </c>
      <c r="H162" s="400">
        <v>0</v>
      </c>
      <c r="I162" s="400">
        <v>0</v>
      </c>
      <c r="J162" s="400">
        <v>0</v>
      </c>
      <c r="K162" s="400">
        <v>0</v>
      </c>
      <c r="L162" s="401">
        <v>0</v>
      </c>
      <c r="M162" s="11"/>
      <c r="N162" s="172">
        <v>0</v>
      </c>
      <c r="O162" s="173">
        <v>0</v>
      </c>
      <c r="P162" s="174">
        <v>0</v>
      </c>
      <c r="Q162" s="11"/>
      <c r="R162" s="178">
        <v>0</v>
      </c>
      <c r="S162" s="3"/>
    </row>
    <row r="163" spans="1:19" s="4" customFormat="1" ht="18" thickBot="1" x14ac:dyDescent="0.35">
      <c r="A163" s="170" t="s">
        <v>430</v>
      </c>
      <c r="B163" s="177"/>
      <c r="C163" s="177"/>
      <c r="D163" s="177"/>
      <c r="E163" s="177"/>
      <c r="F163" s="177"/>
      <c r="G163" s="399">
        <f t="shared" ref="G163:L163" si="19">SUM(G159:G162)</f>
        <v>1001631.9737481661</v>
      </c>
      <c r="H163" s="400">
        <f t="shared" si="19"/>
        <v>107890.77611271995</v>
      </c>
      <c r="I163" s="400">
        <f t="shared" si="19"/>
        <v>-1772.6592046361316</v>
      </c>
      <c r="J163" s="400">
        <f t="shared" si="19"/>
        <v>-4410.1341500439466</v>
      </c>
      <c r="K163" s="400">
        <f t="shared" si="19"/>
        <v>-1004.7996000000001</v>
      </c>
      <c r="L163" s="401">
        <f t="shared" si="19"/>
        <v>100703.18315803986</v>
      </c>
      <c r="M163" s="11">
        <f>SUM(M157:M162)</f>
        <v>0</v>
      </c>
      <c r="N163" s="172">
        <f>SUM(N157:N162)</f>
        <v>0</v>
      </c>
      <c r="O163" s="173">
        <f>SUM(O157:O162)</f>
        <v>0</v>
      </c>
      <c r="P163" s="174">
        <f>SUM(P157:P162)</f>
        <v>0</v>
      </c>
      <c r="Q163" s="11"/>
      <c r="R163" s="178">
        <f>SUM(R157:R162)</f>
        <v>5194.0439999999999</v>
      </c>
      <c r="S163" s="3"/>
    </row>
  </sheetData>
  <mergeCells count="18">
    <mergeCell ref="A127:R127"/>
    <mergeCell ref="G131:L131"/>
    <mergeCell ref="N131:P131"/>
    <mergeCell ref="G132:G133"/>
    <mergeCell ref="H132:H133"/>
    <mergeCell ref="I132:I133"/>
    <mergeCell ref="J132:J133"/>
    <mergeCell ref="K132:K133"/>
    <mergeCell ref="L132:L133"/>
    <mergeCell ref="A9:R9"/>
    <mergeCell ref="G13:L13"/>
    <mergeCell ref="G14:G15"/>
    <mergeCell ref="N13:P13"/>
    <mergeCell ref="H14:H15"/>
    <mergeCell ref="I14:I15"/>
    <mergeCell ref="J14:J15"/>
    <mergeCell ref="K14:K15"/>
    <mergeCell ref="L14:L15"/>
  </mergeCells>
  <printOptions horizontalCentered="1"/>
  <pageMargins left="0" right="0" top="0.25" bottom="0.25" header="0.5" footer="0.5"/>
  <pageSetup scale="31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2049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144780</xdr:rowOff>
              </from>
              <to>
                <xdr:col>0</xdr:col>
                <xdr:colOff>2499360</xdr:colOff>
                <xdr:row>8</xdr:row>
                <xdr:rowOff>0</xdr:rowOff>
              </to>
            </anchor>
          </objectPr>
        </oleObject>
      </mc:Choice>
      <mc:Fallback>
        <oleObject progId="MSPhotoEd.3" shapeId="2049" r:id="rId4"/>
      </mc:Fallback>
    </mc:AlternateContent>
    <mc:AlternateContent xmlns:mc="http://schemas.openxmlformats.org/markup-compatibility/2006">
      <mc:Choice Requires="x14">
        <oleObject progId="MSPhotoEd.3" shapeId="2050" r:id="rId6">
          <objectPr defaultSize="0" autoPict="0" r:id="rId5">
            <anchor moveWithCells="1" sizeWithCells="1">
              <from>
                <xdr:col>0</xdr:col>
                <xdr:colOff>0</xdr:colOff>
                <xdr:row>118</xdr:row>
                <xdr:rowOff>144780</xdr:rowOff>
              </from>
              <to>
                <xdr:col>0</xdr:col>
                <xdr:colOff>2849880</xdr:colOff>
                <xdr:row>126</xdr:row>
                <xdr:rowOff>0</xdr:rowOff>
              </to>
            </anchor>
          </objectPr>
        </oleObject>
      </mc:Choice>
      <mc:Fallback>
        <oleObject progId="MSPhotoEd.3" shapeId="205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Origination Summary</vt:lpstr>
      <vt:lpstr>International Origin Summary</vt:lpstr>
      <vt:lpstr>'Origination Summary'!Print_Area</vt:lpstr>
      <vt:lpstr>'Origination Summary'!Print_Titles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dlee5</dc:creator>
  <cp:lastModifiedBy>Havlíček Jan</cp:lastModifiedBy>
  <cp:lastPrinted>2001-10-04T01:14:27Z</cp:lastPrinted>
  <dcterms:created xsi:type="dcterms:W3CDTF">2001-09-08T21:59:22Z</dcterms:created>
  <dcterms:modified xsi:type="dcterms:W3CDTF">2023-09-10T15:03:10Z</dcterms:modified>
</cp:coreProperties>
</file>