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Deals!$C$92</definedName>
    <definedName name="EndofDType">Deals!$B$92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I15" i="1"/>
  <c r="AD15" i="1"/>
  <c r="AE15" i="1"/>
  <c r="AF15" i="1"/>
  <c r="D16" i="1"/>
  <c r="I16" i="1"/>
  <c r="AD16" i="1"/>
  <c r="AE16" i="1"/>
  <c r="AF16"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AD39" i="1"/>
  <c r="AE39" i="1"/>
  <c r="D40" i="1"/>
  <c r="I40" i="1"/>
  <c r="AD40" i="1"/>
  <c r="AE40" i="1"/>
  <c r="AF40" i="1"/>
  <c r="D41" i="1"/>
  <c r="I41" i="1"/>
  <c r="AD41" i="1"/>
  <c r="AE41" i="1"/>
  <c r="AF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AD63" i="1"/>
  <c r="AE63" i="1"/>
  <c r="AF63" i="1"/>
  <c r="AD64" i="1"/>
  <c r="AE64" i="1"/>
  <c r="AF64" i="1"/>
  <c r="AD65" i="1"/>
  <c r="AE65" i="1"/>
  <c r="AF65" i="1"/>
  <c r="AD66" i="1"/>
  <c r="AE66" i="1"/>
  <c r="AF66" i="1"/>
  <c r="AD67" i="1"/>
  <c r="AE67" i="1"/>
  <c r="AF67" i="1"/>
  <c r="AD68" i="1"/>
  <c r="AE68" i="1"/>
  <c r="AF68" i="1"/>
  <c r="AD70" i="1"/>
  <c r="AE70" i="1"/>
  <c r="AF70" i="1"/>
  <c r="AD71" i="1"/>
  <c r="AE71" i="1"/>
  <c r="AF71" i="1"/>
  <c r="AD72" i="1"/>
  <c r="AE72" i="1"/>
  <c r="AF72" i="1"/>
  <c r="AD73" i="1"/>
  <c r="AE73" i="1"/>
  <c r="AF73" i="1"/>
  <c r="AD75" i="1"/>
  <c r="AE75" i="1"/>
  <c r="AF75" i="1"/>
  <c r="AD76" i="1"/>
  <c r="AE76" i="1"/>
  <c r="AF76" i="1"/>
  <c r="AD77" i="1"/>
  <c r="AE77" i="1"/>
  <c r="AF77" i="1"/>
  <c r="AD78" i="1"/>
  <c r="AE78" i="1"/>
  <c r="AF78" i="1"/>
  <c r="AD79" i="1"/>
  <c r="AE79" i="1"/>
  <c r="AF79" i="1"/>
  <c r="AD81" i="1"/>
  <c r="AE81" i="1"/>
  <c r="AD82" i="1"/>
  <c r="AE82" i="1"/>
  <c r="AF82" i="1"/>
  <c r="AD83" i="1"/>
  <c r="AE83" i="1"/>
  <c r="AF83" i="1"/>
  <c r="AD84" i="1"/>
  <c r="AE84" i="1"/>
  <c r="AF84" i="1"/>
  <c r="AD85" i="1"/>
  <c r="AE85" i="1"/>
  <c r="AD87" i="1"/>
  <c r="AE87" i="1"/>
  <c r="AF87" i="1"/>
  <c r="AD88" i="1"/>
  <c r="AE88" i="1"/>
  <c r="AF88" i="1"/>
  <c r="AD89" i="1"/>
  <c r="AE89" i="1"/>
  <c r="AF89" i="1"/>
  <c r="AD90" i="1"/>
  <c r="AE90" i="1"/>
  <c r="AF90" i="1"/>
  <c r="AD98" i="1"/>
  <c r="AE98" i="1"/>
  <c r="AD99" i="1"/>
  <c r="AE99" i="1"/>
  <c r="AD103" i="1"/>
  <c r="AE103"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m guzman</author>
  </authors>
  <commentList>
    <comment ref="C13" authorId="0" shapeId="0">
      <text>
        <r>
          <rPr>
            <sz val="10"/>
            <color indexed="81"/>
            <rFont val="Tahoma"/>
            <family val="2"/>
          </rPr>
          <t>NOTE TO SELF.
The CALPX lines are hidden.  They are rows 14-61.</t>
        </r>
      </text>
    </comment>
    <comment ref="L82" authorId="1" shapeId="0">
      <text>
        <r>
          <rPr>
            <b/>
            <sz val="12"/>
            <color indexed="81"/>
            <rFont val="Tahoma"/>
            <family val="2"/>
          </rPr>
          <t>m guzman:</t>
        </r>
        <r>
          <rPr>
            <sz val="12"/>
            <color indexed="81"/>
            <rFont val="Tahoma"/>
            <family val="2"/>
          </rPr>
          <t xml:space="preserve">
50MW integrated at the half</t>
        </r>
      </text>
    </comment>
    <comment ref="N82" authorId="1" shapeId="0">
      <text>
        <r>
          <rPr>
            <b/>
            <sz val="12"/>
            <color indexed="81"/>
            <rFont val="Tahoma"/>
            <family val="2"/>
          </rPr>
          <t>m guzman:</t>
        </r>
        <r>
          <rPr>
            <sz val="12"/>
            <color indexed="81"/>
            <rFont val="Tahoma"/>
            <family val="2"/>
          </rPr>
          <t xml:space="preserve">
50MW integrated at the half</t>
        </r>
      </text>
    </comment>
  </commentList>
</comments>
</file>

<file path=xl/comments2.xml><?xml version="1.0" encoding="utf-8"?>
<comments xmlns="http://schemas.openxmlformats.org/spreadsheetml/2006/main">
  <authors>
    <author>cdean2</author>
    <author>m guzman</author>
    <author>A satisfied Microsoft Office user</author>
  </authors>
  <commentList>
    <comment ref="H58" authorId="0" shapeId="0">
      <text>
        <r>
          <rPr>
            <b/>
            <sz val="11"/>
            <color indexed="81"/>
            <rFont val="Tahoma"/>
            <family val="2"/>
          </rPr>
          <t>cdean2: Receiving 50mw integrated to 25mw at the half</t>
        </r>
        <r>
          <rPr>
            <sz val="8"/>
            <color indexed="81"/>
            <rFont val="Tahoma"/>
          </rPr>
          <t xml:space="preserve">
</t>
        </r>
      </text>
    </comment>
    <comment ref="I58" authorId="0" shapeId="0">
      <text>
        <r>
          <rPr>
            <b/>
            <sz val="11"/>
            <color indexed="81"/>
            <rFont val="Tahoma"/>
            <family val="2"/>
          </rPr>
          <t>cdean2: SRSG 21 mw to PNM.  San Juan 1 down</t>
        </r>
        <r>
          <rPr>
            <sz val="11"/>
            <color indexed="81"/>
            <rFont val="Tahoma"/>
            <family val="2"/>
          </rPr>
          <t xml:space="preserve">
</t>
        </r>
      </text>
    </comment>
    <comment ref="L58" authorId="0" shapeId="0">
      <text>
        <r>
          <rPr>
            <b/>
            <sz val="11"/>
            <color indexed="81"/>
            <rFont val="Tahoma"/>
            <family val="2"/>
          </rPr>
          <t xml:space="preserve">cdean2: inadvertant payback to LA 25mw
</t>
        </r>
        <r>
          <rPr>
            <sz val="8"/>
            <color indexed="81"/>
            <rFont val="Tahoma"/>
          </rPr>
          <t xml:space="preserve">
</t>
        </r>
      </text>
    </comment>
    <comment ref="M58" authorId="0" shapeId="0">
      <text>
        <r>
          <rPr>
            <b/>
            <sz val="11"/>
            <color indexed="81"/>
            <rFont val="Tahoma"/>
            <family val="2"/>
          </rPr>
          <t xml:space="preserve">cdean2: inadvertant payback to LA 25mw
</t>
        </r>
        <r>
          <rPr>
            <sz val="8"/>
            <color indexed="81"/>
            <rFont val="Tahoma"/>
          </rPr>
          <t xml:space="preserve">
</t>
        </r>
      </text>
    </comment>
    <comment ref="N58" authorId="0" shapeId="0">
      <text>
        <r>
          <rPr>
            <b/>
            <sz val="11"/>
            <color indexed="81"/>
            <rFont val="Tahoma"/>
            <family val="2"/>
          </rPr>
          <t xml:space="preserve">cdean2: inadvertant payback to LA 25mw
</t>
        </r>
        <r>
          <rPr>
            <sz val="8"/>
            <color indexed="81"/>
            <rFont val="Tahoma"/>
          </rPr>
          <t xml:space="preserve">
</t>
        </r>
      </text>
    </comment>
    <comment ref="O58" authorId="0" shapeId="0">
      <text>
        <r>
          <rPr>
            <b/>
            <sz val="11"/>
            <color indexed="81"/>
            <rFont val="Tahoma"/>
            <family val="2"/>
          </rPr>
          <t xml:space="preserve">cdean2: inadvertant payback to LA 25mw
</t>
        </r>
        <r>
          <rPr>
            <sz val="8"/>
            <color indexed="81"/>
            <rFont val="Tahoma"/>
          </rPr>
          <t xml:space="preserve">
</t>
        </r>
      </text>
    </comment>
    <comment ref="P58" authorId="0" shapeId="0">
      <text>
        <r>
          <rPr>
            <b/>
            <sz val="11"/>
            <color indexed="81"/>
            <rFont val="Tahoma"/>
            <family val="2"/>
          </rPr>
          <t xml:space="preserve">cdean2: inadvertant payback to LA 25mw
</t>
        </r>
        <r>
          <rPr>
            <sz val="8"/>
            <color indexed="81"/>
            <rFont val="Tahoma"/>
          </rPr>
          <t xml:space="preserve">
</t>
        </r>
      </text>
    </comment>
    <comment ref="Q58" authorId="0" shapeId="0">
      <text>
        <r>
          <rPr>
            <b/>
            <sz val="11"/>
            <color indexed="81"/>
            <rFont val="Tahoma"/>
            <family val="2"/>
          </rPr>
          <t xml:space="preserve">cdean2: inadvertant payback to LA 25mw
</t>
        </r>
        <r>
          <rPr>
            <sz val="8"/>
            <color indexed="81"/>
            <rFont val="Tahoma"/>
          </rPr>
          <t xml:space="preserve">
</t>
        </r>
      </text>
    </comment>
    <comment ref="R58" authorId="0" shapeId="0">
      <text>
        <r>
          <rPr>
            <b/>
            <sz val="11"/>
            <color indexed="81"/>
            <rFont val="Tahoma"/>
            <family val="2"/>
          </rPr>
          <t xml:space="preserve">cdean2: inadvertant payback to LA 25mw
</t>
        </r>
        <r>
          <rPr>
            <sz val="8"/>
            <color indexed="81"/>
            <rFont val="Tahoma"/>
          </rPr>
          <t xml:space="preserve">
</t>
        </r>
      </text>
    </comment>
    <comment ref="V58" authorId="1" shapeId="0">
      <text>
        <r>
          <rPr>
            <b/>
            <sz val="8"/>
            <color indexed="81"/>
            <rFont val="Tahoma"/>
          </rPr>
          <t>m guzman:</t>
        </r>
        <r>
          <rPr>
            <sz val="8"/>
            <color indexed="81"/>
            <rFont val="Tahoma"/>
          </rPr>
          <t xml:space="preserve">
IID should be at 135 was input incorrectly by dispatch.  Dispatch corrected this error according to Mike</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<sst xmlns="http://schemas.openxmlformats.org/spreadsheetml/2006/main" count="757" uniqueCount="397">
  <si>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</si>
  <si>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</si>
  <si>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</si>
  <si>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</si>
  <si>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</si>
  <si>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</si>
  <si>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</si>
  <si>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</si>
  <si>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</si>
  <si>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</si>
  <si>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</si>
  <si>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</si>
  <si>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</si>
  <si>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</si>
  <si>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</si>
  <si>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</si>
  <si>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</si>
  <si>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</si>
  <si>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</si>
  <si>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</si>
  <si>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</si>
  <si>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</si>
  <si>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</si>
  <si>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</si>
  <si>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</si>
  <si>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</si>
  <si>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</si>
  <si>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</si>
  <si>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</si>
  <si>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</si>
  <si>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</si>
  <si>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</si>
  <si>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</si>
  <si>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</si>
  <si>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</si>
  <si>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</si>
  <si>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</si>
  <si>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</si>
  <si>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</si>
  <si>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</si>
  <si>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</si>
  <si>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</si>
  <si>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</si>
  <si>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</si>
  <si>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</si>
  <si>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</si>
  <si>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</si>
  <si>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</si>
  <si>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</si>
  <si>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</si>
  <si>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</si>
  <si>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</si>
  <si>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</si>
  <si>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</si>
  <si>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</si>
  <si>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</si>
  <si>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</si>
  <si>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</si>
  <si>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</si>
  <si>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</si>
  <si>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</si>
  <si>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</si>
  <si>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</si>
  <si>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</si>
  <si>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</si>
  <si>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</si>
  <si>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</si>
  <si>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</si>
  <si>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</si>
  <si>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</si>
  <si>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</si>
  <si>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</si>
  <si>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</si>
  <si>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</si>
  <si>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</si>
  <si>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</si>
  <si>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</si>
  <si>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</si>
  <si>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</si>
  <si>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</si>
  <si>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</si>
  <si>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</si>
  <si>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</si>
  <si>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</si>
  <si>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</si>
  <si>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</si>
  <si>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</si>
  <si>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</si>
  <si>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</si>
  <si>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</si>
  <si>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</si>
  <si>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</si>
  <si>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</si>
  <si>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</si>
  <si>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</si>
  <si>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</si>
  <si>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</si>
  <si>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</si>
  <si>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</si>
  <si>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</si>
  <si>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</si>
  <si>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</si>
  <si>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</si>
  <si>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</si>
  <si>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</si>
  <si>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</si>
  <si>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</si>
  <si>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</si>
  <si>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</si>
  <si>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</si>
  <si>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</si>
  <si>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</si>
  <si>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</si>
  <si>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</si>
  <si>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</si>
  <si>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</si>
  <si>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</si>
  <si>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</si>
  <si>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</si>
  <si>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</si>
  <si>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</si>
  <si>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</si>
  <si>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</si>
  <si>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</si>
  <si>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</si>
  <si>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</si>
  <si>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</si>
  <si>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</si>
  <si>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</si>
  <si>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</si>
  <si>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</si>
  <si>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</si>
  <si>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</si>
  <si>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</si>
  <si>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</si>
  <si>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</si>
  <si>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</si>
  <si>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</si>
  <si>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</si>
  <si>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</si>
  <si>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</si>
  <si>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</si>
  <si>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</si>
  <si>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</si>
  <si>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</si>
  <si>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</si>
  <si>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</si>
  <si>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</si>
  <si>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</si>
  <si>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</si>
  <si>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</si>
  <si>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</si>
  <si>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</si>
  <si>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</si>
  <si>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</si>
  <si>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</si>
  <si>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</si>
  <si>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</si>
  <si>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</si>
  <si>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</si>
  <si>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</si>
  <si>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</si>
  <si>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</si>
  <si>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</si>
  <si>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</si>
  <si>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</si>
  <si>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</si>
  <si>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</si>
  <si>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</si>
  <si>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</si>
  <si>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</si>
  <si>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</si>
  <si>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</si>
  <si>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</si>
  <si>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</si>
  <si>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</si>
  <si>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</si>
  <si>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</si>
  <si>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</si>
  <si>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</si>
  <si>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</si>
  <si>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</si>
  <si>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</si>
  <si>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</si>
  <si>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</si>
  <si>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</si>
  <si>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</si>
  <si>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</si>
  <si>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</si>
  <si>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</si>
  <si>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</si>
  <si>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</si>
  <si>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</si>
  <si>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</si>
  <si>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</si>
  <si>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</si>
  <si>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</si>
  <si>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</si>
  <si>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</si>
  <si>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</si>
  <si>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</si>
  <si>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</si>
  <si>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</si>
  <si>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</si>
  <si>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</si>
  <si>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</si>
  <si>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</si>
  <si>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</si>
  <si>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</si>
  <si>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</si>
  <si>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</si>
  <si>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</si>
  <si>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</si>
  <si>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</si>
  <si>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</si>
  <si>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</si>
  <si>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</si>
  <si>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</si>
  <si>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</si>
  <si>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</si>
  <si>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</si>
  <si>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</si>
  <si>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</si>
  <si>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</si>
  <si>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</si>
  <si>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</si>
  <si>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</si>
  <si>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</si>
  <si>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</si>
  <si>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</si>
  <si>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</si>
  <si>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</si>
  <si>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</si>
  <si>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</si>
  <si>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</si>
  <si>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</si>
  <si>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</si>
  <si>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</si>
  <si>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</si>
  <si>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</si>
  <si>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</si>
  <si>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</si>
  <si>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</si>
  <si>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</si>
  <si>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</si>
  <si>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</si>
  <si>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</si>
  <si>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</si>
  <si>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</si>
  <si>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</si>
  <si>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</si>
  <si>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</si>
  <si>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</si>
  <si>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</si>
  <si>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</si>
  <si>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</si>
  <si>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</si>
  <si>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</si>
  <si>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</si>
  <si>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</si>
  <si>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</si>
  <si>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</si>
  <si>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</si>
  <si>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</si>
  <si>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</si>
  <si>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</si>
  <si>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</si>
  <si>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</si>
  <si>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</si>
  <si>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</si>
  <si>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</si>
  <si>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</si>
  <si>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</si>
  <si>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</si>
  <si>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</si>
  <si>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</si>
  <si>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</si>
  <si>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</si>
  <si>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</si>
  <si>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</si>
  <si>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</si>
  <si>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</si>
  <si>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</si>
  <si>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</si>
  <si>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</si>
  <si>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</si>
  <si>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</si>
  <si>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</si>
  <si>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</si>
  <si>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</si>
  <si>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</si>
  <si>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</si>
  <si>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</si>
  <si>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</si>
  <si>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</si>
  <si>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</si>
  <si>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</si>
  <si>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</si>
  <si>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</si>
  <si>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</si>
  <si>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</si>
  <si>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</si>
  <si>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</si>
  <si>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</si>
  <si>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</si>
  <si>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</si>
  <si>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</si>
  <si>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</si>
  <si>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</si>
  <si>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</si>
  <si>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</si>
  <si>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</si>
  <si>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</si>
  <si>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</si>
  <si>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</si>
  <si>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</si>
  <si>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</si>
  <si>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</si>
  <si>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</si>
  <si>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</si>
  <si>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</si>
  <si>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</si>
  <si>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</si>
  <si>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</si>
  <si>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</si>
  <si>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</si>
  <si>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</si>
  <si>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</si>
  <si>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</si>
  <si>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</si>
  <si>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</si>
  <si>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</si>
  <si>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</si>
  <si>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</si>
  <si>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</si>
  <si>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</si>
  <si>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</si>
  <si>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</si>
  <si>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</si>
  <si>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</si>
  <si>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</si>
  <si>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</si>
  <si>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</si>
  <si>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</si>
  <si>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</si>
  <si>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</si>
  <si>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</si>
  <si>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</si>
  <si>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</si>
  <si>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</si>
  <si>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</si>
  <si>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</si>
  <si>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</si>
  <si>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</si>
  <si>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</si>
  <si>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</si>
  <si>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</si>
  <si>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</si>
  <si>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</si>
  <si>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</si>
  <si>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</si>
  <si>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</si>
  <si>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</si>
  <si>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</si>
  <si>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</si>
  <si>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</si>
  <si>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</si>
  <si>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</si>
  <si>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</si>
  <si>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</si>
  <si>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</si>
  <si>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</si>
  <si>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</si>
  <si>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</si>
  <si>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</si>
  <si>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</si>
  <si>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</si>
  <si>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</si>
  <si>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</si>
  <si>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</si>
  <si>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</si>
  <si>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Firm</t>
  </si>
  <si>
    <t>x</t>
  </si>
  <si>
    <t>Econ</t>
  </si>
  <si>
    <t>FOURCRNRS,MANL, 52  , 52  , 52  ,104  ,  0  ,1</t>
  </si>
  <si>
    <t>BOOKOUT(SPS)</t>
  </si>
  <si>
    <t>BOOKOUT(EPMI)</t>
  </si>
  <si>
    <t>BOOKOUT(Mirant)</t>
  </si>
  <si>
    <t>IPC</t>
  </si>
  <si>
    <t>NEWMAN 2 ,ECON, 34  , 75  , 34  , 83  , 41  ,1</t>
  </si>
  <si>
    <t>NEWMAN 4 ,ECON,132  ,215  , 86  ,214  , 81  ,1</t>
  </si>
  <si>
    <t xml:space="preserve">NEWMAN   ,, 204 ,  390,  155, 400 , 163 , </t>
  </si>
  <si>
    <t>LAMBDA, 19.95,  680,  679,  158,    0,    0,10018,0</t>
  </si>
  <si>
    <t>APS     ,FIRM    ,FC,  ,  25,  25</t>
  </si>
  <si>
    <t>IID     ,FIRM    ,PV,  ,  95,  70</t>
  </si>
  <si>
    <t>PGT     ,LOSS    ,LC,  ,  -1,  -2</t>
  </si>
  <si>
    <t>TNP     ,FIRM    ,HI,  ,  55,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</si>
</sst>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1"/>
      <color indexed="81"/>
      <name val="Tahoma"/>
      <family val="2"/>
    </font>
    <font>
      <b/>
      <sz val="12"/>
      <color indexed="81"/>
      <name val="Tahoma"/>
      <family val="2"/>
    </font>
    <font>
      <sz val="12"/>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3" fillId="12" borderId="93" xfId="0" applyFont="1" applyFill="1" applyBorder="1" applyProtection="1"/>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93</xdr:row>
      <xdr:rowOff>76200</xdr:rowOff>
    </xdr:from>
    <xdr:to>
      <xdr:col>22</xdr:col>
      <xdr:colOff>129540</xdr:colOff>
      <xdr:row>104</xdr:row>
      <xdr:rowOff>0</xdr:rowOff>
    </xdr:to>
    <xdr:sp macro="" textlink="">
      <xdr:nvSpPr>
        <xdr:cNvPr id="2303" name="Text Box 255"/>
        <xdr:cNvSpPr txBox="1">
          <a:spLocks noChangeArrowheads="1"/>
        </xdr:cNvSpPr>
      </xdr:nvSpPr>
      <xdr:spPr bwMode="auto">
        <a:xfrm>
          <a:off x="175260" y="764286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109</xdr:row>
      <xdr:rowOff>0</xdr:rowOff>
    </xdr:from>
    <xdr:to>
      <xdr:col>22</xdr:col>
      <xdr:colOff>68580</xdr:colOff>
      <xdr:row>115</xdr:row>
      <xdr:rowOff>45720</xdr:rowOff>
    </xdr:to>
    <xdr:sp macro="" textlink="">
      <xdr:nvSpPr>
        <xdr:cNvPr id="10463" name="Text Box 1247"/>
        <xdr:cNvSpPr txBox="1">
          <a:spLocks noChangeArrowheads="1"/>
        </xdr:cNvSpPr>
      </xdr:nvSpPr>
      <xdr:spPr bwMode="auto">
        <a:xfrm>
          <a:off x="213360" y="1040892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3"/>
  <sheetViews>
    <sheetView showGridLines="0" tabSelected="1" zoomScale="60" zoomScaleNormal="65" workbookViewId="0">
      <selection activeCell="Q82" sqref="Q82"/>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14" t="s">
        <v>60</v>
      </c>
      <c r="B2" s="615" t="s">
        <v>59</v>
      </c>
      <c r="C2" s="615" t="s">
        <v>58</v>
      </c>
      <c r="D2" s="615" t="s">
        <v>9</v>
      </c>
      <c r="E2" s="615"/>
      <c r="F2" s="616">
        <v>1</v>
      </c>
      <c r="G2" s="616">
        <v>2</v>
      </c>
      <c r="H2" s="616">
        <v>3</v>
      </c>
      <c r="I2" s="616">
        <v>4</v>
      </c>
      <c r="J2" s="616">
        <v>5</v>
      </c>
      <c r="K2" s="616">
        <v>6</v>
      </c>
      <c r="L2" s="616">
        <v>7</v>
      </c>
      <c r="M2" s="616">
        <v>8</v>
      </c>
      <c r="N2" s="616">
        <v>9</v>
      </c>
      <c r="O2" s="616">
        <v>10</v>
      </c>
      <c r="P2" s="616">
        <v>11</v>
      </c>
      <c r="Q2" s="616">
        <v>12</v>
      </c>
      <c r="R2" s="616">
        <v>13</v>
      </c>
      <c r="S2" s="616">
        <v>14</v>
      </c>
      <c r="T2" s="616">
        <v>15</v>
      </c>
      <c r="U2" s="616">
        <v>16</v>
      </c>
      <c r="V2" s="616">
        <v>17</v>
      </c>
      <c r="W2" s="616">
        <v>18</v>
      </c>
      <c r="X2" s="616">
        <v>19</v>
      </c>
      <c r="Y2" s="616">
        <v>20</v>
      </c>
      <c r="Z2" s="616">
        <v>21</v>
      </c>
      <c r="AA2" s="616">
        <v>22</v>
      </c>
      <c r="AB2" s="616">
        <v>23</v>
      </c>
      <c r="AC2" s="617">
        <v>24</v>
      </c>
      <c r="AD2" s="615" t="s">
        <v>21</v>
      </c>
      <c r="AE2" s="618" t="s">
        <v>204</v>
      </c>
      <c r="AF2" s="619" t="s">
        <v>10</v>
      </c>
    </row>
    <row r="3" spans="1:75" s="356" customFormat="1" x14ac:dyDescent="0.25">
      <c r="A3" s="620" t="s">
        <v>62</v>
      </c>
      <c r="B3" s="626" t="s">
        <v>61</v>
      </c>
      <c r="C3" s="627" t="s">
        <v>151</v>
      </c>
      <c r="D3" s="627"/>
      <c r="E3" s="623"/>
      <c r="F3" s="673">
        <v>60</v>
      </c>
      <c r="G3" s="673">
        <v>40</v>
      </c>
      <c r="H3" s="673">
        <v>40</v>
      </c>
      <c r="I3" s="673">
        <v>40</v>
      </c>
      <c r="J3" s="673">
        <v>50</v>
      </c>
      <c r="K3" s="673">
        <v>50</v>
      </c>
      <c r="L3" s="673">
        <v>85</v>
      </c>
      <c r="M3" s="673">
        <v>105</v>
      </c>
      <c r="N3" s="673">
        <v>125</v>
      </c>
      <c r="O3" s="673">
        <v>125</v>
      </c>
      <c r="P3" s="673">
        <v>125</v>
      </c>
      <c r="Q3" s="673">
        <v>125</v>
      </c>
      <c r="R3" s="673">
        <v>125</v>
      </c>
      <c r="S3" s="673">
        <v>125</v>
      </c>
      <c r="T3" s="673">
        <v>125</v>
      </c>
      <c r="U3" s="673">
        <v>125</v>
      </c>
      <c r="V3" s="673">
        <v>125</v>
      </c>
      <c r="W3" s="673">
        <v>125</v>
      </c>
      <c r="X3" s="673">
        <v>150</v>
      </c>
      <c r="Y3" s="673">
        <v>150</v>
      </c>
      <c r="Z3" s="673">
        <v>135</v>
      </c>
      <c r="AA3" s="673">
        <v>135</v>
      </c>
      <c r="AB3" s="673">
        <v>120</v>
      </c>
      <c r="AC3" s="673">
        <v>95</v>
      </c>
      <c r="AD3" s="612">
        <f>SUM(F3:AC3)</f>
        <v>2505</v>
      </c>
      <c r="AE3" s="613">
        <f>AD3*D3</f>
        <v>0</v>
      </c>
      <c r="AF3" s="61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21" t="s">
        <v>64</v>
      </c>
      <c r="B4" s="628" t="s">
        <v>61</v>
      </c>
      <c r="C4" s="629"/>
      <c r="D4" s="629"/>
      <c r="E4" s="624"/>
      <c r="F4" s="608">
        <v>55</v>
      </c>
      <c r="G4" s="608">
        <v>55</v>
      </c>
      <c r="H4" s="608">
        <v>55</v>
      </c>
      <c r="I4" s="608">
        <v>55</v>
      </c>
      <c r="J4" s="608">
        <v>55</v>
      </c>
      <c r="K4" s="608">
        <v>60</v>
      </c>
      <c r="L4" s="608">
        <v>70</v>
      </c>
      <c r="M4" s="608">
        <v>75</v>
      </c>
      <c r="N4" s="608">
        <v>75</v>
      </c>
      <c r="O4" s="608">
        <v>75</v>
      </c>
      <c r="P4" s="608">
        <v>75</v>
      </c>
      <c r="Q4" s="608">
        <v>70</v>
      </c>
      <c r="R4" s="608">
        <v>70</v>
      </c>
      <c r="S4" s="608">
        <v>70</v>
      </c>
      <c r="T4" s="608">
        <v>70</v>
      </c>
      <c r="U4" s="608">
        <v>65</v>
      </c>
      <c r="V4" s="608">
        <v>65</v>
      </c>
      <c r="W4" s="608">
        <v>65</v>
      </c>
      <c r="X4" s="608">
        <v>75</v>
      </c>
      <c r="Y4" s="608">
        <v>75</v>
      </c>
      <c r="Z4" s="608">
        <v>75</v>
      </c>
      <c r="AA4" s="608">
        <v>70</v>
      </c>
      <c r="AB4" s="608">
        <v>60</v>
      </c>
      <c r="AC4" s="608">
        <v>55</v>
      </c>
      <c r="AD4" s="574">
        <f>SUM(F4:AC4)</f>
        <v>1590</v>
      </c>
      <c r="AE4" s="575">
        <f>AD4*D4</f>
        <v>0</v>
      </c>
      <c r="AF4" s="527" t="str">
        <f>IF(AD4&lt;0,"buy","sell")</f>
        <v>sell</v>
      </c>
    </row>
    <row r="5" spans="1:75" s="356" customFormat="1" x14ac:dyDescent="0.25">
      <c r="A5" s="622" t="s">
        <v>63</v>
      </c>
      <c r="B5" s="630"/>
      <c r="C5" s="630"/>
      <c r="D5" s="630"/>
      <c r="E5" s="625"/>
      <c r="F5" s="608">
        <v>0</v>
      </c>
      <c r="G5" s="608">
        <v>0</v>
      </c>
      <c r="H5" s="608">
        <v>0</v>
      </c>
      <c r="I5" s="608">
        <v>0</v>
      </c>
      <c r="J5" s="608">
        <v>0</v>
      </c>
      <c r="K5" s="608">
        <v>0</v>
      </c>
      <c r="L5" s="608">
        <v>0</v>
      </c>
      <c r="M5" s="689">
        <v>0</v>
      </c>
      <c r="N5" s="689">
        <v>0</v>
      </c>
      <c r="O5" s="689">
        <v>0</v>
      </c>
      <c r="P5" s="689">
        <v>0</v>
      </c>
      <c r="Q5" s="689">
        <v>0</v>
      </c>
      <c r="R5" s="689">
        <v>0</v>
      </c>
      <c r="S5" s="689">
        <v>0</v>
      </c>
      <c r="T5" s="689">
        <v>0</v>
      </c>
      <c r="U5" s="689">
        <v>0</v>
      </c>
      <c r="V5" s="689">
        <v>0</v>
      </c>
      <c r="W5" s="689">
        <v>0</v>
      </c>
      <c r="X5" s="689">
        <v>0</v>
      </c>
      <c r="Y5" s="689">
        <v>0</v>
      </c>
      <c r="Z5" s="689">
        <v>0</v>
      </c>
      <c r="AA5" s="689">
        <v>0</v>
      </c>
      <c r="AB5" s="689">
        <v>0</v>
      </c>
      <c r="AC5" s="689">
        <v>0</v>
      </c>
      <c r="AD5" s="574">
        <f>SUM(F5:AC5)</f>
        <v>0</v>
      </c>
      <c r="AE5" s="575">
        <f>AD5*D5</f>
        <v>0</v>
      </c>
      <c r="AF5" s="527" t="str">
        <f>IF(AD5&lt;0,"buy","sell")</f>
        <v>sell</v>
      </c>
    </row>
    <row r="6" spans="1:75" s="356" customFormat="1" x14ac:dyDescent="0.25">
      <c r="A6" s="622"/>
      <c r="B6" s="630"/>
      <c r="C6" s="630"/>
      <c r="D6" s="630"/>
      <c r="E6" s="625"/>
      <c r="F6" s="608"/>
      <c r="G6" s="608"/>
      <c r="H6" s="608"/>
      <c r="I6" s="608"/>
      <c r="J6" s="608"/>
      <c r="K6" s="608"/>
      <c r="L6" s="608"/>
      <c r="M6" s="689"/>
      <c r="N6" s="689"/>
      <c r="O6" s="689"/>
      <c r="P6" s="689"/>
      <c r="Q6" s="689"/>
      <c r="R6" s="689"/>
      <c r="S6" s="689"/>
      <c r="T6" s="689"/>
      <c r="U6" s="689"/>
      <c r="V6" s="689"/>
      <c r="W6" s="689"/>
      <c r="X6" s="689"/>
      <c r="Y6" s="689"/>
      <c r="Z6" s="689"/>
      <c r="AA6" s="689"/>
      <c r="AB6" s="689"/>
      <c r="AC6" s="689"/>
      <c r="AD6" s="574"/>
      <c r="AE6" s="575"/>
      <c r="AF6" s="527"/>
    </row>
    <row r="7" spans="1:75" s="404" customFormat="1" x14ac:dyDescent="0.25">
      <c r="A7" s="622" t="s">
        <v>3</v>
      </c>
      <c r="B7" s="630"/>
      <c r="C7" s="630" t="s">
        <v>351</v>
      </c>
      <c r="D7" s="630"/>
      <c r="E7" s="649"/>
      <c r="F7" s="689"/>
      <c r="G7" s="689"/>
      <c r="H7" s="689"/>
      <c r="I7" s="689"/>
      <c r="J7" s="689"/>
      <c r="K7" s="689"/>
      <c r="L7" s="689"/>
      <c r="M7" s="689">
        <v>-80</v>
      </c>
      <c r="N7" s="689">
        <v>-80</v>
      </c>
      <c r="O7" s="689">
        <v>-80</v>
      </c>
      <c r="P7" s="689">
        <v>-80</v>
      </c>
      <c r="Q7" s="689">
        <v>-80</v>
      </c>
      <c r="R7" s="689">
        <v>-80</v>
      </c>
      <c r="S7" s="689">
        <v>-80</v>
      </c>
      <c r="T7" s="689">
        <v>-80</v>
      </c>
      <c r="U7" s="689">
        <v>-80</v>
      </c>
      <c r="V7" s="689">
        <v>-80</v>
      </c>
      <c r="W7" s="689">
        <v>-133</v>
      </c>
      <c r="X7" s="689">
        <v>-133</v>
      </c>
      <c r="Y7" s="689">
        <v>-133</v>
      </c>
      <c r="Z7" s="689">
        <v>-133</v>
      </c>
      <c r="AA7" s="689">
        <v>-80</v>
      </c>
      <c r="AB7" s="689">
        <v>-80</v>
      </c>
      <c r="AC7" s="689"/>
      <c r="AD7" s="609"/>
      <c r="AE7" s="650"/>
      <c r="AF7" s="651"/>
    </row>
    <row r="8" spans="1:75" s="356" customFormat="1" x14ac:dyDescent="0.25">
      <c r="A8" s="622"/>
      <c r="B8" s="630"/>
      <c r="C8" s="630"/>
      <c r="D8" s="630"/>
      <c r="E8" s="625"/>
      <c r="F8" s="689"/>
      <c r="G8" s="689"/>
      <c r="H8" s="689"/>
      <c r="I8" s="689"/>
      <c r="J8" s="689"/>
      <c r="K8" s="689"/>
      <c r="L8" s="689"/>
      <c r="M8" s="689"/>
      <c r="N8" s="689"/>
      <c r="O8" s="689"/>
      <c r="P8" s="689"/>
      <c r="Q8" s="689"/>
      <c r="R8" s="689"/>
      <c r="S8" s="689"/>
      <c r="T8" s="689"/>
      <c r="U8" s="689"/>
      <c r="V8" s="689"/>
      <c r="W8" s="689"/>
      <c r="X8" s="689"/>
      <c r="Y8" s="689"/>
      <c r="Z8" s="689"/>
      <c r="AA8" s="689"/>
      <c r="AB8" s="689"/>
      <c r="AC8" s="689"/>
      <c r="AD8" s="574">
        <f>SUM(F8:AC8)</f>
        <v>0</v>
      </c>
      <c r="AE8" s="575"/>
      <c r="AF8" s="527"/>
    </row>
    <row r="9" spans="1:75" s="404" customFormat="1" x14ac:dyDescent="0.25">
      <c r="A9" s="622"/>
      <c r="B9" s="630"/>
      <c r="C9" s="670"/>
      <c r="D9" s="630"/>
      <c r="E9" s="649"/>
      <c r="F9" s="689"/>
      <c r="G9" s="689"/>
      <c r="H9" s="689"/>
      <c r="I9" s="689"/>
      <c r="J9" s="689"/>
      <c r="K9" s="689"/>
      <c r="L9" s="689"/>
      <c r="M9" s="689"/>
      <c r="N9" s="608"/>
      <c r="O9" s="608"/>
      <c r="P9" s="608"/>
      <c r="Q9" s="608"/>
      <c r="R9" s="608"/>
      <c r="S9" s="689"/>
      <c r="T9" s="608"/>
      <c r="U9" s="608"/>
      <c r="V9" s="608"/>
      <c r="W9" s="608"/>
      <c r="X9" s="608"/>
      <c r="Y9" s="608"/>
      <c r="Z9" s="608"/>
      <c r="AA9" s="608"/>
      <c r="AB9" s="608"/>
      <c r="AC9" s="608"/>
      <c r="AD9" s="574">
        <f>SUM(E9:AC9)</f>
        <v>0</v>
      </c>
      <c r="AE9" s="655">
        <f>AD9*D9</f>
        <v>0</v>
      </c>
      <c r="AF9" s="656" t="str">
        <f>IF(AD9&lt;0,"buy","sell")</f>
        <v>sell</v>
      </c>
    </row>
    <row r="10" spans="1:75" s="404" customFormat="1" x14ac:dyDescent="0.25">
      <c r="A10" s="622"/>
      <c r="B10" s="630"/>
      <c r="C10" s="670"/>
      <c r="D10" s="630"/>
      <c r="E10" s="649"/>
      <c r="F10" s="608"/>
      <c r="G10" s="608"/>
      <c r="H10" s="608"/>
      <c r="I10" s="608"/>
      <c r="J10" s="608"/>
      <c r="K10" s="608"/>
      <c r="L10" s="608"/>
      <c r="M10" s="689"/>
      <c r="N10" s="608"/>
      <c r="O10" s="608"/>
      <c r="P10" s="608"/>
      <c r="Q10" s="608"/>
      <c r="R10" s="608"/>
      <c r="S10" s="689"/>
      <c r="T10" s="608"/>
      <c r="U10" s="608"/>
      <c r="V10" s="608"/>
      <c r="W10" s="608"/>
      <c r="X10" s="608"/>
      <c r="Y10" s="608"/>
      <c r="Z10" s="608"/>
      <c r="AA10" s="608"/>
      <c r="AB10" s="608"/>
      <c r="AC10" s="608"/>
      <c r="AD10" s="574">
        <f>SUM(E10:AC10)</f>
        <v>0</v>
      </c>
      <c r="AE10" s="655">
        <f>AD10*D10</f>
        <v>0</v>
      </c>
      <c r="AF10" s="656" t="str">
        <f>IF(AD10&lt;0,"buy","sell")</f>
        <v>sell</v>
      </c>
    </row>
    <row r="11" spans="1:75" s="356" customFormat="1" ht="11.25" customHeight="1" x14ac:dyDescent="0.25">
      <c r="A11" s="622"/>
      <c r="B11" s="630"/>
      <c r="C11" s="630"/>
      <c r="D11" s="630"/>
      <c r="E11" s="625"/>
      <c r="F11" s="608"/>
      <c r="G11" s="608"/>
      <c r="H11" s="608"/>
      <c r="I11" s="608"/>
      <c r="J11" s="608"/>
      <c r="K11" s="608"/>
      <c r="L11" s="608"/>
      <c r="M11" s="689"/>
      <c r="N11" s="608"/>
      <c r="O11" s="608"/>
      <c r="P11" s="608"/>
      <c r="Q11" s="608"/>
      <c r="R11" s="608"/>
      <c r="S11" s="689"/>
      <c r="T11" s="608"/>
      <c r="U11" s="608"/>
      <c r="V11" s="608"/>
      <c r="W11" s="608"/>
      <c r="X11" s="608"/>
      <c r="Y11" s="608"/>
      <c r="Z11" s="608"/>
      <c r="AA11" s="608"/>
      <c r="AB11" s="608"/>
      <c r="AC11" s="608"/>
      <c r="AD11" s="574">
        <f>SUM(E11:AC11)</f>
        <v>0</v>
      </c>
      <c r="AE11" s="655"/>
      <c r="AF11" s="656"/>
    </row>
    <row r="12" spans="1:75" s="356" customFormat="1" x14ac:dyDescent="0.25">
      <c r="A12" s="631" t="s">
        <v>205</v>
      </c>
      <c r="B12" s="652"/>
      <c r="C12" s="652"/>
      <c r="D12" s="653"/>
      <c r="E12" s="632"/>
      <c r="F12" s="634"/>
      <c r="G12" s="634"/>
      <c r="H12" s="634"/>
      <c r="I12" s="634"/>
      <c r="J12" s="634"/>
      <c r="K12" s="634"/>
      <c r="L12" s="634"/>
      <c r="M12" s="634"/>
      <c r="N12" s="634"/>
      <c r="O12" s="634"/>
      <c r="P12" s="634"/>
      <c r="Q12" s="634"/>
      <c r="R12" s="634"/>
      <c r="S12" s="700"/>
      <c r="T12" s="634"/>
      <c r="U12" s="634"/>
      <c r="V12" s="634"/>
      <c r="W12" s="634"/>
      <c r="X12" s="634"/>
      <c r="Y12" s="634"/>
      <c r="Z12" s="634"/>
      <c r="AA12" s="634"/>
      <c r="AB12" s="634"/>
      <c r="AC12" s="634"/>
      <c r="AD12" s="610"/>
      <c r="AE12" s="657"/>
      <c r="AF12" s="658"/>
    </row>
    <row r="13" spans="1:75" s="356" customFormat="1" x14ac:dyDescent="0.25">
      <c r="A13" s="590" t="s">
        <v>206</v>
      </c>
      <c r="B13" s="654"/>
      <c r="C13" s="588"/>
      <c r="D13" s="654"/>
      <c r="E13" s="363"/>
      <c r="F13" s="635"/>
      <c r="G13" s="635"/>
      <c r="H13" s="635"/>
      <c r="I13" s="635"/>
      <c r="J13" s="635"/>
      <c r="K13" s="635"/>
      <c r="L13" s="635"/>
      <c r="M13" s="635"/>
      <c r="N13" s="635"/>
      <c r="O13" s="635"/>
      <c r="P13" s="635"/>
      <c r="Q13" s="635"/>
      <c r="R13" s="635"/>
      <c r="S13" s="701"/>
      <c r="T13" s="635"/>
      <c r="U13" s="635"/>
      <c r="V13" s="635"/>
      <c r="W13" s="635"/>
      <c r="X13" s="635"/>
      <c r="Y13" s="635"/>
      <c r="Z13" s="635"/>
      <c r="AA13" s="635"/>
      <c r="AB13" s="635"/>
      <c r="AC13" s="635"/>
      <c r="AD13" s="654"/>
      <c r="AE13" s="659"/>
      <c r="AF13" s="659"/>
    </row>
    <row r="14" spans="1:75" s="356" customFormat="1" ht="13.8" x14ac:dyDescent="0.25">
      <c r="A14" s="706" t="s">
        <v>360</v>
      </c>
      <c r="B14" s="654"/>
      <c r="C14" s="588"/>
      <c r="D14" s="654"/>
      <c r="E14" s="363"/>
      <c r="F14" s="635"/>
      <c r="G14" s="635"/>
      <c r="H14" s="635"/>
      <c r="I14" s="654"/>
      <c r="J14" s="635"/>
      <c r="K14" s="635"/>
      <c r="L14" s="635"/>
      <c r="M14" s="635"/>
      <c r="N14" s="635"/>
      <c r="O14" s="635"/>
      <c r="P14" s="635"/>
      <c r="Q14" s="635"/>
      <c r="R14" s="635"/>
      <c r="S14" s="701"/>
      <c r="T14" s="635"/>
      <c r="U14" s="635"/>
      <c r="V14" s="635"/>
      <c r="W14" s="635"/>
      <c r="X14" s="635"/>
      <c r="Y14" s="635"/>
      <c r="Z14" s="635"/>
      <c r="AA14" s="635"/>
      <c r="AB14" s="635"/>
      <c r="AC14" s="635"/>
      <c r="AD14" s="654"/>
      <c r="AE14" s="659"/>
      <c r="AF14" s="659"/>
    </row>
    <row r="15" spans="1:75" s="356" customFormat="1" hidden="1" x14ac:dyDescent="0.25">
      <c r="A15" s="591" t="s">
        <v>267</v>
      </c>
      <c r="B15" s="471" t="s">
        <v>240</v>
      </c>
      <c r="C15" s="471" t="s">
        <v>151</v>
      </c>
      <c r="D15" s="472">
        <f>F97</f>
        <v>0</v>
      </c>
      <c r="E15" s="472"/>
      <c r="F15" s="475">
        <v>0</v>
      </c>
      <c r="G15" s="636"/>
      <c r="H15" s="475"/>
      <c r="I15" s="472">
        <f>K97</f>
        <v>0</v>
      </c>
      <c r="J15" s="475"/>
      <c r="K15" s="475"/>
      <c r="L15" s="475"/>
      <c r="M15" s="475"/>
      <c r="N15" s="475"/>
      <c r="O15" s="475"/>
      <c r="P15" s="475"/>
      <c r="Q15" s="475"/>
      <c r="R15" s="475"/>
      <c r="S15" s="702"/>
      <c r="T15" s="475"/>
      <c r="U15" s="475"/>
      <c r="V15" s="475"/>
      <c r="W15" s="475"/>
      <c r="X15" s="475"/>
      <c r="Y15" s="475"/>
      <c r="Z15" s="475"/>
      <c r="AA15" s="475"/>
      <c r="AB15" s="475"/>
      <c r="AC15" s="637"/>
      <c r="AD15" s="570">
        <f t="shared" ref="AD15:AD46" si="0">SUM(F15:AC15)</f>
        <v>0</v>
      </c>
      <c r="AE15" s="660">
        <f t="shared" ref="AE15:AE63" si="1">AD15*D15</f>
        <v>0</v>
      </c>
      <c r="AF15" s="661" t="str">
        <f>IF(AD15&lt;0,"buy","sell")</f>
        <v>sell</v>
      </c>
    </row>
    <row r="16" spans="1:75" s="356" customFormat="1" hidden="1" x14ac:dyDescent="0.25">
      <c r="A16" s="591" t="s">
        <v>267</v>
      </c>
      <c r="B16" s="471" t="s">
        <v>240</v>
      </c>
      <c r="C16" s="471" t="s">
        <v>151</v>
      </c>
      <c r="D16" s="472">
        <f>F98</f>
        <v>0</v>
      </c>
      <c r="E16" s="472"/>
      <c r="F16" s="475"/>
      <c r="G16" s="475"/>
      <c r="H16" s="475"/>
      <c r="I16" s="472">
        <f>K98</f>
        <v>0</v>
      </c>
      <c r="J16" s="475"/>
      <c r="K16" s="475"/>
      <c r="L16" s="475"/>
      <c r="M16" s="475"/>
      <c r="N16" s="475"/>
      <c r="O16" s="475"/>
      <c r="P16" s="475"/>
      <c r="Q16" s="475"/>
      <c r="R16" s="475"/>
      <c r="S16" s="702"/>
      <c r="T16" s="475"/>
      <c r="U16" s="475"/>
      <c r="V16" s="475"/>
      <c r="W16" s="475"/>
      <c r="X16" s="475"/>
      <c r="Y16" s="475"/>
      <c r="Z16" s="475"/>
      <c r="AA16" s="475"/>
      <c r="AB16" s="637"/>
      <c r="AC16" s="637"/>
      <c r="AD16" s="570">
        <f t="shared" si="0"/>
        <v>0</v>
      </c>
      <c r="AE16" s="660">
        <f t="shared" si="1"/>
        <v>0</v>
      </c>
      <c r="AF16" s="661" t="str">
        <f t="shared" ref="AF16:AF38" si="2">IF(AD16&lt;0,"buy","sell")</f>
        <v>sell</v>
      </c>
    </row>
    <row r="17" spans="1:32" s="356" customFormat="1" hidden="1" x14ac:dyDescent="0.25">
      <c r="A17" s="591" t="s">
        <v>267</v>
      </c>
      <c r="B17" s="471" t="s">
        <v>240</v>
      </c>
      <c r="C17" s="471" t="s">
        <v>151</v>
      </c>
      <c r="D17" s="472">
        <f>F99</f>
        <v>0</v>
      </c>
      <c r="E17" s="472"/>
      <c r="F17" s="475"/>
      <c r="G17" s="636"/>
      <c r="H17" s="475"/>
      <c r="I17" s="472">
        <f>K99</f>
        <v>0</v>
      </c>
      <c r="J17" s="475"/>
      <c r="K17" s="475"/>
      <c r="L17" s="475"/>
      <c r="M17" s="475"/>
      <c r="N17" s="475"/>
      <c r="O17" s="475"/>
      <c r="P17" s="475"/>
      <c r="Q17" s="475"/>
      <c r="R17" s="475"/>
      <c r="S17" s="702"/>
      <c r="T17" s="475"/>
      <c r="U17" s="475"/>
      <c r="V17" s="475"/>
      <c r="W17" s="475"/>
      <c r="X17" s="475"/>
      <c r="Y17" s="475"/>
      <c r="Z17" s="475"/>
      <c r="AA17" s="475"/>
      <c r="AB17" s="475"/>
      <c r="AC17" s="637"/>
      <c r="AD17" s="570">
        <f t="shared" si="0"/>
        <v>0</v>
      </c>
      <c r="AE17" s="660">
        <f t="shared" si="1"/>
        <v>0</v>
      </c>
      <c r="AF17" s="661" t="str">
        <f t="shared" si="2"/>
        <v>sell</v>
      </c>
    </row>
    <row r="18" spans="1:32" s="356" customFormat="1" hidden="1" x14ac:dyDescent="0.25">
      <c r="A18" s="591" t="s">
        <v>267</v>
      </c>
      <c r="B18" s="471" t="s">
        <v>240</v>
      </c>
      <c r="C18" s="471" t="s">
        <v>151</v>
      </c>
      <c r="D18" s="472">
        <f>F100</f>
        <v>0</v>
      </c>
      <c r="E18" s="472"/>
      <c r="F18" s="475"/>
      <c r="G18" s="636"/>
      <c r="H18" s="475"/>
      <c r="I18" s="472">
        <f>K100</f>
        <v>0</v>
      </c>
      <c r="J18" s="475"/>
      <c r="K18" s="475"/>
      <c r="L18" s="475"/>
      <c r="M18" s="475"/>
      <c r="N18" s="475"/>
      <c r="O18" s="475"/>
      <c r="P18" s="475"/>
      <c r="Q18" s="475"/>
      <c r="R18" s="475"/>
      <c r="S18" s="702"/>
      <c r="T18" s="475"/>
      <c r="U18" s="475"/>
      <c r="V18" s="475"/>
      <c r="W18" s="475"/>
      <c r="X18" s="475"/>
      <c r="Y18" s="475"/>
      <c r="Z18" s="475"/>
      <c r="AA18" s="475"/>
      <c r="AB18" s="475"/>
      <c r="AC18" s="637"/>
      <c r="AD18" s="570">
        <f t="shared" si="0"/>
        <v>0</v>
      </c>
      <c r="AE18" s="660">
        <f t="shared" si="1"/>
        <v>0</v>
      </c>
      <c r="AF18" s="661" t="str">
        <f t="shared" si="2"/>
        <v>sell</v>
      </c>
    </row>
    <row r="19" spans="1:32" s="356" customFormat="1" hidden="1" x14ac:dyDescent="0.25">
      <c r="A19" s="591" t="s">
        <v>267</v>
      </c>
      <c r="B19" s="471" t="s">
        <v>240</v>
      </c>
      <c r="C19" s="471" t="s">
        <v>151</v>
      </c>
      <c r="D19" s="472">
        <f t="shared" ref="D19:D38" si="3">F101</f>
        <v>0</v>
      </c>
      <c r="E19" s="472"/>
      <c r="F19" s="475"/>
      <c r="G19" s="636"/>
      <c r="H19" s="475"/>
      <c r="I19" s="472">
        <f t="shared" ref="I19:I38" si="4">K101</f>
        <v>0</v>
      </c>
      <c r="J19" s="475"/>
      <c r="K19" s="475"/>
      <c r="L19" s="475"/>
      <c r="M19" s="475"/>
      <c r="N19" s="475"/>
      <c r="O19" s="475"/>
      <c r="P19" s="475"/>
      <c r="Q19" s="475"/>
      <c r="R19" s="475"/>
      <c r="S19" s="702"/>
      <c r="T19" s="475"/>
      <c r="U19" s="475"/>
      <c r="V19" s="475"/>
      <c r="W19" s="475"/>
      <c r="X19" s="475"/>
      <c r="Y19" s="475"/>
      <c r="Z19" s="475"/>
      <c r="AA19" s="475"/>
      <c r="AB19" s="475"/>
      <c r="AC19" s="637"/>
      <c r="AD19" s="570">
        <f t="shared" si="0"/>
        <v>0</v>
      </c>
      <c r="AE19" s="660">
        <f t="shared" si="1"/>
        <v>0</v>
      </c>
      <c r="AF19" s="661" t="str">
        <f>IF(AD19&lt;0,"buy","sell")</f>
        <v>sell</v>
      </c>
    </row>
    <row r="20" spans="1:32" s="356" customFormat="1" hidden="1" x14ac:dyDescent="0.25">
      <c r="A20" s="591" t="s">
        <v>267</v>
      </c>
      <c r="B20" s="471" t="s">
        <v>240</v>
      </c>
      <c r="C20" s="471" t="s">
        <v>151</v>
      </c>
      <c r="D20" s="472">
        <f t="shared" si="3"/>
        <v>0</v>
      </c>
      <c r="E20" s="472"/>
      <c r="F20" s="475"/>
      <c r="G20" s="636"/>
      <c r="H20" s="475"/>
      <c r="I20" s="472">
        <f t="shared" si="4"/>
        <v>0</v>
      </c>
      <c r="J20" s="475"/>
      <c r="K20" s="475"/>
      <c r="L20" s="475"/>
      <c r="M20" s="475"/>
      <c r="N20" s="475"/>
      <c r="O20" s="475"/>
      <c r="P20" s="475"/>
      <c r="Q20" s="475"/>
      <c r="R20" s="475"/>
      <c r="S20" s="702"/>
      <c r="T20" s="475"/>
      <c r="U20" s="475"/>
      <c r="V20" s="475"/>
      <c r="W20" s="475"/>
      <c r="X20" s="475"/>
      <c r="Y20" s="475"/>
      <c r="Z20" s="475"/>
      <c r="AA20" s="475"/>
      <c r="AB20" s="475"/>
      <c r="AC20" s="475"/>
      <c r="AD20" s="570">
        <f t="shared" si="0"/>
        <v>0</v>
      </c>
      <c r="AE20" s="660">
        <f t="shared" si="1"/>
        <v>0</v>
      </c>
      <c r="AF20" s="661" t="str">
        <f t="shared" si="2"/>
        <v>sell</v>
      </c>
    </row>
    <row r="21" spans="1:32" s="356" customFormat="1" hidden="1" x14ac:dyDescent="0.25">
      <c r="A21" s="591" t="s">
        <v>267</v>
      </c>
      <c r="B21" s="471" t="s">
        <v>240</v>
      </c>
      <c r="C21" s="471" t="s">
        <v>151</v>
      </c>
      <c r="D21" s="472">
        <f t="shared" si="3"/>
        <v>0</v>
      </c>
      <c r="E21" s="472"/>
      <c r="F21" s="475"/>
      <c r="G21" s="636"/>
      <c r="H21" s="475"/>
      <c r="I21" s="472">
        <f t="shared" si="4"/>
        <v>0</v>
      </c>
      <c r="J21" s="475"/>
      <c r="K21" s="475"/>
      <c r="L21" s="475"/>
      <c r="M21" s="475"/>
      <c r="N21" s="475"/>
      <c r="O21" s="475"/>
      <c r="P21" s="475"/>
      <c r="Q21" s="475"/>
      <c r="R21" s="475"/>
      <c r="S21" s="702"/>
      <c r="T21" s="475"/>
      <c r="U21" s="475"/>
      <c r="V21" s="475"/>
      <c r="W21" s="475"/>
      <c r="X21" s="475"/>
      <c r="Y21" s="475"/>
      <c r="Z21" s="475"/>
      <c r="AA21" s="475"/>
      <c r="AB21" s="475"/>
      <c r="AC21" s="475"/>
      <c r="AD21" s="570">
        <f t="shared" si="0"/>
        <v>0</v>
      </c>
      <c r="AE21" s="660">
        <f t="shared" si="1"/>
        <v>0</v>
      </c>
      <c r="AF21" s="661" t="str">
        <f t="shared" si="2"/>
        <v>sell</v>
      </c>
    </row>
    <row r="22" spans="1:32" s="356" customFormat="1" hidden="1" x14ac:dyDescent="0.25">
      <c r="A22" s="591" t="s">
        <v>267</v>
      </c>
      <c r="B22" s="471" t="s">
        <v>240</v>
      </c>
      <c r="C22" s="471" t="s">
        <v>151</v>
      </c>
      <c r="D22" s="472">
        <f t="shared" si="3"/>
        <v>0</v>
      </c>
      <c r="E22" s="472"/>
      <c r="F22" s="475"/>
      <c r="G22" s="636"/>
      <c r="H22" s="475"/>
      <c r="I22" s="472">
        <f t="shared" si="4"/>
        <v>0</v>
      </c>
      <c r="J22" s="475"/>
      <c r="K22" s="475"/>
      <c r="L22" s="475"/>
      <c r="M22" s="475"/>
      <c r="N22" s="475"/>
      <c r="O22" s="475"/>
      <c r="P22" s="475"/>
      <c r="Q22" s="475"/>
      <c r="R22" s="475"/>
      <c r="S22" s="702"/>
      <c r="T22" s="475"/>
      <c r="U22" s="475"/>
      <c r="V22" s="475"/>
      <c r="W22" s="475"/>
      <c r="X22" s="475"/>
      <c r="Y22" s="475"/>
      <c r="Z22" s="475"/>
      <c r="AA22" s="475"/>
      <c r="AB22" s="475"/>
      <c r="AC22" s="475"/>
      <c r="AD22" s="570">
        <f t="shared" si="0"/>
        <v>0</v>
      </c>
      <c r="AE22" s="660">
        <f t="shared" si="1"/>
        <v>0</v>
      </c>
      <c r="AF22" s="661" t="str">
        <f t="shared" si="2"/>
        <v>sell</v>
      </c>
    </row>
    <row r="23" spans="1:32" s="356" customFormat="1" hidden="1" x14ac:dyDescent="0.25">
      <c r="A23" s="591" t="s">
        <v>267</v>
      </c>
      <c r="B23" s="471" t="s">
        <v>240</v>
      </c>
      <c r="C23" s="471" t="s">
        <v>151</v>
      </c>
      <c r="D23" s="472">
        <f t="shared" si="3"/>
        <v>0</v>
      </c>
      <c r="E23" s="472"/>
      <c r="F23" s="475"/>
      <c r="G23" s="636"/>
      <c r="H23" s="475"/>
      <c r="I23" s="472">
        <f t="shared" si="4"/>
        <v>0</v>
      </c>
      <c r="J23" s="475"/>
      <c r="K23" s="475"/>
      <c r="L23" s="475"/>
      <c r="M23" s="475"/>
      <c r="N23" s="475"/>
      <c r="O23" s="475"/>
      <c r="P23" s="475"/>
      <c r="Q23" s="475"/>
      <c r="R23" s="475"/>
      <c r="S23" s="702"/>
      <c r="T23" s="475"/>
      <c r="U23" s="475"/>
      <c r="V23" s="475"/>
      <c r="W23" s="475"/>
      <c r="X23" s="475"/>
      <c r="Y23" s="475"/>
      <c r="Z23" s="475"/>
      <c r="AA23" s="475"/>
      <c r="AB23" s="475"/>
      <c r="AC23" s="475"/>
      <c r="AD23" s="570">
        <f t="shared" si="0"/>
        <v>0</v>
      </c>
      <c r="AE23" s="660">
        <f t="shared" si="1"/>
        <v>0</v>
      </c>
      <c r="AF23" s="661" t="str">
        <f t="shared" si="2"/>
        <v>sell</v>
      </c>
    </row>
    <row r="24" spans="1:32" s="356" customFormat="1" hidden="1" x14ac:dyDescent="0.25">
      <c r="A24" s="591" t="s">
        <v>267</v>
      </c>
      <c r="B24" s="471" t="s">
        <v>240</v>
      </c>
      <c r="C24" s="471" t="s">
        <v>151</v>
      </c>
      <c r="D24" s="472">
        <f t="shared" si="3"/>
        <v>0</v>
      </c>
      <c r="E24" s="472"/>
      <c r="F24" s="475"/>
      <c r="G24" s="636"/>
      <c r="H24" s="475"/>
      <c r="I24" s="472">
        <f t="shared" si="4"/>
        <v>0</v>
      </c>
      <c r="J24" s="475"/>
      <c r="K24" s="475"/>
      <c r="L24" s="475"/>
      <c r="M24" s="475"/>
      <c r="N24" s="475"/>
      <c r="O24" s="475"/>
      <c r="P24" s="475"/>
      <c r="Q24" s="475"/>
      <c r="R24" s="475"/>
      <c r="S24" s="702"/>
      <c r="T24" s="475"/>
      <c r="U24" s="475"/>
      <c r="V24" s="475"/>
      <c r="W24" s="475"/>
      <c r="X24" s="475"/>
      <c r="Y24" s="475"/>
      <c r="Z24" s="475"/>
      <c r="AA24" s="475"/>
      <c r="AB24" s="475"/>
      <c r="AC24" s="475"/>
      <c r="AD24" s="570">
        <f t="shared" si="0"/>
        <v>0</v>
      </c>
      <c r="AE24" s="660">
        <f t="shared" si="1"/>
        <v>0</v>
      </c>
      <c r="AF24" s="661" t="str">
        <f t="shared" si="2"/>
        <v>sell</v>
      </c>
    </row>
    <row r="25" spans="1:32" s="356" customFormat="1" hidden="1" x14ac:dyDescent="0.25">
      <c r="A25" s="591" t="s">
        <v>267</v>
      </c>
      <c r="B25" s="471" t="s">
        <v>240</v>
      </c>
      <c r="C25" s="471" t="s">
        <v>151</v>
      </c>
      <c r="D25" s="472">
        <f t="shared" si="3"/>
        <v>0</v>
      </c>
      <c r="E25" s="472"/>
      <c r="F25" s="475"/>
      <c r="G25" s="636"/>
      <c r="H25" s="475"/>
      <c r="I25" s="472">
        <f t="shared" si="4"/>
        <v>0</v>
      </c>
      <c r="J25" s="475"/>
      <c r="K25" s="475"/>
      <c r="L25" s="475"/>
      <c r="M25" s="475"/>
      <c r="N25" s="475"/>
      <c r="O25" s="475"/>
      <c r="P25" s="475"/>
      <c r="Q25" s="475"/>
      <c r="R25" s="475"/>
      <c r="S25" s="702"/>
      <c r="T25" s="475"/>
      <c r="U25" s="475"/>
      <c r="V25" s="475"/>
      <c r="W25" s="475"/>
      <c r="X25" s="475"/>
      <c r="Y25" s="475"/>
      <c r="Z25" s="475"/>
      <c r="AA25" s="475"/>
      <c r="AB25" s="475"/>
      <c r="AC25" s="475"/>
      <c r="AD25" s="570">
        <f t="shared" si="0"/>
        <v>0</v>
      </c>
      <c r="AE25" s="660">
        <f t="shared" si="1"/>
        <v>0</v>
      </c>
      <c r="AF25" s="661" t="str">
        <f t="shared" si="2"/>
        <v>sell</v>
      </c>
    </row>
    <row r="26" spans="1:32" s="356" customFormat="1" hidden="1" x14ac:dyDescent="0.25">
      <c r="A26" s="591" t="s">
        <v>267</v>
      </c>
      <c r="B26" s="471" t="s">
        <v>240</v>
      </c>
      <c r="C26" s="471" t="s">
        <v>151</v>
      </c>
      <c r="D26" s="472">
        <f t="shared" si="3"/>
        <v>0</v>
      </c>
      <c r="E26" s="472"/>
      <c r="F26" s="475"/>
      <c r="G26" s="636"/>
      <c r="H26" s="475"/>
      <c r="I26" s="472">
        <f t="shared" si="4"/>
        <v>0</v>
      </c>
      <c r="J26" s="475"/>
      <c r="K26" s="475"/>
      <c r="L26" s="475"/>
      <c r="M26" s="475"/>
      <c r="N26" s="475"/>
      <c r="O26" s="475"/>
      <c r="P26" s="475"/>
      <c r="Q26" s="475"/>
      <c r="R26" s="475"/>
      <c r="S26" s="702"/>
      <c r="T26" s="475"/>
      <c r="U26" s="475"/>
      <c r="V26" s="475"/>
      <c r="W26" s="475"/>
      <c r="X26" s="475"/>
      <c r="Y26" s="475"/>
      <c r="Z26" s="475"/>
      <c r="AA26" s="475"/>
      <c r="AB26" s="475"/>
      <c r="AC26" s="475"/>
      <c r="AD26" s="570">
        <f t="shared" si="0"/>
        <v>0</v>
      </c>
      <c r="AE26" s="660">
        <f t="shared" si="1"/>
        <v>0</v>
      </c>
      <c r="AF26" s="661" t="str">
        <f t="shared" si="2"/>
        <v>sell</v>
      </c>
    </row>
    <row r="27" spans="1:32" s="356" customFormat="1" hidden="1" x14ac:dyDescent="0.25">
      <c r="A27" s="591" t="s">
        <v>267</v>
      </c>
      <c r="B27" s="471" t="s">
        <v>240</v>
      </c>
      <c r="C27" s="471" t="s">
        <v>151</v>
      </c>
      <c r="D27" s="472">
        <f t="shared" si="3"/>
        <v>0</v>
      </c>
      <c r="E27" s="472"/>
      <c r="F27" s="475"/>
      <c r="G27" s="636"/>
      <c r="H27" s="475"/>
      <c r="I27" s="472">
        <f t="shared" si="4"/>
        <v>0</v>
      </c>
      <c r="J27" s="475"/>
      <c r="K27" s="475"/>
      <c r="L27" s="475"/>
      <c r="M27" s="475"/>
      <c r="N27" s="475"/>
      <c r="O27" s="475"/>
      <c r="P27" s="475"/>
      <c r="Q27" s="475"/>
      <c r="R27" s="475"/>
      <c r="S27" s="702"/>
      <c r="T27" s="475"/>
      <c r="U27" s="475"/>
      <c r="V27" s="475"/>
      <c r="W27" s="475"/>
      <c r="X27" s="475"/>
      <c r="Y27" s="475"/>
      <c r="Z27" s="475"/>
      <c r="AA27" s="475"/>
      <c r="AB27" s="475"/>
      <c r="AC27" s="475"/>
      <c r="AD27" s="570">
        <f t="shared" si="0"/>
        <v>0</v>
      </c>
      <c r="AE27" s="660">
        <f t="shared" si="1"/>
        <v>0</v>
      </c>
      <c r="AF27" s="661" t="str">
        <f t="shared" si="2"/>
        <v>sell</v>
      </c>
    </row>
    <row r="28" spans="1:32" s="356" customFormat="1" hidden="1" x14ac:dyDescent="0.25">
      <c r="A28" s="591" t="s">
        <v>267</v>
      </c>
      <c r="B28" s="471" t="s">
        <v>240</v>
      </c>
      <c r="C28" s="471" t="s">
        <v>151</v>
      </c>
      <c r="D28" s="472">
        <f t="shared" si="3"/>
        <v>0</v>
      </c>
      <c r="E28" s="472"/>
      <c r="F28" s="475"/>
      <c r="G28" s="636"/>
      <c r="H28" s="475"/>
      <c r="I28" s="472">
        <f t="shared" si="4"/>
        <v>0</v>
      </c>
      <c r="J28" s="475"/>
      <c r="K28" s="475"/>
      <c r="L28" s="475"/>
      <c r="M28" s="475"/>
      <c r="N28" s="475"/>
      <c r="O28" s="475"/>
      <c r="P28" s="475"/>
      <c r="Q28" s="475"/>
      <c r="R28" s="475"/>
      <c r="S28" s="702"/>
      <c r="T28" s="475"/>
      <c r="U28" s="475"/>
      <c r="V28" s="475"/>
      <c r="W28" s="475"/>
      <c r="X28" s="475"/>
      <c r="Y28" s="475"/>
      <c r="Z28" s="475"/>
      <c r="AA28" s="475"/>
      <c r="AB28" s="475"/>
      <c r="AC28" s="475"/>
      <c r="AD28" s="570">
        <f t="shared" si="0"/>
        <v>0</v>
      </c>
      <c r="AE28" s="660">
        <f t="shared" si="1"/>
        <v>0</v>
      </c>
      <c r="AF28" s="661" t="str">
        <f t="shared" si="2"/>
        <v>sell</v>
      </c>
    </row>
    <row r="29" spans="1:32" s="356" customFormat="1" hidden="1" x14ac:dyDescent="0.25">
      <c r="A29" s="591" t="s">
        <v>267</v>
      </c>
      <c r="B29" s="471" t="s">
        <v>240</v>
      </c>
      <c r="C29" s="471" t="s">
        <v>151</v>
      </c>
      <c r="D29" s="472">
        <f t="shared" si="3"/>
        <v>0</v>
      </c>
      <c r="E29" s="472"/>
      <c r="F29" s="475"/>
      <c r="G29" s="636"/>
      <c r="H29" s="475"/>
      <c r="I29" s="472">
        <f t="shared" si="4"/>
        <v>0</v>
      </c>
      <c r="J29" s="475"/>
      <c r="K29" s="475"/>
      <c r="L29" s="475"/>
      <c r="M29" s="475"/>
      <c r="N29" s="475"/>
      <c r="O29" s="475"/>
      <c r="P29" s="475"/>
      <c r="Q29" s="475"/>
      <c r="R29" s="475"/>
      <c r="S29" s="702"/>
      <c r="T29" s="475"/>
      <c r="U29" s="475"/>
      <c r="V29" s="475"/>
      <c r="W29" s="475"/>
      <c r="X29" s="475"/>
      <c r="Y29" s="475"/>
      <c r="Z29" s="475"/>
      <c r="AA29" s="475"/>
      <c r="AB29" s="475"/>
      <c r="AC29" s="475"/>
      <c r="AD29" s="570">
        <f t="shared" si="0"/>
        <v>0</v>
      </c>
      <c r="AE29" s="660">
        <f t="shared" si="1"/>
        <v>0</v>
      </c>
      <c r="AF29" s="661" t="str">
        <f t="shared" si="2"/>
        <v>sell</v>
      </c>
    </row>
    <row r="30" spans="1:32" s="356" customFormat="1" hidden="1" x14ac:dyDescent="0.25">
      <c r="A30" s="591" t="s">
        <v>267</v>
      </c>
      <c r="B30" s="471" t="s">
        <v>240</v>
      </c>
      <c r="C30" s="471" t="s">
        <v>151</v>
      </c>
      <c r="D30" s="472">
        <f t="shared" si="3"/>
        <v>0</v>
      </c>
      <c r="E30" s="472"/>
      <c r="F30" s="475"/>
      <c r="G30" s="636"/>
      <c r="H30" s="475"/>
      <c r="I30" s="472">
        <f t="shared" si="4"/>
        <v>0</v>
      </c>
      <c r="J30" s="475"/>
      <c r="K30" s="475"/>
      <c r="L30" s="475"/>
      <c r="M30" s="475"/>
      <c r="N30" s="475"/>
      <c r="O30" s="475"/>
      <c r="P30" s="475"/>
      <c r="Q30" s="475"/>
      <c r="R30" s="475"/>
      <c r="S30" s="702"/>
      <c r="T30" s="475"/>
      <c r="U30" s="475"/>
      <c r="V30" s="475"/>
      <c r="W30" s="475"/>
      <c r="X30" s="475"/>
      <c r="Y30" s="475"/>
      <c r="Z30" s="475"/>
      <c r="AA30" s="475"/>
      <c r="AB30" s="475"/>
      <c r="AC30" s="475"/>
      <c r="AD30" s="570">
        <f t="shared" si="0"/>
        <v>0</v>
      </c>
      <c r="AE30" s="660">
        <f t="shared" si="1"/>
        <v>0</v>
      </c>
      <c r="AF30" s="661" t="str">
        <f t="shared" si="2"/>
        <v>sell</v>
      </c>
    </row>
    <row r="31" spans="1:32" s="356" customFormat="1" hidden="1" x14ac:dyDescent="0.25">
      <c r="A31" s="591" t="s">
        <v>267</v>
      </c>
      <c r="B31" s="471" t="s">
        <v>240</v>
      </c>
      <c r="C31" s="471" t="s">
        <v>151</v>
      </c>
      <c r="D31" s="472">
        <f t="shared" si="3"/>
        <v>0</v>
      </c>
      <c r="E31" s="472"/>
      <c r="F31" s="475"/>
      <c r="G31" s="636"/>
      <c r="H31" s="475"/>
      <c r="I31" s="472">
        <f t="shared" si="4"/>
        <v>0</v>
      </c>
      <c r="J31" s="475"/>
      <c r="K31" s="475"/>
      <c r="L31" s="475"/>
      <c r="M31" s="475"/>
      <c r="N31" s="475"/>
      <c r="O31" s="475"/>
      <c r="P31" s="475"/>
      <c r="Q31" s="475"/>
      <c r="R31" s="475"/>
      <c r="S31" s="702"/>
      <c r="T31" s="475"/>
      <c r="U31" s="475"/>
      <c r="V31" s="475"/>
      <c r="W31" s="475"/>
      <c r="X31" s="475"/>
      <c r="Y31" s="475"/>
      <c r="Z31" s="475"/>
      <c r="AA31" s="638"/>
      <c r="AB31" s="475"/>
      <c r="AC31" s="475"/>
      <c r="AD31" s="570">
        <f t="shared" si="0"/>
        <v>0</v>
      </c>
      <c r="AE31" s="660">
        <f t="shared" si="1"/>
        <v>0</v>
      </c>
      <c r="AF31" s="661" t="str">
        <f t="shared" si="2"/>
        <v>sell</v>
      </c>
    </row>
    <row r="32" spans="1:32" s="356" customFormat="1" hidden="1" x14ac:dyDescent="0.25">
      <c r="A32" s="591" t="s">
        <v>267</v>
      </c>
      <c r="B32" s="471" t="s">
        <v>240</v>
      </c>
      <c r="C32" s="471" t="s">
        <v>151</v>
      </c>
      <c r="D32" s="472">
        <f t="shared" si="3"/>
        <v>0</v>
      </c>
      <c r="E32" s="472"/>
      <c r="F32" s="475"/>
      <c r="G32" s="636"/>
      <c r="H32" s="475"/>
      <c r="I32" s="472">
        <f t="shared" si="4"/>
        <v>0</v>
      </c>
      <c r="J32" s="475"/>
      <c r="K32" s="475"/>
      <c r="L32" s="475"/>
      <c r="M32" s="475"/>
      <c r="N32" s="475"/>
      <c r="O32" s="475"/>
      <c r="P32" s="475"/>
      <c r="Q32" s="475"/>
      <c r="R32" s="475"/>
      <c r="S32" s="702"/>
      <c r="T32" s="475"/>
      <c r="U32" s="475"/>
      <c r="V32" s="475"/>
      <c r="W32" s="475"/>
      <c r="X32" s="475"/>
      <c r="Y32" s="475"/>
      <c r="Z32" s="475"/>
      <c r="AA32" s="475"/>
      <c r="AB32" s="475"/>
      <c r="AC32" s="475"/>
      <c r="AD32" s="570">
        <f t="shared" si="0"/>
        <v>0</v>
      </c>
      <c r="AE32" s="660">
        <f t="shared" si="1"/>
        <v>0</v>
      </c>
      <c r="AF32" s="661" t="str">
        <f t="shared" si="2"/>
        <v>sell</v>
      </c>
    </row>
    <row r="33" spans="1:32" s="356" customFormat="1" hidden="1" x14ac:dyDescent="0.25">
      <c r="A33" s="591" t="s">
        <v>267</v>
      </c>
      <c r="B33" s="471" t="s">
        <v>240</v>
      </c>
      <c r="C33" s="471" t="s">
        <v>151</v>
      </c>
      <c r="D33" s="472">
        <f t="shared" si="3"/>
        <v>0</v>
      </c>
      <c r="E33" s="472"/>
      <c r="F33" s="475"/>
      <c r="G33" s="636"/>
      <c r="H33" s="475"/>
      <c r="I33" s="472">
        <f t="shared" si="4"/>
        <v>0</v>
      </c>
      <c r="J33" s="475"/>
      <c r="K33" s="475"/>
      <c r="L33" s="475"/>
      <c r="M33" s="475"/>
      <c r="N33" s="475"/>
      <c r="O33" s="475"/>
      <c r="P33" s="475"/>
      <c r="Q33" s="475"/>
      <c r="R33" s="475"/>
      <c r="S33" s="702"/>
      <c r="T33" s="475"/>
      <c r="U33" s="475"/>
      <c r="V33" s="475"/>
      <c r="W33" s="475"/>
      <c r="X33" s="475"/>
      <c r="Y33" s="475"/>
      <c r="Z33" s="475"/>
      <c r="AA33" s="475"/>
      <c r="AB33" s="475"/>
      <c r="AC33" s="475"/>
      <c r="AD33" s="570">
        <f t="shared" si="0"/>
        <v>0</v>
      </c>
      <c r="AE33" s="660">
        <f t="shared" si="1"/>
        <v>0</v>
      </c>
      <c r="AF33" s="661" t="str">
        <f t="shared" si="2"/>
        <v>sell</v>
      </c>
    </row>
    <row r="34" spans="1:32" s="356" customFormat="1" hidden="1" x14ac:dyDescent="0.25">
      <c r="A34" s="591" t="s">
        <v>267</v>
      </c>
      <c r="B34" s="471" t="s">
        <v>240</v>
      </c>
      <c r="C34" s="471" t="s">
        <v>151</v>
      </c>
      <c r="D34" s="472">
        <f t="shared" si="3"/>
        <v>0</v>
      </c>
      <c r="E34" s="472"/>
      <c r="F34" s="475"/>
      <c r="G34" s="636"/>
      <c r="H34" s="475"/>
      <c r="I34" s="472">
        <f t="shared" si="4"/>
        <v>0</v>
      </c>
      <c r="J34" s="475"/>
      <c r="K34" s="475"/>
      <c r="L34" s="475"/>
      <c r="M34" s="475"/>
      <c r="N34" s="475"/>
      <c r="O34" s="475"/>
      <c r="P34" s="475"/>
      <c r="Q34" s="475"/>
      <c r="R34" s="475"/>
      <c r="S34" s="702"/>
      <c r="T34" s="475"/>
      <c r="U34" s="475"/>
      <c r="V34" s="475"/>
      <c r="W34" s="475"/>
      <c r="X34" s="475"/>
      <c r="Y34" s="475"/>
      <c r="Z34" s="475"/>
      <c r="AA34" s="475"/>
      <c r="AB34" s="475"/>
      <c r="AC34" s="475"/>
      <c r="AD34" s="570">
        <f t="shared" si="0"/>
        <v>0</v>
      </c>
      <c r="AE34" s="660">
        <f t="shared" si="1"/>
        <v>0</v>
      </c>
      <c r="AF34" s="661" t="str">
        <f t="shared" si="2"/>
        <v>sell</v>
      </c>
    </row>
    <row r="35" spans="1:32" s="356" customFormat="1" hidden="1" x14ac:dyDescent="0.25">
      <c r="A35" s="591" t="s">
        <v>267</v>
      </c>
      <c r="B35" s="471" t="s">
        <v>240</v>
      </c>
      <c r="C35" s="471" t="s">
        <v>151</v>
      </c>
      <c r="D35" s="472">
        <f t="shared" si="3"/>
        <v>0</v>
      </c>
      <c r="E35" s="472"/>
      <c r="F35" s="475"/>
      <c r="G35" s="636"/>
      <c r="H35" s="475"/>
      <c r="I35" s="472">
        <f t="shared" si="4"/>
        <v>0</v>
      </c>
      <c r="J35" s="475"/>
      <c r="K35" s="475"/>
      <c r="L35" s="475"/>
      <c r="M35" s="475"/>
      <c r="N35" s="475"/>
      <c r="O35" s="475"/>
      <c r="P35" s="475"/>
      <c r="Q35" s="475"/>
      <c r="R35" s="475"/>
      <c r="S35" s="702"/>
      <c r="T35" s="475"/>
      <c r="U35" s="475"/>
      <c r="V35" s="475"/>
      <c r="W35" s="475"/>
      <c r="X35" s="475"/>
      <c r="Y35" s="475"/>
      <c r="Z35" s="475"/>
      <c r="AA35" s="475"/>
      <c r="AB35" s="475"/>
      <c r="AC35" s="475"/>
      <c r="AD35" s="570">
        <f t="shared" si="0"/>
        <v>0</v>
      </c>
      <c r="AE35" s="660">
        <f t="shared" si="1"/>
        <v>0</v>
      </c>
      <c r="AF35" s="661" t="str">
        <f t="shared" si="2"/>
        <v>sell</v>
      </c>
    </row>
    <row r="36" spans="1:32" s="356" customFormat="1" hidden="1" x14ac:dyDescent="0.25">
      <c r="A36" s="591" t="s">
        <v>267</v>
      </c>
      <c r="B36" s="471" t="s">
        <v>240</v>
      </c>
      <c r="C36" s="471" t="s">
        <v>151</v>
      </c>
      <c r="D36" s="472">
        <f t="shared" si="3"/>
        <v>0</v>
      </c>
      <c r="E36" s="472"/>
      <c r="F36" s="475"/>
      <c r="G36" s="636"/>
      <c r="H36" s="475"/>
      <c r="I36" s="472">
        <f t="shared" si="4"/>
        <v>0</v>
      </c>
      <c r="J36" s="475"/>
      <c r="K36" s="475"/>
      <c r="L36" s="475"/>
      <c r="M36" s="475"/>
      <c r="N36" s="475"/>
      <c r="O36" s="475"/>
      <c r="P36" s="475"/>
      <c r="Q36" s="475"/>
      <c r="R36" s="475"/>
      <c r="S36" s="702"/>
      <c r="T36" s="475"/>
      <c r="U36" s="475"/>
      <c r="V36" s="475"/>
      <c r="W36" s="475"/>
      <c r="X36" s="475"/>
      <c r="Y36" s="475"/>
      <c r="Z36" s="475"/>
      <c r="AA36" s="475"/>
      <c r="AB36" s="475"/>
      <c r="AC36" s="475"/>
      <c r="AD36" s="570">
        <f t="shared" si="0"/>
        <v>0</v>
      </c>
      <c r="AE36" s="660">
        <f t="shared" si="1"/>
        <v>0</v>
      </c>
      <c r="AF36" s="661" t="str">
        <f t="shared" si="2"/>
        <v>sell</v>
      </c>
    </row>
    <row r="37" spans="1:32" s="356" customFormat="1" hidden="1" x14ac:dyDescent="0.25">
      <c r="A37" s="591" t="s">
        <v>267</v>
      </c>
      <c r="B37" s="471" t="s">
        <v>240</v>
      </c>
      <c r="C37" s="471" t="s">
        <v>151</v>
      </c>
      <c r="D37" s="472">
        <f t="shared" si="3"/>
        <v>0</v>
      </c>
      <c r="E37" s="472"/>
      <c r="F37" s="475"/>
      <c r="G37" s="636"/>
      <c r="H37" s="475"/>
      <c r="I37" s="472">
        <f t="shared" si="4"/>
        <v>0</v>
      </c>
      <c r="J37" s="475"/>
      <c r="K37" s="475"/>
      <c r="L37" s="475"/>
      <c r="M37" s="475"/>
      <c r="N37" s="475"/>
      <c r="O37" s="475"/>
      <c r="P37" s="475"/>
      <c r="Q37" s="475"/>
      <c r="R37" s="475"/>
      <c r="S37" s="702"/>
      <c r="T37" s="475"/>
      <c r="U37" s="475"/>
      <c r="V37" s="475"/>
      <c r="W37" s="475"/>
      <c r="X37" s="475"/>
      <c r="Y37" s="475"/>
      <c r="Z37" s="475"/>
      <c r="AA37" s="475"/>
      <c r="AB37" s="475"/>
      <c r="AC37" s="475"/>
      <c r="AD37" s="570">
        <f t="shared" si="0"/>
        <v>0</v>
      </c>
      <c r="AE37" s="660">
        <f t="shared" si="1"/>
        <v>0</v>
      </c>
      <c r="AF37" s="661" t="str">
        <f t="shared" si="2"/>
        <v>sell</v>
      </c>
    </row>
    <row r="38" spans="1:32" s="356" customFormat="1" hidden="1" x14ac:dyDescent="0.25">
      <c r="A38" s="591" t="s">
        <v>267</v>
      </c>
      <c r="B38" s="471" t="s">
        <v>240</v>
      </c>
      <c r="C38" s="471" t="s">
        <v>151</v>
      </c>
      <c r="D38" s="472">
        <f t="shared" si="3"/>
        <v>0</v>
      </c>
      <c r="E38" s="472"/>
      <c r="F38" s="475"/>
      <c r="G38" s="636"/>
      <c r="H38" s="475"/>
      <c r="I38" s="472">
        <f t="shared" si="4"/>
        <v>0</v>
      </c>
      <c r="J38" s="475"/>
      <c r="K38" s="475"/>
      <c r="L38" s="475"/>
      <c r="M38" s="475"/>
      <c r="N38" s="475"/>
      <c r="O38" s="475"/>
      <c r="P38" s="475"/>
      <c r="Q38" s="475"/>
      <c r="R38" s="475"/>
      <c r="S38" s="702"/>
      <c r="T38" s="475"/>
      <c r="U38" s="475"/>
      <c r="V38" s="475"/>
      <c r="W38" s="475"/>
      <c r="X38" s="475"/>
      <c r="Y38" s="475"/>
      <c r="Z38" s="475"/>
      <c r="AA38" s="475"/>
      <c r="AB38" s="475"/>
      <c r="AC38" s="475"/>
      <c r="AD38" s="570">
        <f t="shared" si="0"/>
        <v>0</v>
      </c>
      <c r="AE38" s="660">
        <f t="shared" si="1"/>
        <v>0</v>
      </c>
      <c r="AF38" s="661" t="str">
        <f t="shared" si="2"/>
        <v>sell</v>
      </c>
    </row>
    <row r="39" spans="1:32" s="356" customFormat="1" hidden="1" x14ac:dyDescent="0.25">
      <c r="A39" s="591"/>
      <c r="B39" s="471"/>
      <c r="C39" s="471"/>
      <c r="D39" s="472"/>
      <c r="E39" s="472"/>
      <c r="F39" s="475"/>
      <c r="G39" s="636"/>
      <c r="H39" s="475"/>
      <c r="I39" s="472"/>
      <c r="J39" s="475"/>
      <c r="K39" s="475"/>
      <c r="L39" s="475"/>
      <c r="M39" s="475"/>
      <c r="N39" s="475"/>
      <c r="O39" s="475"/>
      <c r="P39" s="475"/>
      <c r="Q39" s="475"/>
      <c r="R39" s="475"/>
      <c r="S39" s="702"/>
      <c r="T39" s="475"/>
      <c r="U39" s="475"/>
      <c r="V39" s="475"/>
      <c r="W39" s="475"/>
      <c r="X39" s="475"/>
      <c r="Y39" s="475"/>
      <c r="Z39" s="475"/>
      <c r="AA39" s="475"/>
      <c r="AB39" s="475"/>
      <c r="AC39" s="475"/>
      <c r="AD39" s="570">
        <f t="shared" si="0"/>
        <v>0</v>
      </c>
      <c r="AE39" s="660">
        <f t="shared" si="1"/>
        <v>0</v>
      </c>
      <c r="AF39" s="661"/>
    </row>
    <row r="40" spans="1:32" s="356" customFormat="1" hidden="1" x14ac:dyDescent="0.25">
      <c r="A40" s="591" t="s">
        <v>267</v>
      </c>
      <c r="B40" s="471" t="s">
        <v>240</v>
      </c>
      <c r="C40" s="471" t="s">
        <v>268</v>
      </c>
      <c r="D40" s="472">
        <f t="shared" ref="D40:D62" si="5">F127</f>
        <v>0</v>
      </c>
      <c r="E40" s="472"/>
      <c r="F40" s="475">
        <v>0</v>
      </c>
      <c r="G40" s="475"/>
      <c r="H40" s="475"/>
      <c r="I40" s="472">
        <f t="shared" ref="I40:I62" si="6">K127</f>
        <v>0</v>
      </c>
      <c r="J40" s="475"/>
      <c r="K40" s="475"/>
      <c r="L40" s="475"/>
      <c r="M40" s="475"/>
      <c r="N40" s="475"/>
      <c r="O40" s="475"/>
      <c r="P40" s="475"/>
      <c r="Q40" s="475"/>
      <c r="R40" s="475"/>
      <c r="S40" s="702"/>
      <c r="T40" s="475"/>
      <c r="U40" s="475"/>
      <c r="V40" s="475"/>
      <c r="W40" s="475"/>
      <c r="X40" s="475"/>
      <c r="Y40" s="475"/>
      <c r="Z40" s="475"/>
      <c r="AA40" s="475"/>
      <c r="AB40" s="475"/>
      <c r="AC40" s="475"/>
      <c r="AD40" s="570">
        <f t="shared" si="0"/>
        <v>0</v>
      </c>
      <c r="AE40" s="660">
        <f t="shared" si="1"/>
        <v>0</v>
      </c>
      <c r="AF40" s="661" t="str">
        <f>IF(AD40&lt;0,"buy","sell")</f>
        <v>sell</v>
      </c>
    </row>
    <row r="41" spans="1:32" s="356" customFormat="1" hidden="1" x14ac:dyDescent="0.25">
      <c r="A41" s="591"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02"/>
      <c r="T41" s="475"/>
      <c r="U41" s="475"/>
      <c r="V41" s="475"/>
      <c r="W41" s="475"/>
      <c r="X41" s="475"/>
      <c r="Y41" s="475"/>
      <c r="Z41" s="475"/>
      <c r="AA41" s="475"/>
      <c r="AB41" s="475"/>
      <c r="AC41" s="475"/>
      <c r="AD41" s="570">
        <f t="shared" si="0"/>
        <v>0</v>
      </c>
      <c r="AE41" s="660">
        <f t="shared" si="1"/>
        <v>0</v>
      </c>
      <c r="AF41" s="661" t="str">
        <f t="shared" ref="AF41:AF63" si="7">IF(AD41&lt;0,"buy","sell")</f>
        <v>sell</v>
      </c>
    </row>
    <row r="42" spans="1:32" s="356" customFormat="1" hidden="1" x14ac:dyDescent="0.25">
      <c r="A42" s="591"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02"/>
      <c r="T42" s="475"/>
      <c r="U42" s="475"/>
      <c r="V42" s="475"/>
      <c r="W42" s="475"/>
      <c r="X42" s="475"/>
      <c r="Y42" s="475"/>
      <c r="Z42" s="475"/>
      <c r="AA42" s="475"/>
      <c r="AB42" s="475"/>
      <c r="AC42" s="475"/>
      <c r="AD42" s="570">
        <f t="shared" si="0"/>
        <v>0</v>
      </c>
      <c r="AE42" s="660">
        <f t="shared" si="1"/>
        <v>0</v>
      </c>
      <c r="AF42" s="661" t="str">
        <f t="shared" si="7"/>
        <v>sell</v>
      </c>
    </row>
    <row r="43" spans="1:32" s="356" customFormat="1" hidden="1" x14ac:dyDescent="0.25">
      <c r="A43" s="59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02"/>
      <c r="T43" s="475"/>
      <c r="U43" s="475"/>
      <c r="V43" s="475"/>
      <c r="W43" s="475"/>
      <c r="X43" s="475"/>
      <c r="Y43" s="475"/>
      <c r="Z43" s="475"/>
      <c r="AA43" s="475"/>
      <c r="AB43" s="475"/>
      <c r="AC43" s="475"/>
      <c r="AD43" s="570">
        <f t="shared" si="0"/>
        <v>0</v>
      </c>
      <c r="AE43" s="660">
        <f t="shared" si="1"/>
        <v>0</v>
      </c>
      <c r="AF43" s="661" t="str">
        <f t="shared" si="7"/>
        <v>sell</v>
      </c>
    </row>
    <row r="44" spans="1:32" s="356" customFormat="1" hidden="1" x14ac:dyDescent="0.25">
      <c r="A44" s="59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02"/>
      <c r="T44" s="475"/>
      <c r="U44" s="475"/>
      <c r="V44" s="475"/>
      <c r="W44" s="475"/>
      <c r="X44" s="475"/>
      <c r="Y44" s="475"/>
      <c r="Z44" s="475"/>
      <c r="AA44" s="475"/>
      <c r="AB44" s="475"/>
      <c r="AC44" s="475"/>
      <c r="AD44" s="570">
        <f t="shared" si="0"/>
        <v>0</v>
      </c>
      <c r="AE44" s="660">
        <f t="shared" si="1"/>
        <v>0</v>
      </c>
      <c r="AF44" s="661" t="str">
        <f t="shared" si="7"/>
        <v>sell</v>
      </c>
    </row>
    <row r="45" spans="1:32" s="356" customFormat="1" hidden="1" x14ac:dyDescent="0.25">
      <c r="A45" s="59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02"/>
      <c r="T45" s="475"/>
      <c r="U45" s="475"/>
      <c r="V45" s="475"/>
      <c r="W45" s="475"/>
      <c r="X45" s="475"/>
      <c r="Y45" s="475"/>
      <c r="Z45" s="475"/>
      <c r="AA45" s="475"/>
      <c r="AB45" s="475"/>
      <c r="AC45" s="475"/>
      <c r="AD45" s="570">
        <f t="shared" si="0"/>
        <v>0</v>
      </c>
      <c r="AE45" s="660">
        <f t="shared" si="1"/>
        <v>0</v>
      </c>
      <c r="AF45" s="661" t="str">
        <f t="shared" si="7"/>
        <v>sell</v>
      </c>
    </row>
    <row r="46" spans="1:32" s="356" customFormat="1" hidden="1" x14ac:dyDescent="0.25">
      <c r="A46" s="59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02"/>
      <c r="T46" s="475"/>
      <c r="U46" s="475"/>
      <c r="V46" s="475"/>
      <c r="W46" s="475"/>
      <c r="X46" s="475"/>
      <c r="Y46" s="475"/>
      <c r="Z46" s="475"/>
      <c r="AA46" s="475"/>
      <c r="AB46" s="475"/>
      <c r="AC46" s="475"/>
      <c r="AD46" s="570">
        <f t="shared" si="0"/>
        <v>0</v>
      </c>
      <c r="AE46" s="660">
        <f t="shared" si="1"/>
        <v>0</v>
      </c>
      <c r="AF46" s="661" t="str">
        <f t="shared" si="7"/>
        <v>sell</v>
      </c>
    </row>
    <row r="47" spans="1:32" s="356" customFormat="1" hidden="1" x14ac:dyDescent="0.25">
      <c r="A47" s="59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02"/>
      <c r="T47" s="475"/>
      <c r="U47" s="475"/>
      <c r="V47" s="475"/>
      <c r="W47" s="475"/>
      <c r="X47" s="475"/>
      <c r="Y47" s="475"/>
      <c r="Z47" s="475"/>
      <c r="AA47" s="475"/>
      <c r="AB47" s="475"/>
      <c r="AC47" s="475"/>
      <c r="AD47" s="570">
        <f t="shared" ref="AD47:AD63" si="8">SUM(F47:AC47)</f>
        <v>0</v>
      </c>
      <c r="AE47" s="660">
        <f t="shared" si="1"/>
        <v>0</v>
      </c>
      <c r="AF47" s="661" t="str">
        <f t="shared" si="7"/>
        <v>sell</v>
      </c>
    </row>
    <row r="48" spans="1:32" s="356" customFormat="1" hidden="1" x14ac:dyDescent="0.25">
      <c r="A48" s="59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02"/>
      <c r="T48" s="475"/>
      <c r="U48" s="475"/>
      <c r="V48" s="475"/>
      <c r="W48" s="475"/>
      <c r="X48" s="475"/>
      <c r="Y48" s="475"/>
      <c r="Z48" s="475"/>
      <c r="AA48" s="475"/>
      <c r="AB48" s="475"/>
      <c r="AC48" s="475"/>
      <c r="AD48" s="570">
        <f t="shared" si="8"/>
        <v>0</v>
      </c>
      <c r="AE48" s="660">
        <f t="shared" si="1"/>
        <v>0</v>
      </c>
      <c r="AF48" s="661" t="str">
        <f t="shared" si="7"/>
        <v>sell</v>
      </c>
    </row>
    <row r="49" spans="1:32" s="356" customFormat="1" hidden="1" x14ac:dyDescent="0.25">
      <c r="A49" s="59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02"/>
      <c r="T49" s="475"/>
      <c r="U49" s="475"/>
      <c r="V49" s="475"/>
      <c r="W49" s="475"/>
      <c r="X49" s="475"/>
      <c r="Y49" s="475"/>
      <c r="Z49" s="475"/>
      <c r="AA49" s="475"/>
      <c r="AB49" s="475"/>
      <c r="AC49" s="475"/>
      <c r="AD49" s="570">
        <f t="shared" si="8"/>
        <v>0</v>
      </c>
      <c r="AE49" s="660">
        <f t="shared" si="1"/>
        <v>0</v>
      </c>
      <c r="AF49" s="661" t="str">
        <f t="shared" si="7"/>
        <v>sell</v>
      </c>
    </row>
    <row r="50" spans="1:32" s="356" customFormat="1" hidden="1" x14ac:dyDescent="0.25">
      <c r="A50" s="59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02"/>
      <c r="T50" s="475"/>
      <c r="U50" s="475"/>
      <c r="V50" s="475"/>
      <c r="W50" s="475"/>
      <c r="X50" s="475"/>
      <c r="Y50" s="475"/>
      <c r="Z50" s="475"/>
      <c r="AA50" s="475"/>
      <c r="AB50" s="475"/>
      <c r="AC50" s="475"/>
      <c r="AD50" s="570">
        <f t="shared" si="8"/>
        <v>0</v>
      </c>
      <c r="AE50" s="660">
        <f t="shared" si="1"/>
        <v>0</v>
      </c>
      <c r="AF50" s="661" t="str">
        <f t="shared" si="7"/>
        <v>sell</v>
      </c>
    </row>
    <row r="51" spans="1:32" s="356" customFormat="1" hidden="1" x14ac:dyDescent="0.25">
      <c r="A51" s="59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02"/>
      <c r="T51" s="475"/>
      <c r="U51" s="475"/>
      <c r="V51" s="475"/>
      <c r="W51" s="475"/>
      <c r="X51" s="475"/>
      <c r="Y51" s="475"/>
      <c r="Z51" s="475"/>
      <c r="AA51" s="475"/>
      <c r="AB51" s="475"/>
      <c r="AC51" s="475"/>
      <c r="AD51" s="570">
        <f t="shared" si="8"/>
        <v>0</v>
      </c>
      <c r="AE51" s="660">
        <f t="shared" si="1"/>
        <v>0</v>
      </c>
      <c r="AF51" s="661" t="str">
        <f t="shared" si="7"/>
        <v>sell</v>
      </c>
    </row>
    <row r="52" spans="1:32" s="356" customFormat="1" hidden="1" x14ac:dyDescent="0.25">
      <c r="A52" s="59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02"/>
      <c r="T52" s="475"/>
      <c r="U52" s="475"/>
      <c r="V52" s="475"/>
      <c r="W52" s="475"/>
      <c r="X52" s="475"/>
      <c r="Y52" s="475"/>
      <c r="Z52" s="475"/>
      <c r="AA52" s="475"/>
      <c r="AB52" s="475"/>
      <c r="AC52" s="475"/>
      <c r="AD52" s="570">
        <f t="shared" si="8"/>
        <v>0</v>
      </c>
      <c r="AE52" s="660">
        <f t="shared" si="1"/>
        <v>0</v>
      </c>
      <c r="AF52" s="661" t="str">
        <f t="shared" si="7"/>
        <v>sell</v>
      </c>
    </row>
    <row r="53" spans="1:32" s="356" customFormat="1" hidden="1" x14ac:dyDescent="0.25">
      <c r="A53" s="59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02"/>
      <c r="T53" s="475"/>
      <c r="U53" s="475"/>
      <c r="V53" s="475"/>
      <c r="W53" s="475"/>
      <c r="X53" s="475"/>
      <c r="Y53" s="475"/>
      <c r="Z53" s="475"/>
      <c r="AA53" s="475"/>
      <c r="AB53" s="475"/>
      <c r="AC53" s="475"/>
      <c r="AD53" s="570">
        <f t="shared" si="8"/>
        <v>0</v>
      </c>
      <c r="AE53" s="660">
        <f t="shared" si="1"/>
        <v>0</v>
      </c>
      <c r="AF53" s="661" t="str">
        <f t="shared" si="7"/>
        <v>sell</v>
      </c>
    </row>
    <row r="54" spans="1:32" s="356" customFormat="1" hidden="1" x14ac:dyDescent="0.25">
      <c r="A54" s="59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02"/>
      <c r="T54" s="475"/>
      <c r="U54" s="475"/>
      <c r="V54" s="475"/>
      <c r="W54" s="475"/>
      <c r="X54" s="475"/>
      <c r="Y54" s="475"/>
      <c r="Z54" s="475"/>
      <c r="AA54" s="475"/>
      <c r="AB54" s="475"/>
      <c r="AC54" s="475"/>
      <c r="AD54" s="570">
        <f t="shared" si="8"/>
        <v>0</v>
      </c>
      <c r="AE54" s="660">
        <f t="shared" si="1"/>
        <v>0</v>
      </c>
      <c r="AF54" s="661" t="str">
        <f t="shared" si="7"/>
        <v>sell</v>
      </c>
    </row>
    <row r="55" spans="1:32" s="356" customFormat="1" hidden="1" x14ac:dyDescent="0.25">
      <c r="A55" s="59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02"/>
      <c r="T55" s="475"/>
      <c r="U55" s="475"/>
      <c r="V55" s="475"/>
      <c r="W55" s="475"/>
      <c r="X55" s="475"/>
      <c r="Y55" s="475"/>
      <c r="Z55" s="475"/>
      <c r="AA55" s="475"/>
      <c r="AB55" s="475"/>
      <c r="AC55" s="475"/>
      <c r="AD55" s="570">
        <f t="shared" si="8"/>
        <v>0</v>
      </c>
      <c r="AE55" s="660">
        <f t="shared" si="1"/>
        <v>0</v>
      </c>
      <c r="AF55" s="661" t="str">
        <f t="shared" si="7"/>
        <v>sell</v>
      </c>
    </row>
    <row r="56" spans="1:32" s="356" customFormat="1" hidden="1" x14ac:dyDescent="0.25">
      <c r="A56" s="59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02"/>
      <c r="T56" s="475"/>
      <c r="U56" s="475"/>
      <c r="V56" s="475"/>
      <c r="W56" s="475"/>
      <c r="X56" s="475"/>
      <c r="Y56" s="475"/>
      <c r="Z56" s="475"/>
      <c r="AA56" s="475"/>
      <c r="AB56" s="475"/>
      <c r="AC56" s="475"/>
      <c r="AD56" s="570">
        <f t="shared" si="8"/>
        <v>0</v>
      </c>
      <c r="AE56" s="660">
        <f t="shared" si="1"/>
        <v>0</v>
      </c>
      <c r="AF56" s="661" t="str">
        <f t="shared" si="7"/>
        <v>sell</v>
      </c>
    </row>
    <row r="57" spans="1:32" s="356" customFormat="1" hidden="1" x14ac:dyDescent="0.25">
      <c r="A57" s="59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02"/>
      <c r="T57" s="475"/>
      <c r="U57" s="475"/>
      <c r="V57" s="475"/>
      <c r="W57" s="475"/>
      <c r="X57" s="475"/>
      <c r="Y57" s="475"/>
      <c r="Z57" s="475"/>
      <c r="AA57" s="475"/>
      <c r="AB57" s="475"/>
      <c r="AC57" s="475"/>
      <c r="AD57" s="570">
        <f t="shared" si="8"/>
        <v>0</v>
      </c>
      <c r="AE57" s="660">
        <f t="shared" si="1"/>
        <v>0</v>
      </c>
      <c r="AF57" s="661" t="str">
        <f t="shared" si="7"/>
        <v>sell</v>
      </c>
    </row>
    <row r="58" spans="1:32" s="356" customFormat="1" hidden="1" x14ac:dyDescent="0.25">
      <c r="A58" s="59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02"/>
      <c r="T58" s="475"/>
      <c r="U58" s="475"/>
      <c r="V58" s="475"/>
      <c r="W58" s="475"/>
      <c r="X58" s="475"/>
      <c r="Y58" s="475"/>
      <c r="Z58" s="475"/>
      <c r="AA58" s="475"/>
      <c r="AB58" s="475"/>
      <c r="AC58" s="475"/>
      <c r="AD58" s="570">
        <f t="shared" si="8"/>
        <v>0</v>
      </c>
      <c r="AE58" s="660">
        <f t="shared" si="1"/>
        <v>0</v>
      </c>
      <c r="AF58" s="661" t="str">
        <f t="shared" si="7"/>
        <v>sell</v>
      </c>
    </row>
    <row r="59" spans="1:32" s="356" customFormat="1" hidden="1" x14ac:dyDescent="0.25">
      <c r="A59" s="59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02"/>
      <c r="T59" s="475"/>
      <c r="U59" s="475"/>
      <c r="V59" s="475"/>
      <c r="W59" s="475"/>
      <c r="X59" s="475"/>
      <c r="Y59" s="475"/>
      <c r="Z59" s="475"/>
      <c r="AA59" s="475"/>
      <c r="AB59" s="475"/>
      <c r="AC59" s="475"/>
      <c r="AD59" s="570">
        <f t="shared" si="8"/>
        <v>0</v>
      </c>
      <c r="AE59" s="660">
        <f t="shared" si="1"/>
        <v>0</v>
      </c>
      <c r="AF59" s="661" t="str">
        <f t="shared" si="7"/>
        <v>sell</v>
      </c>
    </row>
    <row r="60" spans="1:32" s="356" customFormat="1" hidden="1" x14ac:dyDescent="0.25">
      <c r="A60" s="59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02"/>
      <c r="T60" s="475"/>
      <c r="U60" s="475"/>
      <c r="V60" s="475"/>
      <c r="W60" s="475"/>
      <c r="X60" s="475"/>
      <c r="Y60" s="475"/>
      <c r="Z60" s="475"/>
      <c r="AA60" s="475"/>
      <c r="AB60" s="475"/>
      <c r="AC60" s="475"/>
      <c r="AD60" s="570">
        <f t="shared" si="8"/>
        <v>0</v>
      </c>
      <c r="AE60" s="660">
        <f t="shared" si="1"/>
        <v>0</v>
      </c>
      <c r="AF60" s="661" t="str">
        <f t="shared" si="7"/>
        <v>sell</v>
      </c>
    </row>
    <row r="61" spans="1:32" s="356" customFormat="1" hidden="1" x14ac:dyDescent="0.25">
      <c r="A61" s="59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02"/>
      <c r="T61" s="475"/>
      <c r="U61" s="475"/>
      <c r="V61" s="475"/>
      <c r="W61" s="475"/>
      <c r="X61" s="475"/>
      <c r="Y61" s="475"/>
      <c r="Z61" s="475"/>
      <c r="AA61" s="475"/>
      <c r="AB61" s="475"/>
      <c r="AC61" s="475"/>
      <c r="AD61" s="570">
        <f t="shared" si="8"/>
        <v>0</v>
      </c>
      <c r="AE61" s="660">
        <f t="shared" si="1"/>
        <v>0</v>
      </c>
      <c r="AF61" s="661" t="str">
        <f t="shared" si="7"/>
        <v>sell</v>
      </c>
    </row>
    <row r="62" spans="1:32" s="356" customFormat="1" hidden="1" x14ac:dyDescent="0.25">
      <c r="A62" s="59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02"/>
      <c r="T62" s="475"/>
      <c r="U62" s="475"/>
      <c r="V62" s="475"/>
      <c r="W62" s="475"/>
      <c r="X62" s="475"/>
      <c r="Y62" s="475"/>
      <c r="Z62" s="475"/>
      <c r="AA62" s="475"/>
      <c r="AB62" s="475"/>
      <c r="AC62" s="475"/>
      <c r="AD62" s="570">
        <f t="shared" si="8"/>
        <v>0</v>
      </c>
      <c r="AE62" s="660">
        <f t="shared" si="1"/>
        <v>0</v>
      </c>
      <c r="AF62" s="661" t="str">
        <f t="shared" si="7"/>
        <v>sell</v>
      </c>
    </row>
    <row r="63" spans="1:32" s="356" customFormat="1" hidden="1" x14ac:dyDescent="0.25">
      <c r="A63" s="591"/>
      <c r="B63" s="471"/>
      <c r="C63" s="471"/>
      <c r="D63" s="472"/>
      <c r="E63" s="472"/>
      <c r="F63" s="475"/>
      <c r="G63" s="636"/>
      <c r="H63" s="475"/>
      <c r="I63" s="472"/>
      <c r="J63" s="475"/>
      <c r="K63" s="475"/>
      <c r="L63" s="475"/>
      <c r="M63" s="475"/>
      <c r="N63" s="475"/>
      <c r="O63" s="475"/>
      <c r="P63" s="475"/>
      <c r="Q63" s="475"/>
      <c r="R63" s="475"/>
      <c r="S63" s="702"/>
      <c r="T63" s="475"/>
      <c r="U63" s="475"/>
      <c r="V63" s="475"/>
      <c r="W63" s="475"/>
      <c r="X63" s="475"/>
      <c r="Y63" s="475"/>
      <c r="Z63" s="475"/>
      <c r="AA63" s="475"/>
      <c r="AB63" s="475"/>
      <c r="AC63" s="475"/>
      <c r="AD63" s="571">
        <f t="shared" si="8"/>
        <v>0</v>
      </c>
      <c r="AE63" s="662">
        <f t="shared" si="1"/>
        <v>0</v>
      </c>
      <c r="AF63" s="663" t="str">
        <f t="shared" si="7"/>
        <v>sell</v>
      </c>
    </row>
    <row r="64" spans="1:32" s="356" customFormat="1" ht="12.75" customHeight="1" x14ac:dyDescent="0.25">
      <c r="A64" s="595"/>
      <c r="B64" s="597"/>
      <c r="C64" s="597"/>
      <c r="D64" s="668"/>
      <c r="E64" s="667"/>
      <c r="F64" s="475"/>
      <c r="G64" s="475"/>
      <c r="H64" s="475"/>
      <c r="I64" s="668"/>
      <c r="J64" s="475"/>
      <c r="K64" s="475"/>
      <c r="L64" s="475"/>
      <c r="M64" s="475"/>
      <c r="N64" s="475"/>
      <c r="O64" s="475"/>
      <c r="P64" s="475"/>
      <c r="Q64" s="475"/>
      <c r="R64" s="475"/>
      <c r="S64" s="702"/>
      <c r="T64" s="475"/>
      <c r="U64" s="475"/>
      <c r="V64" s="475"/>
      <c r="W64" s="475"/>
      <c r="X64" s="475"/>
      <c r="Y64" s="475"/>
      <c r="Z64" s="475"/>
      <c r="AA64" s="475"/>
      <c r="AB64" s="475"/>
      <c r="AC64" s="475"/>
      <c r="AD64" s="571">
        <f>SUM(E64:AC64)</f>
        <v>0</v>
      </c>
      <c r="AE64" s="662">
        <f>AD64*D64</f>
        <v>0</v>
      </c>
      <c r="AF64" s="663" t="str">
        <f>IF(AD64&lt;0,"buy","sell")</f>
        <v>sell</v>
      </c>
    </row>
    <row r="65" spans="1:33" s="356" customFormat="1" ht="12.75" customHeight="1" x14ac:dyDescent="0.25">
      <c r="A65" s="595" t="s">
        <v>224</v>
      </c>
      <c r="B65" s="597" t="s">
        <v>240</v>
      </c>
      <c r="C65" s="597" t="s">
        <v>268</v>
      </c>
      <c r="D65" s="668">
        <v>22.25</v>
      </c>
      <c r="E65" s="667"/>
      <c r="F65" s="475">
        <v>25</v>
      </c>
      <c r="G65" s="475">
        <v>25</v>
      </c>
      <c r="H65" s="475">
        <v>25</v>
      </c>
      <c r="I65" s="475">
        <v>25</v>
      </c>
      <c r="J65" s="475">
        <v>25</v>
      </c>
      <c r="K65" s="475">
        <v>25</v>
      </c>
      <c r="L65" s="475">
        <v>25</v>
      </c>
      <c r="M65" s="475"/>
      <c r="N65" s="475"/>
      <c r="O65" s="475"/>
      <c r="P65" s="475"/>
      <c r="Q65" s="475"/>
      <c r="R65" s="475"/>
      <c r="S65" s="702"/>
      <c r="T65" s="475"/>
      <c r="U65" s="475"/>
      <c r="V65" s="475"/>
      <c r="W65" s="475"/>
      <c r="X65" s="475"/>
      <c r="Y65" s="475"/>
      <c r="Z65" s="475"/>
      <c r="AA65" s="475"/>
      <c r="AB65" s="475"/>
      <c r="AC65" s="475">
        <v>25</v>
      </c>
      <c r="AD65" s="571">
        <f>SUM(E65:AC65)</f>
        <v>200</v>
      </c>
      <c r="AE65" s="662">
        <f>AD65*D65</f>
        <v>4450</v>
      </c>
      <c r="AF65" s="663" t="str">
        <f>IF(AD65&lt;0,"buy","sell")</f>
        <v>sell</v>
      </c>
    </row>
    <row r="66" spans="1:33" s="356" customFormat="1" ht="12.75" customHeight="1" x14ac:dyDescent="0.25">
      <c r="A66" s="595" t="s">
        <v>63</v>
      </c>
      <c r="B66" s="597" t="s">
        <v>240</v>
      </c>
      <c r="C66" s="597" t="s">
        <v>268</v>
      </c>
      <c r="D66" s="668"/>
      <c r="E66" s="667"/>
      <c r="F66" s="475"/>
      <c r="G66" s="475"/>
      <c r="H66" s="475"/>
      <c r="I66" s="475"/>
      <c r="J66" s="475"/>
      <c r="K66" s="475"/>
      <c r="L66" s="475"/>
      <c r="M66" s="475">
        <v>30</v>
      </c>
      <c r="N66" s="475">
        <v>30</v>
      </c>
      <c r="O66" s="475">
        <v>30</v>
      </c>
      <c r="P66" s="475">
        <v>30</v>
      </c>
      <c r="Q66" s="475">
        <v>30</v>
      </c>
      <c r="R66" s="475">
        <v>30</v>
      </c>
      <c r="S66" s="702">
        <v>30</v>
      </c>
      <c r="T66" s="475">
        <v>30</v>
      </c>
      <c r="U66" s="475">
        <v>30</v>
      </c>
      <c r="V66" s="475">
        <v>30</v>
      </c>
      <c r="W66" s="475">
        <v>30</v>
      </c>
      <c r="X66" s="475">
        <v>30</v>
      </c>
      <c r="Y66" s="475">
        <v>30</v>
      </c>
      <c r="Z66" s="475">
        <v>30</v>
      </c>
      <c r="AA66" s="475">
        <v>30</v>
      </c>
      <c r="AB66" s="475">
        <v>30</v>
      </c>
      <c r="AC66" s="475"/>
      <c r="AD66" s="571">
        <f>SUM(E66:AC66)</f>
        <v>480</v>
      </c>
      <c r="AE66" s="662">
        <f>AD66*D66</f>
        <v>0</v>
      </c>
      <c r="AF66" s="663" t="str">
        <f>IF(AD66&lt;0,"buy","sell")</f>
        <v>sell</v>
      </c>
    </row>
    <row r="67" spans="1:33" s="356" customFormat="1" ht="12.75" customHeight="1" x14ac:dyDescent="0.25">
      <c r="A67" s="595" t="s">
        <v>385</v>
      </c>
      <c r="B67" s="597" t="s">
        <v>240</v>
      </c>
      <c r="C67" s="594" t="s">
        <v>151</v>
      </c>
      <c r="D67" s="668"/>
      <c r="E67" s="667"/>
      <c r="F67" s="475"/>
      <c r="G67" s="475"/>
      <c r="H67" s="475"/>
      <c r="I67" s="475"/>
      <c r="J67" s="475"/>
      <c r="K67" s="475"/>
      <c r="L67" s="475"/>
      <c r="M67" s="475">
        <v>50</v>
      </c>
      <c r="N67" s="475">
        <v>50</v>
      </c>
      <c r="O67" s="475">
        <v>50</v>
      </c>
      <c r="P67" s="475">
        <v>50</v>
      </c>
      <c r="Q67" s="475">
        <v>50</v>
      </c>
      <c r="R67" s="475">
        <v>50</v>
      </c>
      <c r="S67" s="475">
        <v>50</v>
      </c>
      <c r="T67" s="475">
        <v>50</v>
      </c>
      <c r="U67" s="475">
        <v>50</v>
      </c>
      <c r="V67" s="475">
        <v>50</v>
      </c>
      <c r="W67" s="475">
        <v>50</v>
      </c>
      <c r="X67" s="475">
        <v>50</v>
      </c>
      <c r="Y67" s="475">
        <v>50</v>
      </c>
      <c r="Z67" s="475">
        <v>50</v>
      </c>
      <c r="AA67" s="475">
        <v>50</v>
      </c>
      <c r="AB67" s="475">
        <v>50</v>
      </c>
      <c r="AC67" s="475"/>
      <c r="AD67" s="571">
        <f>SUM(E67:AC67)</f>
        <v>800</v>
      </c>
      <c r="AE67" s="662">
        <f>AD67*D67</f>
        <v>0</v>
      </c>
      <c r="AF67" s="663" t="str">
        <f>IF(AD67&lt;0,"buy","sell")</f>
        <v>sell</v>
      </c>
    </row>
    <row r="68" spans="1:33" s="356" customFormat="1" ht="12.75" customHeight="1" x14ac:dyDescent="0.25">
      <c r="A68" s="595"/>
      <c r="B68" s="594"/>
      <c r="C68" s="594"/>
      <c r="D68" s="668"/>
      <c r="E68" s="667"/>
      <c r="F68" s="475"/>
      <c r="G68" s="475"/>
      <c r="H68" s="475"/>
      <c r="I68" s="475"/>
      <c r="J68" s="475"/>
      <c r="K68" s="475"/>
      <c r="L68" s="475"/>
      <c r="M68" s="475"/>
      <c r="N68" s="475"/>
      <c r="O68" s="475"/>
      <c r="P68" s="475"/>
      <c r="Q68" s="475"/>
      <c r="R68" s="475"/>
      <c r="S68" s="702"/>
      <c r="T68" s="702"/>
      <c r="U68" s="702"/>
      <c r="V68" s="702"/>
      <c r="W68" s="702"/>
      <c r="X68" s="702"/>
      <c r="Y68" s="702"/>
      <c r="Z68" s="702"/>
      <c r="AA68" s="702"/>
      <c r="AB68" s="702"/>
      <c r="AC68" s="475"/>
      <c r="AD68" s="571">
        <f>SUM(E68:AC68)</f>
        <v>0</v>
      </c>
      <c r="AE68" s="662">
        <f>AD68*D68</f>
        <v>0</v>
      </c>
      <c r="AF68" s="663" t="str">
        <f>IF(AD68&lt;0,"buy","sell")</f>
        <v>sell</v>
      </c>
    </row>
    <row r="69" spans="1:33" s="356" customFormat="1" ht="13.8" x14ac:dyDescent="0.25">
      <c r="A69" s="706" t="s">
        <v>361</v>
      </c>
      <c r="B69" s="654"/>
      <c r="C69" s="588"/>
      <c r="D69" s="654"/>
      <c r="E69" s="363"/>
      <c r="F69" s="635"/>
      <c r="G69" s="635"/>
      <c r="H69" s="635"/>
      <c r="I69" s="635"/>
      <c r="J69" s="635"/>
      <c r="K69" s="635"/>
      <c r="L69" s="635"/>
      <c r="M69" s="635"/>
      <c r="N69" s="635"/>
      <c r="O69" s="635"/>
      <c r="P69" s="635"/>
      <c r="Q69" s="635"/>
      <c r="R69" s="635"/>
      <c r="S69" s="701"/>
      <c r="T69" s="635"/>
      <c r="U69" s="635"/>
      <c r="V69" s="635"/>
      <c r="W69" s="635"/>
      <c r="X69" s="635"/>
      <c r="Y69" s="635"/>
      <c r="Z69" s="635"/>
      <c r="AA69" s="635"/>
      <c r="AB69" s="635"/>
      <c r="AC69" s="635"/>
      <c r="AD69" s="654"/>
      <c r="AE69" s="659"/>
      <c r="AF69" s="659"/>
    </row>
    <row r="70" spans="1:33" s="356" customFormat="1" x14ac:dyDescent="0.25">
      <c r="A70" s="596"/>
      <c r="B70" s="599"/>
      <c r="C70" s="599"/>
      <c r="D70" s="598"/>
      <c r="E70" s="593"/>
      <c r="F70" s="669"/>
      <c r="G70" s="669"/>
      <c r="H70" s="669"/>
      <c r="I70" s="669"/>
      <c r="J70" s="669"/>
      <c r="K70" s="669"/>
      <c r="L70" s="669"/>
      <c r="M70" s="669"/>
      <c r="N70" s="669"/>
      <c r="O70" s="669"/>
      <c r="P70" s="669"/>
      <c r="Q70" s="669"/>
      <c r="R70" s="669"/>
      <c r="S70" s="703"/>
      <c r="T70" s="669"/>
      <c r="U70" s="669"/>
      <c r="V70" s="669"/>
      <c r="W70" s="669"/>
      <c r="X70" s="669"/>
      <c r="Y70" s="669"/>
      <c r="Z70" s="669"/>
      <c r="AA70" s="669"/>
      <c r="AB70" s="669"/>
      <c r="AC70" s="669"/>
      <c r="AD70" s="571">
        <f>SUM(E70:AC70)</f>
        <v>0</v>
      </c>
      <c r="AE70" s="662">
        <f>AD70*D70</f>
        <v>0</v>
      </c>
      <c r="AF70" s="663" t="str">
        <f>IF(AD70&lt;0,"buy","sell")</f>
        <v>sell</v>
      </c>
    </row>
    <row r="71" spans="1:33" s="356" customFormat="1" x14ac:dyDescent="0.25">
      <c r="A71" s="596" t="s">
        <v>63</v>
      </c>
      <c r="B71" s="599" t="s">
        <v>383</v>
      </c>
      <c r="C71" s="599" t="s">
        <v>268</v>
      </c>
      <c r="D71" s="598">
        <v>7</v>
      </c>
      <c r="E71" s="593"/>
      <c r="F71" s="669">
        <v>50</v>
      </c>
      <c r="G71" s="669">
        <v>75</v>
      </c>
      <c r="H71" s="669">
        <v>75</v>
      </c>
      <c r="I71" s="669">
        <v>75</v>
      </c>
      <c r="J71" s="669">
        <v>75</v>
      </c>
      <c r="K71" s="669"/>
      <c r="L71" s="669"/>
      <c r="M71" s="669"/>
      <c r="N71" s="669"/>
      <c r="O71" s="669"/>
      <c r="P71" s="669"/>
      <c r="Q71" s="669"/>
      <c r="R71" s="669"/>
      <c r="S71" s="703"/>
      <c r="T71" s="669"/>
      <c r="U71" s="669"/>
      <c r="V71" s="669"/>
      <c r="W71" s="669"/>
      <c r="X71" s="669"/>
      <c r="Y71" s="669"/>
      <c r="Z71" s="669"/>
      <c r="AA71" s="669"/>
      <c r="AB71" s="669"/>
      <c r="AC71" s="669"/>
      <c r="AD71" s="571">
        <f>SUM(E71:AC71)</f>
        <v>350</v>
      </c>
      <c r="AE71" s="662">
        <f>AD71*D71</f>
        <v>2450</v>
      </c>
      <c r="AF71" s="663" t="str">
        <f>IF(AD71&lt;0,"buy","sell")</f>
        <v>sell</v>
      </c>
    </row>
    <row r="72" spans="1:33" s="356" customFormat="1" x14ac:dyDescent="0.25">
      <c r="A72" s="596" t="s">
        <v>63</v>
      </c>
      <c r="B72" s="599" t="s">
        <v>383</v>
      </c>
      <c r="C72" s="599" t="s">
        <v>268</v>
      </c>
      <c r="D72" s="598">
        <v>12</v>
      </c>
      <c r="E72" s="593"/>
      <c r="F72" s="669"/>
      <c r="G72" s="669"/>
      <c r="H72" s="669"/>
      <c r="I72" s="669"/>
      <c r="J72" s="669"/>
      <c r="K72" s="669">
        <v>40</v>
      </c>
      <c r="L72" s="669"/>
      <c r="M72" s="669"/>
      <c r="N72" s="669"/>
      <c r="O72" s="669"/>
      <c r="P72" s="669"/>
      <c r="Q72" s="669"/>
      <c r="R72" s="669"/>
      <c r="S72" s="703"/>
      <c r="T72" s="669"/>
      <c r="U72" s="669"/>
      <c r="V72" s="669"/>
      <c r="W72" s="669"/>
      <c r="X72" s="669"/>
      <c r="Y72" s="669"/>
      <c r="Z72" s="669"/>
      <c r="AA72" s="669"/>
      <c r="AB72" s="669"/>
      <c r="AC72" s="669"/>
      <c r="AD72" s="571">
        <f>SUM(E72:AC72)</f>
        <v>40</v>
      </c>
      <c r="AE72" s="662">
        <f>AD72*D72</f>
        <v>480</v>
      </c>
      <c r="AF72" s="663" t="str">
        <f>IF(AD72&lt;0,"buy","sell")</f>
        <v>sell</v>
      </c>
    </row>
    <row r="73" spans="1:33" s="356" customFormat="1" x14ac:dyDescent="0.25">
      <c r="A73" s="596"/>
      <c r="B73" s="599"/>
      <c r="C73" s="599"/>
      <c r="D73" s="598"/>
      <c r="E73" s="593"/>
      <c r="F73" s="669"/>
      <c r="G73" s="669"/>
      <c r="H73" s="669"/>
      <c r="I73" s="669"/>
      <c r="J73" s="669"/>
      <c r="K73" s="669"/>
      <c r="L73" s="669"/>
      <c r="M73" s="669"/>
      <c r="N73" s="669"/>
      <c r="O73" s="669"/>
      <c r="P73" s="669"/>
      <c r="Q73" s="669"/>
      <c r="R73" s="669"/>
      <c r="S73" s="703"/>
      <c r="T73" s="669"/>
      <c r="U73" s="669"/>
      <c r="V73" s="669"/>
      <c r="W73" s="669"/>
      <c r="X73" s="669"/>
      <c r="Y73" s="669"/>
      <c r="Z73" s="669"/>
      <c r="AA73" s="669"/>
      <c r="AB73" s="669"/>
      <c r="AC73" s="669"/>
      <c r="AD73" s="571">
        <f>SUM(E73:AC73)</f>
        <v>0</v>
      </c>
      <c r="AE73" s="662">
        <f>AD73*D73</f>
        <v>0</v>
      </c>
      <c r="AF73" s="663" t="str">
        <f>IF(AD73&lt;0,"buy","sell")</f>
        <v>sell</v>
      </c>
    </row>
    <row r="74" spans="1:33" s="356" customFormat="1" ht="13.8" x14ac:dyDescent="0.25">
      <c r="A74" s="706" t="s">
        <v>358</v>
      </c>
      <c r="B74" s="654"/>
      <c r="C74" s="588"/>
      <c r="D74" s="654"/>
      <c r="E74" s="363"/>
      <c r="F74" s="635"/>
      <c r="G74" s="635"/>
      <c r="H74" s="635"/>
      <c r="I74" s="635"/>
      <c r="J74" s="635"/>
      <c r="K74" s="635"/>
      <c r="L74" s="635"/>
      <c r="M74" s="635"/>
      <c r="N74" s="635"/>
      <c r="O74" s="635"/>
      <c r="P74" s="635"/>
      <c r="Q74" s="635"/>
      <c r="R74" s="635"/>
      <c r="S74" s="701"/>
      <c r="T74" s="635"/>
      <c r="U74" s="635"/>
      <c r="V74" s="635"/>
      <c r="W74" s="635"/>
      <c r="X74" s="635"/>
      <c r="Y74" s="635"/>
      <c r="Z74" s="635"/>
      <c r="AA74" s="635"/>
      <c r="AB74" s="635"/>
      <c r="AC74" s="635"/>
      <c r="AD74" s="654"/>
      <c r="AE74" s="659"/>
      <c r="AF74" s="659"/>
    </row>
    <row r="75" spans="1:33" s="356" customFormat="1" ht="12.75" customHeight="1" x14ac:dyDescent="0.25">
      <c r="A75" s="595"/>
      <c r="B75" s="597"/>
      <c r="C75" s="597"/>
      <c r="D75" s="668"/>
      <c r="E75" s="667"/>
      <c r="F75" s="475"/>
      <c r="G75" s="475"/>
      <c r="H75" s="475"/>
      <c r="I75" s="475"/>
      <c r="J75" s="475"/>
      <c r="K75" s="475"/>
      <c r="L75" s="475"/>
      <c r="M75" s="475"/>
      <c r="N75" s="475"/>
      <c r="O75" s="475"/>
      <c r="P75" s="475"/>
      <c r="Q75" s="475"/>
      <c r="R75" s="475"/>
      <c r="S75" s="702"/>
      <c r="T75" s="475"/>
      <c r="U75" s="475"/>
      <c r="V75" s="475"/>
      <c r="W75" s="475"/>
      <c r="X75" s="475"/>
      <c r="Y75" s="475"/>
      <c r="Z75" s="475"/>
      <c r="AA75" s="475"/>
      <c r="AB75" s="475"/>
      <c r="AC75" s="475"/>
      <c r="AD75" s="571">
        <f>SUM(E75:AC75)</f>
        <v>0</v>
      </c>
      <c r="AE75" s="662">
        <f>AD75*D75</f>
        <v>0</v>
      </c>
      <c r="AF75" s="663" t="str">
        <f>IF(AD75&lt;0,"buy","sell")</f>
        <v>sell</v>
      </c>
    </row>
    <row r="76" spans="1:33" s="356" customFormat="1" ht="12.75" customHeight="1" x14ac:dyDescent="0.25">
      <c r="A76" s="595" t="s">
        <v>65</v>
      </c>
      <c r="B76" s="597" t="s">
        <v>240</v>
      </c>
      <c r="C76" s="597" t="s">
        <v>151</v>
      </c>
      <c r="D76" s="668">
        <v>121</v>
      </c>
      <c r="E76" s="667"/>
      <c r="F76" s="475"/>
      <c r="G76" s="475"/>
      <c r="H76" s="475"/>
      <c r="I76" s="475"/>
      <c r="J76" s="475"/>
      <c r="K76" s="475"/>
      <c r="L76" s="475"/>
      <c r="M76" s="475">
        <v>-25</v>
      </c>
      <c r="N76" s="475">
        <v>-25</v>
      </c>
      <c r="O76" s="475">
        <v>-25</v>
      </c>
      <c r="P76" s="475">
        <v>-25</v>
      </c>
      <c r="Q76" s="475">
        <v>-25</v>
      </c>
      <c r="R76" s="475">
        <v>-25</v>
      </c>
      <c r="S76" s="702">
        <v>-25</v>
      </c>
      <c r="T76" s="475">
        <v>-25</v>
      </c>
      <c r="U76" s="475">
        <v>-25</v>
      </c>
      <c r="V76" s="475">
        <v>-25</v>
      </c>
      <c r="W76" s="475">
        <v>-25</v>
      </c>
      <c r="X76" s="475">
        <v>-25</v>
      </c>
      <c r="Y76" s="475">
        <v>-25</v>
      </c>
      <c r="Z76" s="475">
        <v>-25</v>
      </c>
      <c r="AA76" s="475">
        <v>-25</v>
      </c>
      <c r="AB76" s="475">
        <v>-25</v>
      </c>
      <c r="AC76" s="475"/>
      <c r="AD76" s="571">
        <f>SUM(E76:AC76)</f>
        <v>-400</v>
      </c>
      <c r="AE76" s="662">
        <f>AD76*D76</f>
        <v>-48400</v>
      </c>
      <c r="AF76" s="663" t="str">
        <f>IF(AD76&lt;0,"buy","sell")</f>
        <v>buy</v>
      </c>
    </row>
    <row r="77" spans="1:33" s="356" customFormat="1" ht="12.75" customHeight="1" x14ac:dyDescent="0.25">
      <c r="A77" s="595" t="s">
        <v>386</v>
      </c>
      <c r="B77" s="597" t="s">
        <v>240</v>
      </c>
      <c r="C77" s="597" t="s">
        <v>268</v>
      </c>
      <c r="D77" s="668">
        <v>121</v>
      </c>
      <c r="E77" s="667"/>
      <c r="F77" s="475"/>
      <c r="G77" s="475"/>
      <c r="H77" s="475"/>
      <c r="I77" s="475"/>
      <c r="J77" s="475"/>
      <c r="K77" s="475"/>
      <c r="L77" s="475"/>
      <c r="M77" s="475">
        <v>-25</v>
      </c>
      <c r="N77" s="475">
        <v>-25</v>
      </c>
      <c r="O77" s="475">
        <v>-25</v>
      </c>
      <c r="P77" s="475">
        <v>-25</v>
      </c>
      <c r="Q77" s="475">
        <v>-25</v>
      </c>
      <c r="R77" s="475">
        <v>-25</v>
      </c>
      <c r="S77" s="702">
        <v>-25</v>
      </c>
      <c r="T77" s="475">
        <v>-25</v>
      </c>
      <c r="U77" s="475">
        <v>-25</v>
      </c>
      <c r="V77" s="475">
        <v>-25</v>
      </c>
      <c r="W77" s="475">
        <v>-25</v>
      </c>
      <c r="X77" s="475">
        <v>-25</v>
      </c>
      <c r="Y77" s="475">
        <v>-25</v>
      </c>
      <c r="Z77" s="475">
        <v>-25</v>
      </c>
      <c r="AA77" s="475">
        <v>-25</v>
      </c>
      <c r="AB77" s="475">
        <v>-25</v>
      </c>
      <c r="AC77" s="475"/>
      <c r="AD77" s="571">
        <f>SUM(E77:AC77)</f>
        <v>-400</v>
      </c>
      <c r="AE77" s="662">
        <f>AD77*D77</f>
        <v>-48400</v>
      </c>
      <c r="AF77" s="663" t="str">
        <f>IF(AD77&lt;0,"buy","sell")</f>
        <v>buy</v>
      </c>
    </row>
    <row r="78" spans="1:33" s="356" customFormat="1" ht="12.75" customHeight="1" x14ac:dyDescent="0.25">
      <c r="A78" s="595" t="s">
        <v>387</v>
      </c>
      <c r="B78" s="597" t="s">
        <v>240</v>
      </c>
      <c r="C78" s="597" t="s">
        <v>268</v>
      </c>
      <c r="D78" s="668">
        <v>141.4</v>
      </c>
      <c r="E78" s="667"/>
      <c r="F78" s="475"/>
      <c r="G78" s="475"/>
      <c r="H78" s="475"/>
      <c r="I78" s="475"/>
      <c r="J78" s="475"/>
      <c r="K78" s="475"/>
      <c r="L78" s="475"/>
      <c r="M78" s="475">
        <v>-25</v>
      </c>
      <c r="N78" s="475">
        <v>-25</v>
      </c>
      <c r="O78" s="475">
        <v>-25</v>
      </c>
      <c r="P78" s="475">
        <v>-25</v>
      </c>
      <c r="Q78" s="475">
        <v>-25</v>
      </c>
      <c r="R78" s="475">
        <v>-25</v>
      </c>
      <c r="S78" s="702">
        <v>-25</v>
      </c>
      <c r="T78" s="475">
        <v>-25</v>
      </c>
      <c r="U78" s="475">
        <v>-25</v>
      </c>
      <c r="V78" s="475">
        <v>-25</v>
      </c>
      <c r="W78" s="475">
        <v>-25</v>
      </c>
      <c r="X78" s="475">
        <v>-25</v>
      </c>
      <c r="Y78" s="475">
        <v>-25</v>
      </c>
      <c r="Z78" s="475">
        <v>-25</v>
      </c>
      <c r="AA78" s="475">
        <v>-25</v>
      </c>
      <c r="AB78" s="475">
        <v>-25</v>
      </c>
      <c r="AC78" s="475"/>
      <c r="AD78" s="571">
        <f>SUM(E78:AC78)</f>
        <v>-400</v>
      </c>
      <c r="AE78" s="662">
        <f>AD78*D78</f>
        <v>-56560</v>
      </c>
      <c r="AF78" s="663" t="str">
        <f>IF(AD78&lt;0,"buy","sell")</f>
        <v>buy</v>
      </c>
    </row>
    <row r="79" spans="1:33" s="356" customFormat="1" x14ac:dyDescent="0.25">
      <c r="A79" s="595"/>
      <c r="B79" s="597"/>
      <c r="C79" s="597"/>
      <c r="D79" s="668"/>
      <c r="E79" s="667"/>
      <c r="F79" s="475"/>
      <c r="G79" s="475"/>
      <c r="H79" s="475"/>
      <c r="I79" s="475"/>
      <c r="J79" s="475"/>
      <c r="K79" s="475"/>
      <c r="L79" s="475"/>
      <c r="M79" s="475"/>
      <c r="N79" s="475"/>
      <c r="O79" s="475"/>
      <c r="P79" s="475"/>
      <c r="Q79" s="475"/>
      <c r="R79" s="475"/>
      <c r="S79" s="702"/>
      <c r="T79" s="475"/>
      <c r="U79" s="475"/>
      <c r="V79" s="475"/>
      <c r="W79" s="475"/>
      <c r="X79" s="475"/>
      <c r="Y79" s="475"/>
      <c r="Z79" s="475"/>
      <c r="AA79" s="475"/>
      <c r="AB79" s="475"/>
      <c r="AC79" s="475"/>
      <c r="AD79" s="571">
        <f>SUM(E79:AC79)</f>
        <v>0</v>
      </c>
      <c r="AE79" s="662">
        <f>AD79*D79</f>
        <v>0</v>
      </c>
      <c r="AF79" s="663" t="str">
        <f>IF(AD79&lt;0,"buy","sell")</f>
        <v>sell</v>
      </c>
    </row>
    <row r="80" spans="1:33" s="356" customFormat="1" ht="13.8" x14ac:dyDescent="0.25">
      <c r="A80" s="707" t="s">
        <v>359</v>
      </c>
      <c r="B80" s="538"/>
      <c r="C80" s="538"/>
      <c r="D80" s="538"/>
      <c r="E80" s="589"/>
      <c r="F80" s="538"/>
      <c r="G80" s="538"/>
      <c r="H80" s="538"/>
      <c r="I80" s="538"/>
      <c r="J80" s="538"/>
      <c r="K80" s="538"/>
      <c r="L80" s="538"/>
      <c r="M80" s="538"/>
      <c r="N80" s="538"/>
      <c r="O80" s="538"/>
      <c r="P80" s="538"/>
      <c r="Q80" s="538"/>
      <c r="R80" s="538"/>
      <c r="S80" s="704"/>
      <c r="T80" s="538"/>
      <c r="U80" s="538"/>
      <c r="V80" s="538"/>
      <c r="W80" s="538"/>
      <c r="X80" s="538"/>
      <c r="Y80" s="538"/>
      <c r="Z80" s="538"/>
      <c r="AA80" s="538"/>
      <c r="AB80" s="538"/>
      <c r="AC80" s="538"/>
      <c r="AD80" s="538"/>
      <c r="AE80" s="538"/>
      <c r="AF80" s="538"/>
      <c r="AG80" s="466"/>
    </row>
    <row r="81" spans="1:33" s="356" customFormat="1" x14ac:dyDescent="0.25">
      <c r="A81" s="695"/>
      <c r="B81" s="599"/>
      <c r="C81" s="696"/>
      <c r="D81" s="598"/>
      <c r="E81" s="697"/>
      <c r="F81" s="669"/>
      <c r="G81" s="698"/>
      <c r="H81" s="698"/>
      <c r="I81" s="698"/>
      <c r="J81" s="698"/>
      <c r="K81" s="698"/>
      <c r="L81" s="698"/>
      <c r="M81" s="698"/>
      <c r="N81" s="698"/>
      <c r="O81" s="698"/>
      <c r="P81" s="698"/>
      <c r="Q81" s="698"/>
      <c r="R81" s="698"/>
      <c r="S81" s="705"/>
      <c r="T81" s="698"/>
      <c r="U81" s="698"/>
      <c r="V81" s="698"/>
      <c r="W81" s="698"/>
      <c r="X81" s="698"/>
      <c r="Y81" s="698"/>
      <c r="Z81" s="698"/>
      <c r="AA81" s="698"/>
      <c r="AB81" s="698"/>
      <c r="AC81" s="698"/>
      <c r="AD81" s="571">
        <f>SUM(AA81:AC81)</f>
        <v>0</v>
      </c>
      <c r="AE81" s="662">
        <f>AD81*D81</f>
        <v>0</v>
      </c>
      <c r="AF81" s="663"/>
    </row>
    <row r="82" spans="1:33" s="356" customFormat="1" x14ac:dyDescent="0.25">
      <c r="A82" s="695" t="s">
        <v>224</v>
      </c>
      <c r="B82" s="599" t="s">
        <v>381</v>
      </c>
      <c r="C82" s="696" t="s">
        <v>151</v>
      </c>
      <c r="D82" s="598">
        <v>50</v>
      </c>
      <c r="E82" s="697"/>
      <c r="F82" s="669"/>
      <c r="G82" s="698"/>
      <c r="H82" s="698"/>
      <c r="I82" s="698"/>
      <c r="J82" s="698"/>
      <c r="K82" s="698"/>
      <c r="L82" s="698">
        <v>-25</v>
      </c>
      <c r="M82" s="698">
        <v>-50</v>
      </c>
      <c r="N82" s="698">
        <v>-25</v>
      </c>
      <c r="O82" s="698"/>
      <c r="P82" s="698"/>
      <c r="Q82" s="698"/>
      <c r="R82" s="698"/>
      <c r="S82" s="705"/>
      <c r="T82" s="698"/>
      <c r="U82" s="698"/>
      <c r="V82" s="698"/>
      <c r="W82" s="698"/>
      <c r="X82" s="698"/>
      <c r="Y82" s="698"/>
      <c r="Z82" s="698"/>
      <c r="AA82" s="698"/>
      <c r="AB82" s="698"/>
      <c r="AC82" s="698"/>
      <c r="AD82" s="571">
        <f>SUM(E82:AC82)</f>
        <v>-100</v>
      </c>
      <c r="AE82" s="662">
        <f>AD82*D82</f>
        <v>-5000</v>
      </c>
      <c r="AF82" s="663" t="str">
        <f>IF(AD82&lt;0,"buy","sell")</f>
        <v>buy</v>
      </c>
    </row>
    <row r="83" spans="1:33" s="356" customFormat="1" x14ac:dyDescent="0.25">
      <c r="A83" s="695" t="s">
        <v>388</v>
      </c>
      <c r="B83" s="599" t="s">
        <v>381</v>
      </c>
      <c r="C83" s="696" t="s">
        <v>268</v>
      </c>
      <c r="D83" s="598">
        <v>27</v>
      </c>
      <c r="E83" s="697"/>
      <c r="F83" s="669"/>
      <c r="G83" s="698"/>
      <c r="H83" s="698"/>
      <c r="I83" s="698"/>
      <c r="J83" s="698"/>
      <c r="K83" s="698"/>
      <c r="L83" s="698"/>
      <c r="M83" s="698"/>
      <c r="N83" s="698"/>
      <c r="O83" s="698"/>
      <c r="P83" s="698"/>
      <c r="Q83" s="698"/>
      <c r="R83" s="698"/>
      <c r="S83" s="705"/>
      <c r="T83" s="698"/>
      <c r="U83" s="698"/>
      <c r="V83" s="698"/>
      <c r="W83" s="698"/>
      <c r="X83" s="698"/>
      <c r="Y83" s="698">
        <v>-25</v>
      </c>
      <c r="Z83" s="698">
        <v>-25</v>
      </c>
      <c r="AA83" s="698"/>
      <c r="AB83" s="698"/>
      <c r="AC83" s="698"/>
      <c r="AD83" s="571">
        <f>SUM(E83:AC83)</f>
        <v>-50</v>
      </c>
      <c r="AE83" s="662">
        <f>AD83*D83</f>
        <v>-1350</v>
      </c>
      <c r="AF83" s="663" t="str">
        <f>IF(AD83&lt;0,"buy","sell")</f>
        <v>buy</v>
      </c>
    </row>
    <row r="84" spans="1:33" s="356" customFormat="1" x14ac:dyDescent="0.25">
      <c r="A84" s="695" t="s">
        <v>388</v>
      </c>
      <c r="B84" s="599" t="s">
        <v>381</v>
      </c>
      <c r="C84" s="696" t="s">
        <v>268</v>
      </c>
      <c r="D84" s="598">
        <v>25</v>
      </c>
      <c r="E84" s="697"/>
      <c r="F84" s="669"/>
      <c r="G84" s="698"/>
      <c r="H84" s="698"/>
      <c r="I84" s="698"/>
      <c r="J84" s="698"/>
      <c r="K84" s="698"/>
      <c r="L84" s="698"/>
      <c r="M84" s="698"/>
      <c r="N84" s="698"/>
      <c r="O84" s="698"/>
      <c r="P84" s="698"/>
      <c r="Q84" s="698"/>
      <c r="R84" s="698"/>
      <c r="S84" s="705"/>
      <c r="T84" s="698"/>
      <c r="U84" s="698"/>
      <c r="V84" s="698"/>
      <c r="W84" s="698"/>
      <c r="X84" s="698"/>
      <c r="Y84" s="698"/>
      <c r="Z84" s="698"/>
      <c r="AA84" s="698">
        <v>-25</v>
      </c>
      <c r="AB84" s="698"/>
      <c r="AC84" s="698"/>
      <c r="AD84" s="571">
        <f>SUM(E84:AC84)</f>
        <v>-25</v>
      </c>
      <c r="AE84" s="662">
        <f>AD84*D84</f>
        <v>-625</v>
      </c>
      <c r="AF84" s="663" t="str">
        <f>IF(AD84&lt;0,"buy","sell")</f>
        <v>buy</v>
      </c>
    </row>
    <row r="85" spans="1:33" s="356" customFormat="1" x14ac:dyDescent="0.25">
      <c r="A85" s="695"/>
      <c r="B85" s="599"/>
      <c r="C85" s="696"/>
      <c r="D85" s="598"/>
      <c r="E85" s="697"/>
      <c r="F85" s="669"/>
      <c r="G85" s="698"/>
      <c r="H85" s="698"/>
      <c r="I85" s="698"/>
      <c r="J85" s="698"/>
      <c r="K85" s="698"/>
      <c r="L85" s="698"/>
      <c r="M85" s="698"/>
      <c r="N85" s="698"/>
      <c r="O85" s="698"/>
      <c r="P85" s="698"/>
      <c r="Q85" s="698"/>
      <c r="R85" s="698"/>
      <c r="S85" s="698"/>
      <c r="T85" s="698"/>
      <c r="U85" s="698"/>
      <c r="V85" s="698"/>
      <c r="W85" s="698"/>
      <c r="X85" s="698"/>
      <c r="Y85" s="698"/>
      <c r="Z85" s="698"/>
      <c r="AA85" s="698"/>
      <c r="AB85" s="698"/>
      <c r="AC85" s="698"/>
      <c r="AD85" s="571">
        <f>SUM(AA85:AC85)</f>
        <v>0</v>
      </c>
      <c r="AE85" s="662">
        <f>AD85*D85</f>
        <v>0</v>
      </c>
      <c r="AF85" s="663"/>
    </row>
    <row r="86" spans="1:33" s="356" customFormat="1" ht="13.8" x14ac:dyDescent="0.25">
      <c r="A86" s="707" t="s">
        <v>362</v>
      </c>
      <c r="B86" s="538"/>
      <c r="C86" s="538"/>
      <c r="D86" s="538"/>
      <c r="E86" s="589"/>
      <c r="F86" s="538"/>
      <c r="G86" s="538"/>
      <c r="H86" s="538"/>
      <c r="I86" s="538"/>
      <c r="J86" s="538"/>
      <c r="K86" s="538"/>
      <c r="L86" s="538"/>
      <c r="M86" s="538"/>
      <c r="N86" s="538"/>
      <c r="O86" s="538"/>
      <c r="P86" s="538"/>
      <c r="Q86" s="538"/>
      <c r="R86" s="538"/>
      <c r="S86" s="538"/>
      <c r="T86" s="538"/>
      <c r="U86" s="538"/>
      <c r="V86" s="538"/>
      <c r="W86" s="538"/>
      <c r="X86" s="538"/>
      <c r="Y86" s="538"/>
      <c r="Z86" s="538"/>
      <c r="AA86" s="538"/>
      <c r="AB86" s="538"/>
      <c r="AC86" s="538"/>
      <c r="AD86" s="538"/>
      <c r="AE86" s="538"/>
      <c r="AF86" s="538"/>
      <c r="AG86" s="466"/>
    </row>
    <row r="87" spans="1:33" s="356" customFormat="1" x14ac:dyDescent="0.25">
      <c r="A87" s="543"/>
      <c r="B87" s="551"/>
      <c r="C87" s="551"/>
      <c r="D87" s="674"/>
      <c r="E87" s="544"/>
      <c r="F87" s="545"/>
      <c r="G87" s="546"/>
      <c r="H87" s="545"/>
      <c r="I87" s="545"/>
      <c r="J87" s="545"/>
      <c r="K87" s="545"/>
      <c r="L87" s="545"/>
      <c r="M87" s="545"/>
      <c r="N87" s="545"/>
      <c r="O87" s="545"/>
      <c r="P87" s="545"/>
      <c r="Q87" s="545"/>
      <c r="R87" s="545"/>
      <c r="S87" s="545"/>
      <c r="T87" s="545"/>
      <c r="U87" s="545"/>
      <c r="V87" s="545"/>
      <c r="W87" s="545"/>
      <c r="X87" s="545"/>
      <c r="Y87" s="545"/>
      <c r="Z87" s="545"/>
      <c r="AA87" s="545"/>
      <c r="AB87" s="545"/>
      <c r="AC87" s="547"/>
      <c r="AD87" s="571">
        <f>SUM(AA87:AC87)</f>
        <v>0</v>
      </c>
      <c r="AE87" s="662">
        <f>AD87*D87</f>
        <v>0</v>
      </c>
      <c r="AF87" s="663" t="str">
        <f>IF(AD87&lt;0,"buy","sell")</f>
        <v>sell</v>
      </c>
    </row>
    <row r="88" spans="1:33" s="356" customFormat="1" x14ac:dyDescent="0.25">
      <c r="A88" s="543"/>
      <c r="B88" s="551"/>
      <c r="C88" s="551"/>
      <c r="D88" s="674"/>
      <c r="E88" s="544"/>
      <c r="F88" s="545"/>
      <c r="G88" s="546"/>
      <c r="H88" s="545"/>
      <c r="I88" s="545"/>
      <c r="J88" s="545"/>
      <c r="K88" s="545"/>
      <c r="L88" s="545"/>
      <c r="M88" s="545"/>
      <c r="N88" s="545"/>
      <c r="O88" s="545"/>
      <c r="P88" s="545"/>
      <c r="Q88" s="545"/>
      <c r="R88" s="545"/>
      <c r="S88" s="545"/>
      <c r="T88" s="545"/>
      <c r="U88" s="545"/>
      <c r="V88" s="545"/>
      <c r="W88" s="545"/>
      <c r="X88" s="545"/>
      <c r="Y88" s="545"/>
      <c r="Z88" s="545"/>
      <c r="AA88" s="545"/>
      <c r="AB88" s="545"/>
      <c r="AC88" s="547"/>
      <c r="AD88" s="571">
        <f>SUM(E88:AC88)</f>
        <v>0</v>
      </c>
      <c r="AE88" s="662">
        <f>AD88*D88</f>
        <v>0</v>
      </c>
      <c r="AF88" s="663" t="str">
        <f>IF(AD88&lt;0,"buy","sell")</f>
        <v>sell</v>
      </c>
    </row>
    <row r="89" spans="1:33" s="356" customFormat="1" x14ac:dyDescent="0.25">
      <c r="A89" s="543"/>
      <c r="B89" s="551"/>
      <c r="C89" s="551"/>
      <c r="D89" s="674"/>
      <c r="E89" s="544"/>
      <c r="F89" s="545"/>
      <c r="G89" s="546"/>
      <c r="H89" s="545"/>
      <c r="I89" s="545"/>
      <c r="J89" s="545"/>
      <c r="K89" s="545"/>
      <c r="L89" s="545"/>
      <c r="M89" s="545"/>
      <c r="N89" s="545"/>
      <c r="O89" s="545"/>
      <c r="P89" s="545"/>
      <c r="Q89" s="545"/>
      <c r="R89" s="545"/>
      <c r="S89" s="545"/>
      <c r="T89" s="545"/>
      <c r="U89" s="545"/>
      <c r="V89" s="545"/>
      <c r="W89" s="545"/>
      <c r="X89" s="545"/>
      <c r="Y89" s="545"/>
      <c r="Z89" s="545"/>
      <c r="AA89" s="545"/>
      <c r="AB89" s="545"/>
      <c r="AC89" s="547"/>
      <c r="AD89" s="571">
        <f>SUM(AA89:AC89)</f>
        <v>0</v>
      </c>
      <c r="AE89" s="662">
        <f>AD89*D89</f>
        <v>0</v>
      </c>
      <c r="AF89" s="663" t="str">
        <f>IF(AD89&lt;0,"buy","sell")</f>
        <v>sell</v>
      </c>
    </row>
    <row r="90" spans="1:33" s="356" customFormat="1" x14ac:dyDescent="0.25">
      <c r="A90" s="543"/>
      <c r="B90" s="551"/>
      <c r="C90" s="551"/>
      <c r="D90" s="544"/>
      <c r="E90" s="544"/>
      <c r="F90" s="545"/>
      <c r="G90" s="546"/>
      <c r="H90" s="545"/>
      <c r="I90" s="545"/>
      <c r="J90" s="545"/>
      <c r="K90" s="545"/>
      <c r="L90" s="545"/>
      <c r="M90" s="545"/>
      <c r="N90" s="545"/>
      <c r="O90" s="545"/>
      <c r="P90" s="545"/>
      <c r="Q90" s="545"/>
      <c r="R90" s="545"/>
      <c r="S90" s="545"/>
      <c r="T90" s="545"/>
      <c r="U90" s="548"/>
      <c r="V90" s="545"/>
      <c r="W90" s="545"/>
      <c r="X90" s="545"/>
      <c r="Y90" s="545"/>
      <c r="Z90" s="545"/>
      <c r="AA90" s="545"/>
      <c r="AB90" s="545"/>
      <c r="AC90" s="547"/>
      <c r="AD90" s="561">
        <f>SUM(F95:AC95)</f>
        <v>0</v>
      </c>
      <c r="AE90" s="562">
        <f>AD90*D90</f>
        <v>0</v>
      </c>
      <c r="AF90" s="526" t="str">
        <f>IF(AD90&lt;0,"buy","sell")</f>
        <v>sell</v>
      </c>
    </row>
    <row r="91" spans="1:33" s="356" customFormat="1" x14ac:dyDescent="0.25">
      <c r="A91" s="549" t="s">
        <v>206</v>
      </c>
      <c r="B91" s="480"/>
      <c r="C91" s="480"/>
      <c r="D91" s="480"/>
      <c r="E91" s="480"/>
      <c r="F91" s="480"/>
      <c r="G91" s="480"/>
      <c r="H91" s="480"/>
      <c r="I91" s="480"/>
      <c r="J91" s="480"/>
      <c r="K91" s="480"/>
      <c r="L91" s="480"/>
      <c r="M91" s="480"/>
      <c r="N91" s="480"/>
      <c r="O91" s="480"/>
      <c r="P91" s="480"/>
      <c r="Q91" s="480"/>
      <c r="R91" s="480"/>
      <c r="S91" s="480"/>
      <c r="T91" s="480"/>
      <c r="U91" s="480"/>
      <c r="V91" s="480"/>
      <c r="W91" s="480"/>
      <c r="X91" s="480"/>
      <c r="Y91" s="480"/>
      <c r="Z91" s="480"/>
      <c r="AA91" s="480"/>
      <c r="AB91" s="480"/>
      <c r="AC91" s="480"/>
      <c r="AD91" s="480"/>
      <c r="AE91" s="480"/>
      <c r="AF91" s="480"/>
    </row>
    <row r="92" spans="1:33" s="356" customFormat="1" x14ac:dyDescent="0.25">
      <c r="B92" s="364"/>
      <c r="C92" s="364"/>
      <c r="D92" s="365"/>
      <c r="E92" s="365"/>
      <c r="F92" s="364"/>
      <c r="G92" s="366"/>
      <c r="H92" s="366"/>
      <c r="I92" s="366"/>
      <c r="J92" s="366"/>
      <c r="K92" s="366"/>
      <c r="L92" s="366"/>
      <c r="M92" s="366"/>
      <c r="N92" s="366"/>
      <c r="O92" s="366"/>
      <c r="P92" s="366"/>
      <c r="Q92" s="366"/>
      <c r="R92" s="366"/>
      <c r="S92" s="366"/>
      <c r="T92" s="366"/>
      <c r="U92" s="366"/>
      <c r="V92" s="366"/>
      <c r="W92" s="366"/>
      <c r="X92" s="366"/>
      <c r="Y92" s="366"/>
      <c r="Z92" s="440"/>
      <c r="AA92" s="440"/>
      <c r="AB92" s="440"/>
      <c r="AC92" s="529"/>
      <c r="AD92" s="457"/>
      <c r="AE92" s="458"/>
      <c r="AF92" s="440"/>
    </row>
    <row r="93" spans="1:33" s="356" customFormat="1" ht="17.399999999999999" x14ac:dyDescent="0.3">
      <c r="A93" s="693" t="s">
        <v>363</v>
      </c>
      <c r="B93" s="431"/>
      <c r="C93" s="539"/>
      <c r="D93" s="432"/>
      <c r="E93" s="432"/>
      <c r="F93" s="433"/>
      <c r="G93" s="434"/>
      <c r="H93" s="370"/>
      <c r="I93" s="370"/>
      <c r="J93" s="370"/>
      <c r="K93" s="371"/>
      <c r="L93" s="370"/>
      <c r="M93" s="370"/>
      <c r="N93" s="370"/>
      <c r="O93" s="370"/>
      <c r="P93" s="370"/>
      <c r="Q93" s="370"/>
      <c r="R93" s="370"/>
      <c r="S93" s="370" t="s">
        <v>15</v>
      </c>
      <c r="T93" s="370"/>
      <c r="U93" s="370"/>
      <c r="V93" s="370"/>
      <c r="W93" s="370"/>
      <c r="X93" s="370"/>
      <c r="Y93" s="370"/>
      <c r="Z93" s="372"/>
      <c r="AA93" s="372"/>
      <c r="AB93" s="372"/>
      <c r="AC93" s="530"/>
      <c r="AD93" s="457"/>
      <c r="AE93" s="458"/>
      <c r="AF93" s="372"/>
    </row>
    <row r="94" spans="1:33" s="356" customFormat="1" x14ac:dyDescent="0.25">
      <c r="A94" s="435"/>
      <c r="B94" s="436"/>
      <c r="C94" s="436"/>
      <c r="D94" s="432"/>
      <c r="E94" s="432"/>
      <c r="F94" s="434"/>
      <c r="G94" s="434"/>
      <c r="H94" s="370"/>
      <c r="I94" s="370"/>
      <c r="J94" s="370"/>
      <c r="K94" s="373"/>
      <c r="L94" s="373"/>
      <c r="M94" s="370"/>
      <c r="N94" s="370"/>
      <c r="O94" s="370"/>
      <c r="P94" s="370"/>
      <c r="Q94" s="370"/>
      <c r="R94" s="370"/>
      <c r="S94" s="370"/>
      <c r="T94" s="370"/>
      <c r="U94" s="370"/>
      <c r="V94" s="370"/>
      <c r="W94" s="370"/>
      <c r="X94" s="370"/>
      <c r="Y94" s="370"/>
      <c r="Z94" s="372"/>
      <c r="AA94" s="372"/>
      <c r="AB94" s="372"/>
      <c r="AC94" s="530"/>
      <c r="AD94" s="457"/>
      <c r="AE94" s="458"/>
      <c r="AF94" s="372"/>
    </row>
    <row r="95" spans="1:33" s="356" customFormat="1" ht="17.399999999999999" x14ac:dyDescent="0.3">
      <c r="A95" s="438"/>
      <c r="B95" s="439"/>
      <c r="C95" s="439"/>
      <c r="D95" s="439"/>
      <c r="E95" s="439"/>
      <c r="F95" s="691"/>
      <c r="G95" s="692"/>
      <c r="H95" s="370"/>
      <c r="I95" s="370"/>
      <c r="J95" s="370"/>
      <c r="K95" s="373"/>
      <c r="L95" s="371"/>
      <c r="M95" s="370"/>
      <c r="N95" s="370"/>
      <c r="O95" s="370"/>
      <c r="P95" s="370"/>
      <c r="Q95" s="370"/>
      <c r="R95" s="370"/>
      <c r="S95" s="370"/>
      <c r="T95" s="370"/>
      <c r="U95" s="370"/>
      <c r="V95" s="370"/>
      <c r="W95" s="370"/>
      <c r="X95" s="370"/>
      <c r="Y95" s="370"/>
      <c r="AA95" s="372"/>
      <c r="AB95" s="372"/>
      <c r="AC95" s="530"/>
      <c r="AD95" s="457"/>
      <c r="AE95" s="458"/>
      <c r="AF95" s="372"/>
    </row>
    <row r="96" spans="1:33" s="356" customFormat="1" ht="17.399999999999999" x14ac:dyDescent="0.3">
      <c r="A96" s="438"/>
      <c r="B96" s="439"/>
      <c r="C96" s="439"/>
      <c r="D96" s="559"/>
      <c r="E96" s="439"/>
      <c r="F96" s="437"/>
      <c r="G96" s="434"/>
      <c r="H96" s="370"/>
      <c r="I96" s="370"/>
      <c r="J96" s="370"/>
      <c r="K96" s="373"/>
      <c r="L96" s="371"/>
      <c r="M96" s="370"/>
      <c r="N96" s="370"/>
      <c r="O96" s="370"/>
      <c r="P96" s="370"/>
      <c r="Q96" s="370"/>
      <c r="R96" s="370"/>
      <c r="S96" s="370"/>
      <c r="T96" s="370"/>
      <c r="U96" s="370"/>
      <c r="V96" s="370"/>
      <c r="W96" s="370"/>
      <c r="X96" s="370"/>
      <c r="Y96" s="370"/>
      <c r="Z96" s="372" t="s">
        <v>207</v>
      </c>
      <c r="AA96" s="372"/>
      <c r="AB96" s="372"/>
      <c r="AC96" s="531"/>
      <c r="AD96" s="453"/>
      <c r="AE96" s="454"/>
      <c r="AF96" s="372"/>
    </row>
    <row r="97" spans="1:33" x14ac:dyDescent="0.25">
      <c r="A97" s="436"/>
      <c r="B97" s="436"/>
      <c r="C97" s="440"/>
      <c r="D97" s="563"/>
      <c r="E97" s="528"/>
      <c r="F97" s="569"/>
      <c r="G97" s="550"/>
      <c r="K97" s="373"/>
      <c r="M97" s="370"/>
      <c r="N97" s="370"/>
      <c r="Z97" s="372"/>
      <c r="AA97" s="532"/>
      <c r="AB97" s="532"/>
      <c r="AC97" s="531"/>
      <c r="AD97" s="402"/>
      <c r="AE97" s="402"/>
      <c r="AF97" s="532"/>
      <c r="AG97" s="356"/>
    </row>
    <row r="98" spans="1:33" s="356" customFormat="1" x14ac:dyDescent="0.25">
      <c r="A98" s="434"/>
      <c r="B98" s="434"/>
      <c r="C98" s="440"/>
      <c r="D98" s="563"/>
      <c r="E98" s="485"/>
      <c r="F98" s="569"/>
      <c r="G98" s="550"/>
      <c r="H98" s="370"/>
      <c r="I98" s="370"/>
      <c r="J98" s="370"/>
      <c r="K98" s="373"/>
      <c r="L98" s="370"/>
      <c r="M98" s="370"/>
      <c r="N98" s="370"/>
      <c r="O98" s="370"/>
      <c r="P98" s="370"/>
      <c r="Q98" s="370"/>
      <c r="R98" s="370"/>
      <c r="S98" s="370"/>
      <c r="T98" s="370"/>
      <c r="U98" s="370"/>
      <c r="V98" s="370"/>
      <c r="W98" s="370"/>
      <c r="X98" s="370"/>
      <c r="Y98" s="370"/>
      <c r="Z98" s="532" t="s">
        <v>261</v>
      </c>
      <c r="AA98" s="532"/>
      <c r="AB98" s="532"/>
      <c r="AC98" s="531"/>
      <c r="AD98" s="473">
        <f>SUM(AD14:AD64)+SUM(AD69:AD74)</f>
        <v>390</v>
      </c>
      <c r="AE98" s="473">
        <f>SUM(AE14:AE64)+SUM(AE69:AE74)</f>
        <v>2930</v>
      </c>
      <c r="AF98" s="532"/>
    </row>
    <row r="99" spans="1:33" s="356" customFormat="1" x14ac:dyDescent="0.25">
      <c r="A99" s="436"/>
      <c r="B99" s="436"/>
      <c r="C99" s="440"/>
      <c r="D99" s="563"/>
      <c r="E99" s="485"/>
      <c r="F99" s="569"/>
      <c r="G99" s="550"/>
      <c r="H99" s="370"/>
      <c r="I99" s="370"/>
      <c r="J99" s="370"/>
      <c r="K99" s="373"/>
      <c r="L99" s="370"/>
      <c r="M99" s="370"/>
      <c r="N99" s="370"/>
      <c r="O99" s="370"/>
      <c r="P99" s="370"/>
      <c r="Q99" s="370"/>
      <c r="R99" s="370"/>
      <c r="S99" s="370"/>
      <c r="T99" s="370"/>
      <c r="U99" s="370"/>
      <c r="V99" s="370"/>
      <c r="W99" s="370"/>
      <c r="X99" s="370"/>
      <c r="Y99" s="370"/>
      <c r="Z99" s="532" t="s">
        <v>262</v>
      </c>
      <c r="AA99" s="532"/>
      <c r="AB99" s="532"/>
      <c r="AC99" s="533"/>
      <c r="AD99" s="473">
        <f>SUM(AD74:AD79)+SUM(AD80:AD86)</f>
        <v>-1375</v>
      </c>
      <c r="AE99" s="473">
        <f>SUM(AE74:AE79)+SUM(AE80:AE86)</f>
        <v>-160335</v>
      </c>
      <c r="AF99" s="532"/>
    </row>
    <row r="100" spans="1:33" s="356" customFormat="1" x14ac:dyDescent="0.25">
      <c r="A100" s="434"/>
      <c r="B100" s="434"/>
      <c r="C100" s="440"/>
      <c r="D100" s="563"/>
      <c r="E100" s="485"/>
      <c r="F100" s="569"/>
      <c r="G100" s="550"/>
      <c r="H100" s="377"/>
      <c r="I100" s="377"/>
      <c r="J100" s="377"/>
      <c r="K100" s="378"/>
      <c r="L100" s="377"/>
      <c r="M100" s="370"/>
      <c r="N100" s="370"/>
      <c r="O100" s="377"/>
      <c r="P100" s="377"/>
      <c r="Q100" s="377"/>
      <c r="R100" s="377"/>
      <c r="S100" s="377"/>
      <c r="T100" s="377"/>
      <c r="U100" s="377"/>
      <c r="V100" s="377"/>
      <c r="W100" s="377"/>
      <c r="X100" s="377"/>
      <c r="Y100" s="377"/>
      <c r="Z100" s="384"/>
      <c r="AA100" s="384"/>
      <c r="AB100" s="384"/>
      <c r="AC100" s="466"/>
      <c r="AF100" s="384"/>
    </row>
    <row r="101" spans="1:33" s="356" customFormat="1" x14ac:dyDescent="0.25">
      <c r="A101" s="436"/>
      <c r="B101" s="436"/>
      <c r="C101" s="440"/>
      <c r="D101" s="563"/>
      <c r="E101" s="485"/>
      <c r="F101" s="569"/>
      <c r="G101" s="550"/>
      <c r="H101" s="377"/>
      <c r="O101" s="370"/>
      <c r="P101" s="370"/>
      <c r="Q101" s="381"/>
      <c r="R101" s="381"/>
      <c r="S101" s="381"/>
      <c r="T101" s="381"/>
      <c r="U101" s="381"/>
      <c r="V101" s="381"/>
      <c r="W101" s="381"/>
      <c r="X101" s="381"/>
      <c r="Y101" s="381"/>
      <c r="Z101" s="534" t="s">
        <v>269</v>
      </c>
      <c r="AA101" s="534"/>
      <c r="AB101" s="534"/>
      <c r="AC101" s="535"/>
      <c r="AD101" s="477"/>
      <c r="AE101" s="478"/>
      <c r="AF101" s="402"/>
    </row>
    <row r="102" spans="1:33" s="356" customFormat="1" x14ac:dyDescent="0.25">
      <c r="A102" s="434"/>
      <c r="B102" s="434"/>
      <c r="C102" s="440"/>
      <c r="D102" s="563"/>
      <c r="E102" s="485"/>
      <c r="F102" s="569"/>
      <c r="G102" s="550"/>
      <c r="H102" s="370"/>
      <c r="O102" s="370"/>
      <c r="P102" s="370"/>
      <c r="Q102" s="370"/>
      <c r="R102" s="370"/>
      <c r="S102" s="370"/>
      <c r="T102" s="370"/>
      <c r="U102" s="370"/>
      <c r="V102" s="370"/>
      <c r="W102" s="370"/>
      <c r="X102" s="370"/>
      <c r="Y102" s="370"/>
      <c r="Z102" s="534"/>
      <c r="AA102" s="534"/>
      <c r="AB102" s="534"/>
      <c r="AC102" s="535"/>
      <c r="AD102" s="477"/>
      <c r="AE102" s="478"/>
      <c r="AF102" s="402"/>
    </row>
    <row r="103" spans="1:33" s="356" customFormat="1" x14ac:dyDescent="0.25">
      <c r="A103" s="436"/>
      <c r="B103" s="436"/>
      <c r="C103" s="440"/>
      <c r="D103" s="563"/>
      <c r="E103" s="485"/>
      <c r="F103" s="569"/>
      <c r="G103" s="550"/>
      <c r="H103" s="382"/>
      <c r="O103" s="370"/>
      <c r="P103" s="370"/>
      <c r="Q103" s="382"/>
      <c r="R103" s="382"/>
      <c r="S103" s="382"/>
      <c r="T103" s="382"/>
      <c r="U103" s="382"/>
      <c r="V103" s="382"/>
      <c r="W103" s="382"/>
      <c r="X103" s="382"/>
      <c r="Y103" s="382"/>
      <c r="Z103" s="534" t="s">
        <v>262</v>
      </c>
      <c r="AA103" s="534"/>
      <c r="AB103" s="534"/>
      <c r="AC103" s="535"/>
      <c r="AD103" s="479">
        <f>SUM(AD89:AD91)</f>
        <v>0</v>
      </c>
      <c r="AE103" s="479">
        <f>SUM(AE89:AE91)</f>
        <v>0</v>
      </c>
      <c r="AF103" s="402"/>
    </row>
    <row r="104" spans="1:33" s="356" customFormat="1" x14ac:dyDescent="0.25">
      <c r="A104" s="434"/>
      <c r="B104" s="434"/>
      <c r="C104" s="440"/>
      <c r="D104" s="563"/>
      <c r="E104" s="485"/>
      <c r="F104" s="569"/>
      <c r="G104" s="550"/>
      <c r="H104" s="382"/>
      <c r="O104" s="370"/>
      <c r="P104" s="370"/>
      <c r="Q104" s="382"/>
      <c r="R104" s="382"/>
      <c r="S104" s="382"/>
      <c r="T104" s="382"/>
      <c r="U104" s="382"/>
      <c r="V104" s="382"/>
      <c r="W104" s="382"/>
      <c r="X104" s="382"/>
      <c r="Y104" s="382"/>
      <c r="Z104" s="402"/>
      <c r="AA104" s="402"/>
      <c r="AB104" s="402"/>
      <c r="AC104" s="467"/>
      <c r="AD104" s="402"/>
      <c r="AE104" s="402"/>
      <c r="AF104" s="402"/>
    </row>
    <row r="105" spans="1:33" s="356" customFormat="1" x14ac:dyDescent="0.25">
      <c r="A105" s="436"/>
      <c r="B105" s="436"/>
      <c r="C105" s="440"/>
      <c r="D105" s="563"/>
      <c r="E105" s="485"/>
      <c r="F105" s="569"/>
      <c r="G105" s="550"/>
      <c r="H105" s="370"/>
      <c r="O105" s="370"/>
      <c r="P105" s="370"/>
      <c r="Q105" s="370"/>
      <c r="R105" s="370"/>
      <c r="S105" s="370"/>
      <c r="T105" s="370"/>
      <c r="U105" s="370"/>
      <c r="V105" s="370"/>
      <c r="W105" s="370"/>
      <c r="X105" s="370"/>
      <c r="Y105" s="370"/>
      <c r="Z105" s="402"/>
      <c r="AA105" s="402"/>
      <c r="AB105" s="402"/>
      <c r="AC105" s="467"/>
      <c r="AD105" s="402"/>
      <c r="AE105" s="402"/>
      <c r="AF105" s="402"/>
    </row>
    <row r="106" spans="1:33" s="402" customFormat="1" x14ac:dyDescent="0.25">
      <c r="A106" s="434"/>
      <c r="B106" s="434"/>
      <c r="C106" s="440"/>
      <c r="D106" s="563"/>
      <c r="E106" s="485"/>
      <c r="F106" s="569"/>
      <c r="G106" s="550"/>
      <c r="H106" s="370"/>
      <c r="I106" s="356"/>
      <c r="J106" s="356"/>
      <c r="K106" s="356"/>
      <c r="L106" s="356"/>
      <c r="M106" s="356"/>
      <c r="N106" s="356"/>
      <c r="O106" s="370"/>
      <c r="P106" s="370"/>
      <c r="Q106" s="370"/>
      <c r="R106" s="370"/>
      <c r="S106" s="370"/>
      <c r="T106" s="370"/>
      <c r="U106" s="370"/>
      <c r="V106" s="370"/>
      <c r="W106" s="370"/>
      <c r="X106" s="370"/>
      <c r="Y106" s="370"/>
      <c r="AC106" s="467"/>
      <c r="AG106" s="356"/>
    </row>
    <row r="107" spans="1:33" s="402" customFormat="1" ht="17.399999999999999" x14ac:dyDescent="0.3">
      <c r="A107" s="693" t="s">
        <v>357</v>
      </c>
      <c r="B107" s="436"/>
      <c r="C107" s="440"/>
      <c r="D107" s="563"/>
      <c r="E107" s="485"/>
      <c r="F107" s="569"/>
      <c r="G107" s="550"/>
      <c r="H107" s="383"/>
      <c r="I107" s="404"/>
      <c r="J107" s="404"/>
      <c r="K107" s="404"/>
      <c r="L107" s="404"/>
      <c r="M107" s="404"/>
      <c r="N107" s="404"/>
      <c r="O107" s="383"/>
      <c r="P107" s="383"/>
      <c r="Q107" s="383"/>
      <c r="R107" s="383"/>
      <c r="S107" s="383"/>
      <c r="T107" s="383"/>
      <c r="U107" s="383"/>
      <c r="V107" s="383"/>
      <c r="W107" s="383"/>
      <c r="X107" s="383"/>
      <c r="Y107" s="383"/>
      <c r="AC107" s="467"/>
      <c r="AG107" s="370"/>
    </row>
    <row r="108" spans="1:33" s="402" customFormat="1" x14ac:dyDescent="0.25">
      <c r="A108" s="434"/>
      <c r="B108" s="434"/>
      <c r="C108" s="440"/>
      <c r="D108" s="563"/>
      <c r="E108" s="485"/>
      <c r="F108" s="569"/>
      <c r="G108" s="550"/>
      <c r="H108" s="384"/>
      <c r="I108" s="356"/>
      <c r="J108" s="356"/>
      <c r="K108" s="356"/>
      <c r="L108" s="356"/>
      <c r="M108" s="356"/>
      <c r="N108" s="356"/>
      <c r="O108" s="384"/>
      <c r="P108" s="384"/>
      <c r="Q108" s="384"/>
      <c r="R108" s="384"/>
      <c r="S108" s="384"/>
      <c r="T108" s="384"/>
      <c r="U108" s="384"/>
      <c r="V108" s="384"/>
      <c r="W108" s="384"/>
      <c r="X108" s="384"/>
      <c r="Y108" s="384"/>
      <c r="AC108" s="467"/>
      <c r="AG108" s="356"/>
    </row>
    <row r="109" spans="1:33" s="402" customFormat="1" x14ac:dyDescent="0.25">
      <c r="A109" s="436"/>
      <c r="B109" s="436"/>
      <c r="C109" s="440"/>
      <c r="D109" s="563"/>
      <c r="E109" s="485"/>
      <c r="F109" s="569"/>
      <c r="G109" s="550"/>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G109" s="356"/>
    </row>
    <row r="110" spans="1:33" s="402" customFormat="1" x14ac:dyDescent="0.25">
      <c r="A110" s="434"/>
      <c r="B110" s="434"/>
      <c r="C110" s="440"/>
      <c r="D110" s="563"/>
      <c r="E110" s="485"/>
      <c r="F110" s="569"/>
      <c r="G110" s="550"/>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ht="15.6" x14ac:dyDescent="0.3">
      <c r="A111" s="694"/>
      <c r="B111" s="436"/>
      <c r="C111" s="440"/>
      <c r="D111" s="563"/>
      <c r="E111" s="485"/>
      <c r="F111" s="569"/>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5">
      <c r="A112" s="434"/>
      <c r="B112" s="434"/>
      <c r="C112" s="440"/>
      <c r="D112" s="563"/>
      <c r="E112" s="485"/>
      <c r="F112" s="569"/>
      <c r="G112" s="550"/>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5">
      <c r="A113" s="436"/>
      <c r="B113" s="436"/>
      <c r="C113" s="440"/>
      <c r="D113" s="563"/>
      <c r="E113" s="485"/>
      <c r="F113" s="569"/>
      <c r="G113" s="550"/>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5">
      <c r="A114" s="434"/>
      <c r="B114" s="434"/>
      <c r="C114" s="440"/>
      <c r="D114" s="563"/>
      <c r="E114" s="485"/>
      <c r="F114" s="569"/>
      <c r="G114" s="550"/>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536"/>
      <c r="AG114" s="356"/>
    </row>
    <row r="115" spans="1:33" s="402" customFormat="1" x14ac:dyDescent="0.25">
      <c r="A115" s="436"/>
      <c r="B115" s="436"/>
      <c r="C115" s="440"/>
      <c r="D115" s="563"/>
      <c r="E115" s="485"/>
      <c r="F115" s="569"/>
      <c r="G115" s="550"/>
      <c r="H115" s="387"/>
      <c r="I115" s="356"/>
      <c r="J115" s="356"/>
      <c r="K115" s="356"/>
      <c r="L115" s="356"/>
      <c r="M115" s="356"/>
      <c r="N115" s="356"/>
      <c r="O115" s="386"/>
      <c r="P115" s="386"/>
      <c r="Q115" s="387"/>
      <c r="R115" s="387"/>
      <c r="S115" s="387"/>
      <c r="T115" s="387"/>
      <c r="U115" s="387"/>
      <c r="V115" s="387"/>
      <c r="W115" s="387"/>
      <c r="X115" s="387"/>
      <c r="Y115" s="387"/>
      <c r="Z115" s="387"/>
      <c r="AA115" s="387"/>
      <c r="AB115" s="387"/>
      <c r="AC115" s="468"/>
      <c r="AG115" s="356"/>
    </row>
    <row r="116" spans="1:33" s="402" customFormat="1" x14ac:dyDescent="0.25">
      <c r="A116" s="434"/>
      <c r="B116" s="434"/>
      <c r="C116" s="440"/>
      <c r="D116" s="563"/>
      <c r="E116" s="485"/>
      <c r="F116" s="569"/>
      <c r="G116" s="550"/>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69"/>
      <c r="AD116" s="537"/>
      <c r="AE116" s="461"/>
    </row>
    <row r="117" spans="1:33" s="460" customFormat="1" ht="13.8" thickBot="1" x14ac:dyDescent="0.3">
      <c r="A117" s="436"/>
      <c r="B117" s="436"/>
      <c r="C117" s="440"/>
      <c r="D117" s="563"/>
      <c r="E117" s="485"/>
      <c r="F117" s="569"/>
      <c r="G117" s="550"/>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69"/>
      <c r="AD117" s="461"/>
      <c r="AE117" s="461"/>
      <c r="AF117" s="402"/>
      <c r="AG117" s="402"/>
    </row>
    <row r="118" spans="1:33" s="402" customFormat="1" x14ac:dyDescent="0.25">
      <c r="A118" s="434"/>
      <c r="B118" s="434"/>
      <c r="C118" s="440"/>
      <c r="D118" s="563"/>
      <c r="E118" s="485"/>
      <c r="F118" s="569"/>
      <c r="G118" s="550"/>
      <c r="H118" s="388"/>
      <c r="I118" s="356"/>
      <c r="J118" s="428"/>
      <c r="K118" s="356"/>
      <c r="L118" s="356"/>
      <c r="M118" s="356"/>
      <c r="N118" s="356"/>
      <c r="O118" s="411"/>
      <c r="P118" s="411"/>
      <c r="Q118" s="388"/>
      <c r="R118" s="388"/>
      <c r="S118" s="388"/>
      <c r="T118" s="388"/>
      <c r="U118" s="388"/>
      <c r="V118" s="388"/>
      <c r="W118" s="388"/>
      <c r="X118" s="388"/>
      <c r="Y118" s="388"/>
      <c r="Z118" s="388"/>
      <c r="AA118" s="388"/>
      <c r="AB118" s="388"/>
      <c r="AC118" s="469"/>
      <c r="AD118" s="356"/>
      <c r="AE118" s="356"/>
    </row>
    <row r="119" spans="1:33" s="356" customFormat="1" x14ac:dyDescent="0.25">
      <c r="A119" s="436"/>
      <c r="B119" s="436"/>
      <c r="C119" s="440"/>
      <c r="D119" s="563"/>
      <c r="E119" s="485"/>
      <c r="F119" s="569"/>
      <c r="G119" s="550"/>
      <c r="H119" s="388"/>
      <c r="O119" s="411"/>
      <c r="P119" s="411"/>
      <c r="Q119" s="388"/>
      <c r="R119" s="388"/>
      <c r="S119" s="388"/>
      <c r="T119" s="388"/>
      <c r="U119" s="388"/>
      <c r="V119" s="388"/>
      <c r="W119" s="388"/>
      <c r="X119" s="388"/>
      <c r="Y119" s="388"/>
      <c r="Z119" s="388"/>
      <c r="AA119" s="388"/>
      <c r="AB119" s="388"/>
      <c r="AC119" s="469"/>
      <c r="AD119" s="457"/>
      <c r="AE119" s="536"/>
      <c r="AF119" s="538"/>
      <c r="AG119" s="402"/>
    </row>
    <row r="120" spans="1:33" s="356" customFormat="1" x14ac:dyDescent="0.25">
      <c r="A120" s="436"/>
      <c r="B120" s="434"/>
      <c r="C120" s="440"/>
      <c r="D120" s="563"/>
      <c r="E120" s="528"/>
      <c r="F120" s="569"/>
      <c r="G120" s="550"/>
      <c r="H120" s="391"/>
      <c r="O120" s="412"/>
      <c r="P120" s="412"/>
      <c r="Q120" s="391"/>
      <c r="R120" s="391"/>
      <c r="S120" s="391"/>
      <c r="T120" s="391"/>
      <c r="U120" s="391"/>
      <c r="V120" s="391"/>
      <c r="W120" s="391"/>
      <c r="X120" s="391"/>
      <c r="Y120" s="391"/>
      <c r="Z120" s="388"/>
      <c r="AA120" s="388"/>
      <c r="AB120" s="388"/>
      <c r="AC120" s="469"/>
      <c r="AD120" s="457"/>
      <c r="AE120" s="536"/>
      <c r="AF120" s="538"/>
      <c r="AG120" s="402"/>
    </row>
    <row r="121" spans="1:33" s="356" customFormat="1" x14ac:dyDescent="0.25">
      <c r="A121" s="558"/>
      <c r="B121" s="436"/>
      <c r="C121" s="440"/>
      <c r="D121" s="564"/>
      <c r="E121" s="481"/>
      <c r="F121" s="569"/>
      <c r="G121" s="550"/>
      <c r="H121" s="391"/>
      <c r="O121" s="412"/>
      <c r="P121" s="412"/>
      <c r="Q121" s="391"/>
      <c r="R121" s="391"/>
      <c r="S121" s="391"/>
      <c r="T121" s="391"/>
      <c r="U121" s="391"/>
      <c r="V121" s="391"/>
      <c r="W121" s="391"/>
      <c r="X121" s="391"/>
      <c r="Y121" s="391"/>
      <c r="Z121" s="388"/>
      <c r="AA121" s="388"/>
      <c r="AB121" s="388"/>
      <c r="AC121" s="469"/>
      <c r="AD121" s="461"/>
      <c r="AE121" s="461"/>
      <c r="AF121" s="538"/>
      <c r="AG121" s="402"/>
    </row>
    <row r="122" spans="1:33" s="402" customFormat="1" x14ac:dyDescent="0.25">
      <c r="A122" s="356"/>
      <c r="B122" s="356"/>
      <c r="C122" s="356"/>
      <c r="D122" s="563"/>
      <c r="E122" s="356"/>
      <c r="F122" s="356"/>
      <c r="G122" s="434"/>
      <c r="H122" s="391"/>
      <c r="I122" s="356"/>
      <c r="J122" s="356"/>
      <c r="K122" s="356"/>
      <c r="L122" s="356"/>
      <c r="M122" s="356"/>
      <c r="N122" s="356"/>
      <c r="O122" s="412"/>
      <c r="P122" s="412"/>
      <c r="Q122" s="391"/>
      <c r="R122" s="391"/>
      <c r="S122" s="391"/>
      <c r="T122" s="391"/>
      <c r="U122" s="391"/>
      <c r="V122" s="391"/>
      <c r="W122" s="391"/>
      <c r="X122" s="391"/>
      <c r="Y122" s="391"/>
      <c r="Z122" s="388"/>
      <c r="AA122" s="388"/>
      <c r="AB122" s="388"/>
      <c r="AC122" s="469"/>
      <c r="AF122" s="455"/>
    </row>
    <row r="123" spans="1:33" s="402" customFormat="1" ht="17.399999999999999" x14ac:dyDescent="0.3">
      <c r="A123" s="433"/>
      <c r="B123" s="442"/>
      <c r="C123" s="443"/>
      <c r="D123" s="565"/>
      <c r="E123" s="443"/>
      <c r="F123" s="443"/>
      <c r="G123" s="434"/>
      <c r="H123" s="434"/>
      <c r="I123" s="356"/>
      <c r="J123" s="356"/>
      <c r="K123" s="356"/>
      <c r="L123" s="356"/>
      <c r="M123" s="356"/>
      <c r="N123" s="356"/>
      <c r="O123" s="444"/>
      <c r="P123" s="444"/>
      <c r="Q123" s="434"/>
      <c r="R123" s="434"/>
      <c r="S123" s="434"/>
      <c r="T123" s="434"/>
      <c r="U123" s="434"/>
      <c r="V123" s="434"/>
      <c r="W123" s="434"/>
      <c r="X123" s="434"/>
      <c r="Y123" s="391"/>
      <c r="Z123" s="388"/>
      <c r="AA123" s="388"/>
      <c r="AB123" s="388"/>
      <c r="AC123" s="469"/>
      <c r="AF123" s="455"/>
    </row>
    <row r="124" spans="1:33" s="402" customFormat="1" x14ac:dyDescent="0.25">
      <c r="A124" s="434"/>
      <c r="B124" s="434"/>
      <c r="C124" s="434"/>
      <c r="D124" s="566"/>
      <c r="E124" s="434"/>
      <c r="F124" s="434"/>
      <c r="G124" s="434"/>
      <c r="H124" s="434"/>
      <c r="I124" s="356"/>
      <c r="J124" s="356"/>
      <c r="K124" s="356"/>
      <c r="L124" s="356"/>
      <c r="M124" s="356"/>
      <c r="N124" s="356"/>
      <c r="O124" s="444"/>
      <c r="P124" s="444"/>
      <c r="Q124" s="434"/>
      <c r="R124" s="434"/>
      <c r="S124" s="434"/>
      <c r="T124" s="434"/>
      <c r="U124" s="434"/>
      <c r="V124" s="434"/>
      <c r="W124" s="434"/>
      <c r="X124" s="434"/>
      <c r="Y124" s="391"/>
      <c r="Z124" s="388"/>
      <c r="AA124" s="388"/>
      <c r="AB124" s="388"/>
      <c r="AC124" s="469"/>
      <c r="AF124" s="356"/>
    </row>
    <row r="125" spans="1:33" s="402" customFormat="1" ht="17.399999999999999" x14ac:dyDescent="0.3">
      <c r="A125" s="438"/>
      <c r="B125" s="439"/>
      <c r="C125" s="439"/>
      <c r="D125" s="690"/>
      <c r="E125" s="439"/>
      <c r="F125" s="691"/>
      <c r="G125" s="439"/>
      <c r="H125" s="434"/>
      <c r="I125" s="356"/>
      <c r="J125" s="356"/>
      <c r="K125" s="356"/>
      <c r="L125" s="356"/>
      <c r="M125" s="356"/>
      <c r="N125" s="356"/>
      <c r="O125" s="444"/>
      <c r="P125" s="444"/>
      <c r="Q125" s="434"/>
      <c r="R125" s="434"/>
      <c r="S125" s="434"/>
      <c r="T125" s="434"/>
      <c r="U125" s="434"/>
      <c r="V125" s="434"/>
      <c r="W125" s="434"/>
      <c r="X125" s="434"/>
      <c r="Y125" s="391"/>
      <c r="Z125" s="391"/>
      <c r="AA125" s="391"/>
      <c r="AB125" s="391"/>
      <c r="AC125" s="470"/>
      <c r="AF125" s="356"/>
    </row>
    <row r="126" spans="1:33" s="402" customFormat="1" ht="17.399999999999999" x14ac:dyDescent="0.3">
      <c r="A126" s="438"/>
      <c r="B126" s="439"/>
      <c r="C126" s="439"/>
      <c r="D126" s="567"/>
      <c r="E126" s="437"/>
      <c r="F126" s="437"/>
      <c r="G126" s="434"/>
      <c r="H126" s="445"/>
      <c r="I126" s="446"/>
      <c r="J126" s="356"/>
      <c r="K126" s="356"/>
      <c r="L126" s="356"/>
      <c r="M126" s="447"/>
      <c r="N126" s="448"/>
      <c r="O126" s="444"/>
      <c r="P126" s="444"/>
      <c r="Q126" s="434"/>
      <c r="R126" s="434"/>
      <c r="S126" s="434"/>
      <c r="T126" s="434"/>
      <c r="U126" s="434"/>
      <c r="V126" s="434"/>
      <c r="W126" s="434"/>
      <c r="X126" s="434"/>
      <c r="Y126" s="391"/>
      <c r="Z126" s="391"/>
      <c r="AA126" s="391"/>
      <c r="AB126" s="391"/>
      <c r="AC126" s="470"/>
      <c r="AF126" s="356"/>
    </row>
    <row r="127" spans="1:33" s="402" customFormat="1" ht="13.8" thickBot="1" x14ac:dyDescent="0.3">
      <c r="A127" s="436"/>
      <c r="B127" s="434"/>
      <c r="C127" s="440"/>
      <c r="D127" s="563"/>
      <c r="E127" s="528"/>
      <c r="F127" s="569"/>
      <c r="G127" s="550"/>
      <c r="I127" s="449"/>
      <c r="J127" s="450"/>
      <c r="K127" s="356"/>
      <c r="L127" s="356"/>
      <c r="M127" s="356"/>
      <c r="N127" s="356"/>
      <c r="O127" s="444"/>
      <c r="P127" s="444"/>
      <c r="Q127" s="434"/>
      <c r="R127" s="434"/>
      <c r="S127" s="434"/>
      <c r="T127" s="434"/>
      <c r="U127" s="434"/>
      <c r="V127" s="434"/>
      <c r="W127" s="434"/>
      <c r="X127" s="434"/>
      <c r="Y127" s="391"/>
      <c r="Z127" s="391"/>
      <c r="AA127" s="452"/>
      <c r="AB127" s="391"/>
      <c r="AC127" s="470"/>
      <c r="AD127" s="356"/>
      <c r="AE127" s="356"/>
      <c r="AF127" s="356"/>
      <c r="AG127" s="460"/>
    </row>
    <row r="128" spans="1:33" s="402" customFormat="1" x14ac:dyDescent="0.25">
      <c r="A128" s="434"/>
      <c r="B128" s="434"/>
      <c r="C128" s="440"/>
      <c r="D128" s="568"/>
      <c r="E128" s="485"/>
      <c r="F128" s="569"/>
      <c r="G128" s="550"/>
      <c r="I128" s="449"/>
      <c r="J128" s="450"/>
      <c r="K128" s="356"/>
      <c r="L128" s="356"/>
      <c r="M128" s="356"/>
      <c r="N128" s="356"/>
      <c r="O128" s="444"/>
      <c r="P128" s="444"/>
      <c r="Q128" s="434"/>
      <c r="R128" s="434"/>
      <c r="S128" s="434"/>
      <c r="T128" s="434"/>
      <c r="U128" s="434"/>
      <c r="V128" s="434"/>
      <c r="W128" s="434"/>
      <c r="X128" s="434"/>
      <c r="Y128" s="391"/>
      <c r="Z128" s="391"/>
      <c r="AA128" s="452"/>
      <c r="AB128" s="391"/>
      <c r="AC128" s="470"/>
      <c r="AD128" s="403"/>
      <c r="AE128" s="356"/>
      <c r="AF128" s="356"/>
    </row>
    <row r="129" spans="1:33" s="402" customFormat="1" x14ac:dyDescent="0.25">
      <c r="A129" s="436"/>
      <c r="B129" s="434"/>
      <c r="C129" s="440"/>
      <c r="D129" s="564"/>
      <c r="E129" s="485"/>
      <c r="F129" s="569"/>
      <c r="G129" s="550"/>
      <c r="I129" s="449"/>
      <c r="J129" s="450"/>
      <c r="K129" s="376"/>
      <c r="L129" s="376"/>
      <c r="M129" s="376"/>
      <c r="N129" s="376"/>
      <c r="O129" s="444"/>
      <c r="P129" s="444"/>
      <c r="Q129" s="434"/>
      <c r="R129" s="434"/>
      <c r="S129" s="434"/>
      <c r="T129" s="434"/>
      <c r="U129" s="434"/>
      <c r="V129" s="434"/>
      <c r="W129" s="434"/>
      <c r="X129" s="434"/>
      <c r="Y129" s="391"/>
      <c r="Z129" s="391"/>
      <c r="AA129" s="452"/>
      <c r="AB129" s="391"/>
      <c r="AC129" s="470"/>
      <c r="AF129" s="356"/>
      <c r="AG129" s="356"/>
    </row>
    <row r="130" spans="1:33" s="402" customFormat="1" x14ac:dyDescent="0.25">
      <c r="A130" s="434"/>
      <c r="B130" s="434"/>
      <c r="C130" s="440"/>
      <c r="D130" s="564"/>
      <c r="E130" s="485"/>
      <c r="F130" s="569"/>
      <c r="G130" s="550"/>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29"/>
      <c r="AE130" s="430"/>
      <c r="AF130" s="356"/>
      <c r="AG130" s="356"/>
    </row>
    <row r="131" spans="1:33" s="402" customFormat="1" x14ac:dyDescent="0.25">
      <c r="A131" s="436"/>
      <c r="B131" s="434"/>
      <c r="C131" s="440"/>
      <c r="D131" s="564"/>
      <c r="E131" s="485"/>
      <c r="F131" s="569"/>
      <c r="G131" s="550"/>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03"/>
      <c r="AE131" s="356"/>
      <c r="AF131" s="356"/>
      <c r="AG131" s="356"/>
    </row>
    <row r="132" spans="1:33" s="402" customFormat="1" x14ac:dyDescent="0.25">
      <c r="A132" s="434"/>
      <c r="B132" s="434"/>
      <c r="C132" s="440"/>
      <c r="D132" s="564"/>
      <c r="E132" s="485"/>
      <c r="F132" s="569"/>
      <c r="G132" s="550"/>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03"/>
      <c r="AE132" s="356"/>
      <c r="AF132" s="356"/>
    </row>
    <row r="133" spans="1:33" s="402" customFormat="1" x14ac:dyDescent="0.25">
      <c r="A133" s="436"/>
      <c r="B133" s="434"/>
      <c r="C133" s="440"/>
      <c r="D133" s="564"/>
      <c r="E133" s="485"/>
      <c r="F133" s="569"/>
      <c r="G133" s="550"/>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403"/>
      <c r="AE133" s="356"/>
      <c r="AF133" s="356"/>
    </row>
    <row r="134" spans="1:33" s="402" customFormat="1" x14ac:dyDescent="0.25">
      <c r="A134" s="434"/>
      <c r="B134" s="434"/>
      <c r="C134" s="440"/>
      <c r="D134" s="564"/>
      <c r="E134" s="485"/>
      <c r="F134" s="569"/>
      <c r="G134" s="550"/>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403"/>
      <c r="AE134" s="356"/>
      <c r="AF134" s="356"/>
    </row>
    <row r="135" spans="1:33" s="402" customFormat="1" x14ac:dyDescent="0.25">
      <c r="A135" s="436"/>
      <c r="B135" s="434"/>
      <c r="C135" s="440"/>
      <c r="D135" s="564"/>
      <c r="E135" s="485"/>
      <c r="F135" s="569"/>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6"/>
      <c r="AE135" s="397"/>
      <c r="AF135" s="403"/>
    </row>
    <row r="136" spans="1:33" s="402" customFormat="1" x14ac:dyDescent="0.25">
      <c r="A136" s="434"/>
      <c r="B136" s="434"/>
      <c r="C136" s="440"/>
      <c r="D136" s="564"/>
      <c r="E136" s="485"/>
      <c r="F136" s="569"/>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8"/>
      <c r="AE136" s="398"/>
      <c r="AF136" s="403"/>
    </row>
    <row r="137" spans="1:33" s="402" customFormat="1" x14ac:dyDescent="0.25">
      <c r="A137" s="436"/>
      <c r="B137" s="434"/>
      <c r="C137" s="440"/>
      <c r="D137" s="564"/>
      <c r="E137" s="485"/>
      <c r="F137" s="569"/>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6"/>
      <c r="AE137" s="397"/>
      <c r="AF137" s="403"/>
    </row>
    <row r="138" spans="1:33" s="402" customFormat="1" x14ac:dyDescent="0.25">
      <c r="A138" s="434"/>
      <c r="B138" s="434"/>
      <c r="C138" s="440"/>
      <c r="D138" s="564"/>
      <c r="E138" s="485"/>
      <c r="F138" s="569"/>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399"/>
      <c r="AF138" s="403"/>
    </row>
    <row r="139" spans="1:33" s="402" customFormat="1" x14ac:dyDescent="0.25">
      <c r="A139" s="436"/>
      <c r="B139" s="434"/>
      <c r="C139" s="440"/>
      <c r="D139" s="564"/>
      <c r="E139" s="485"/>
      <c r="F139" s="569"/>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399"/>
      <c r="AF139" s="403"/>
    </row>
    <row r="140" spans="1:33" s="402" customFormat="1" x14ac:dyDescent="0.25">
      <c r="A140" s="434"/>
      <c r="B140" s="434"/>
      <c r="C140" s="440"/>
      <c r="D140" s="564"/>
      <c r="E140" s="485"/>
      <c r="F140" s="569"/>
      <c r="G140" s="550"/>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413"/>
      <c r="AF140" s="403"/>
    </row>
    <row r="141" spans="1:33" s="402" customFormat="1" x14ac:dyDescent="0.25">
      <c r="A141" s="436"/>
      <c r="B141" s="434"/>
      <c r="C141" s="440"/>
      <c r="D141" s="564"/>
      <c r="E141" s="485"/>
      <c r="F141" s="569"/>
      <c r="G141" s="550"/>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414"/>
      <c r="AF141" s="356"/>
    </row>
    <row r="142" spans="1:33" s="402" customFormat="1" x14ac:dyDescent="0.25">
      <c r="A142" s="434"/>
      <c r="B142" s="434"/>
      <c r="C142" s="440"/>
      <c r="D142" s="564"/>
      <c r="E142" s="485"/>
      <c r="F142" s="569"/>
      <c r="G142" s="550"/>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396"/>
      <c r="AE142" s="397"/>
      <c r="AF142" s="356"/>
    </row>
    <row r="143" spans="1:33" s="402" customFormat="1" x14ac:dyDescent="0.25">
      <c r="A143" s="436"/>
      <c r="B143" s="434"/>
      <c r="C143" s="440"/>
      <c r="D143" s="564"/>
      <c r="E143" s="485"/>
      <c r="F143" s="569"/>
      <c r="G143" s="550"/>
      <c r="I143" s="451"/>
      <c r="J143" s="450"/>
      <c r="K143" s="434"/>
      <c r="L143" s="434"/>
      <c r="M143" s="444"/>
      <c r="N143" s="444"/>
      <c r="O143" s="434"/>
      <c r="R143" s="434"/>
      <c r="S143" s="434"/>
      <c r="T143" s="434"/>
      <c r="U143" s="434"/>
      <c r="V143" s="434"/>
      <c r="W143" s="434"/>
      <c r="X143" s="434"/>
      <c r="Y143" s="391"/>
      <c r="Z143" s="370"/>
      <c r="AA143" s="452"/>
      <c r="AB143" s="370"/>
      <c r="AC143" s="465"/>
      <c r="AD143" s="396"/>
      <c r="AE143" s="397"/>
      <c r="AF143" s="398"/>
    </row>
    <row r="144" spans="1:33" s="402" customFormat="1" x14ac:dyDescent="0.25">
      <c r="A144" s="434"/>
      <c r="B144" s="434"/>
      <c r="C144" s="440"/>
      <c r="D144" s="564"/>
      <c r="E144" s="485"/>
      <c r="F144" s="569"/>
      <c r="G144" s="550"/>
      <c r="I144" s="451"/>
      <c r="J144" s="450"/>
      <c r="K144" s="434"/>
      <c r="L144" s="434"/>
      <c r="M144" s="444"/>
      <c r="N144" s="444"/>
      <c r="O144" s="434"/>
      <c r="R144" s="434"/>
      <c r="S144" s="434"/>
      <c r="T144" s="434"/>
      <c r="U144" s="434"/>
      <c r="V144" s="434"/>
      <c r="W144" s="434"/>
      <c r="X144" s="434"/>
      <c r="Y144" s="391"/>
      <c r="Z144" s="370"/>
      <c r="AA144" s="452"/>
      <c r="AB144" s="370"/>
      <c r="AC144" s="465"/>
      <c r="AD144" s="381"/>
      <c r="AE144" s="381"/>
      <c r="AF144" s="396"/>
    </row>
    <row r="145" spans="1:32" s="402" customFormat="1" x14ac:dyDescent="0.25">
      <c r="A145" s="436"/>
      <c r="B145" s="434"/>
      <c r="C145" s="440"/>
      <c r="D145" s="564"/>
      <c r="E145" s="485"/>
      <c r="F145" s="569"/>
      <c r="G145" s="550"/>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96"/>
    </row>
    <row r="146" spans="1:32" s="402" customFormat="1" x14ac:dyDescent="0.25">
      <c r="A146" s="434"/>
      <c r="B146" s="434"/>
      <c r="C146" s="440"/>
      <c r="D146" s="564"/>
      <c r="E146" s="485"/>
      <c r="F146" s="569"/>
      <c r="G146" s="550"/>
      <c r="I146" s="451"/>
      <c r="J146" s="450"/>
      <c r="K146" s="434"/>
      <c r="L146" s="434"/>
      <c r="M146" s="444"/>
      <c r="N146" s="444"/>
      <c r="O146" s="434"/>
      <c r="R146" s="434"/>
      <c r="S146" s="434"/>
      <c r="T146" s="434"/>
      <c r="U146" s="434"/>
      <c r="V146" s="434"/>
      <c r="W146" s="434"/>
      <c r="X146" s="434"/>
      <c r="Y146" s="391"/>
      <c r="Z146" s="370"/>
      <c r="AA146" s="452"/>
      <c r="AB146" s="370"/>
      <c r="AC146" s="465"/>
      <c r="AD146" s="382"/>
      <c r="AE146" s="382"/>
      <c r="AF146" s="394"/>
    </row>
    <row r="147" spans="1:32" s="402" customFormat="1" x14ac:dyDescent="0.25">
      <c r="A147" s="436"/>
      <c r="B147" s="434"/>
      <c r="C147" s="440"/>
      <c r="D147" s="564"/>
      <c r="E147" s="485"/>
      <c r="F147" s="569"/>
      <c r="G147" s="550"/>
      <c r="I147" s="451"/>
      <c r="J147" s="450"/>
      <c r="K147" s="434"/>
      <c r="L147" s="434"/>
      <c r="M147" s="444"/>
      <c r="N147" s="444"/>
      <c r="O147" s="434"/>
      <c r="R147" s="434"/>
      <c r="S147" s="434"/>
      <c r="T147" s="434"/>
      <c r="U147" s="434"/>
      <c r="V147" s="434"/>
      <c r="W147" s="434"/>
      <c r="X147" s="434"/>
      <c r="Y147" s="391"/>
      <c r="Z147" s="370"/>
      <c r="AA147" s="452"/>
      <c r="AB147" s="370"/>
      <c r="AC147" s="465"/>
      <c r="AD147" s="382"/>
      <c r="AE147" s="382"/>
      <c r="AF147" s="367"/>
    </row>
    <row r="148" spans="1:32" s="402" customFormat="1" x14ac:dyDescent="0.25">
      <c r="A148" s="434"/>
      <c r="B148" s="434"/>
      <c r="C148" s="440"/>
      <c r="D148" s="564"/>
      <c r="E148" s="485"/>
      <c r="F148" s="569"/>
      <c r="G148" s="550"/>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67"/>
    </row>
    <row r="149" spans="1:32" s="402" customFormat="1" x14ac:dyDescent="0.25">
      <c r="A149" s="436"/>
      <c r="B149" s="434"/>
      <c r="C149" s="440"/>
      <c r="D149" s="564"/>
      <c r="E149" s="485"/>
      <c r="F149" s="569"/>
      <c r="G149" s="550"/>
      <c r="I149" s="451"/>
      <c r="J149" s="450"/>
      <c r="K149" s="434"/>
      <c r="L149" s="434"/>
      <c r="M149" s="444"/>
      <c r="N149" s="444"/>
      <c r="O149" s="434"/>
      <c r="R149" s="434"/>
      <c r="S149" s="434"/>
      <c r="T149" s="434"/>
      <c r="U149" s="434"/>
      <c r="V149" s="434"/>
      <c r="W149" s="434"/>
      <c r="X149" s="434"/>
      <c r="Y149" s="391"/>
      <c r="Z149" s="370"/>
      <c r="AA149" s="452"/>
      <c r="AB149" s="370"/>
      <c r="AC149" s="465"/>
      <c r="AD149" s="370"/>
      <c r="AE149" s="370"/>
      <c r="AF149" s="367"/>
    </row>
    <row r="150" spans="1:32" s="402" customFormat="1" x14ac:dyDescent="0.25">
      <c r="A150" s="436"/>
      <c r="B150" s="434"/>
      <c r="C150" s="440"/>
      <c r="D150" s="564"/>
      <c r="E150" s="528"/>
      <c r="F150" s="569"/>
      <c r="G150" s="550"/>
      <c r="I150" s="451"/>
      <c r="J150" s="450"/>
      <c r="K150" s="434"/>
      <c r="L150" s="434"/>
      <c r="M150" s="444"/>
      <c r="N150" s="444"/>
      <c r="O150" s="434"/>
      <c r="R150" s="434"/>
      <c r="S150" s="434"/>
      <c r="T150" s="434"/>
      <c r="U150" s="434"/>
      <c r="V150" s="434"/>
      <c r="W150" s="434"/>
      <c r="X150" s="434"/>
      <c r="Y150" s="391"/>
      <c r="Z150" s="370"/>
      <c r="AA150" s="452"/>
      <c r="AB150" s="370"/>
      <c r="AC150" s="465"/>
      <c r="AD150" s="383"/>
      <c r="AE150" s="383"/>
      <c r="AF150" s="374"/>
    </row>
    <row r="151" spans="1:32" s="402" customFormat="1" x14ac:dyDescent="0.25">
      <c r="A151" s="370"/>
      <c r="B151" s="434"/>
      <c r="C151" s="440"/>
      <c r="D151" s="564"/>
      <c r="E151" s="481"/>
      <c r="F151" s="569"/>
      <c r="G151" s="550"/>
      <c r="H151" s="441"/>
      <c r="I151" s="451"/>
      <c r="J151" s="450"/>
      <c r="K151" s="434"/>
      <c r="L151" s="434"/>
      <c r="M151" s="444"/>
      <c r="N151" s="444"/>
      <c r="O151" s="434"/>
      <c r="R151" s="434"/>
      <c r="S151" s="434"/>
      <c r="T151" s="434"/>
      <c r="U151" s="434"/>
      <c r="V151" s="434"/>
      <c r="W151" s="434"/>
      <c r="X151" s="434"/>
      <c r="Y151" s="370"/>
      <c r="Z151" s="370"/>
      <c r="AA151" s="370"/>
      <c r="AB151" s="370"/>
      <c r="AC151" s="465"/>
      <c r="AD151" s="384"/>
      <c r="AE151" s="384"/>
      <c r="AF151" s="374"/>
    </row>
    <row r="152" spans="1:32" s="402" customFormat="1" x14ac:dyDescent="0.25">
      <c r="A152" s="370"/>
      <c r="B152" s="370"/>
      <c r="C152" s="370"/>
      <c r="D152" s="560"/>
      <c r="E152" s="484"/>
      <c r="F152" s="370"/>
      <c r="G152" s="370"/>
      <c r="H152" s="393"/>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4"/>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79"/>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81"/>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0"/>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82"/>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4"/>
      <c r="AE157" s="384"/>
      <c r="AF157" s="382"/>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7"/>
      <c r="AE158" s="387"/>
      <c r="AF158" s="370"/>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3"/>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88"/>
      <c r="AE167" s="391"/>
      <c r="AF167" s="386"/>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9"/>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4"/>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89"/>
      <c r="AF174" s="386"/>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2"/>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89"/>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2"/>
      <c r="AF180" s="388"/>
    </row>
    <row r="181" spans="1:32" s="402" customForma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8"/>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88"/>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88"/>
    </row>
    <row r="184" spans="1:32" s="402" customFormat="1" ht="12.75" customHeigh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2"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2"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2"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2"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2"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2"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2"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2"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2"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2"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2"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2"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2"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2"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2"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2"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H241" s="398"/>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8"/>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40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8"/>
    </row>
    <row r="245" spans="1:34" s="356" customFormat="1" ht="14.25" customHeigh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7"/>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7"/>
    </row>
    <row r="247" spans="1:34" s="404" customFormat="1" ht="12" customHeigh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356"/>
      <c r="AH247" s="398"/>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ht="17.25" customHeigh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8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7"/>
      <c r="AH251" s="369"/>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7"/>
      <c r="AH252" s="369"/>
    </row>
    <row r="253" spans="1:34" s="356" customFormat="1" ht="13.5" customHeigh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5"/>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77"/>
    </row>
    <row r="258" spans="1:34" s="356" customFormat="1" ht="15.75"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81"/>
    </row>
    <row r="259" spans="1:34" s="356" customFormat="1" ht="15.7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70"/>
    </row>
    <row r="260" spans="1:34" s="356" customFormat="1" ht="12.7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0"/>
      <c r="AH260" s="382"/>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1"/>
      <c r="AH261" s="382"/>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70"/>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2"/>
      <c r="AH263" s="383"/>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2"/>
      <c r="AH264" s="384"/>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0"/>
      <c r="AH265" s="384"/>
    </row>
    <row r="266" spans="1:34" s="356" customFormat="1" ht="14.25" customHeigh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3"/>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7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76" customFormat="1" ht="12"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7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77" customFormat="1" ht="11.25"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81"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x14ac:dyDescent="0.25">
      <c r="AG274" s="386"/>
    </row>
    <row r="275" spans="1:33" s="382"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8"/>
    </row>
    <row r="276" spans="1:33" s="382"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8"/>
    </row>
    <row r="277" spans="1:33" x14ac:dyDescent="0.25">
      <c r="AG277" s="388"/>
    </row>
    <row r="278" spans="1:33" x14ac:dyDescent="0.25">
      <c r="AG278" s="388"/>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90"/>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6"/>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6"/>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7"/>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1"/>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0"/>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2"/>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2"/>
    </row>
    <row r="288" spans="1:33" s="383"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70"/>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7"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70"/>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3"/>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7"/>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x14ac:dyDescent="0.25">
      <c r="AG314" s="388"/>
    </row>
    <row r="315" spans="1:33" x14ac:dyDescent="0.25">
      <c r="AG315" s="388"/>
    </row>
    <row r="316" spans="1:33" x14ac:dyDescent="0.25">
      <c r="AG316" s="391"/>
    </row>
    <row r="317" spans="1:33" x14ac:dyDescent="0.25">
      <c r="AG317" s="391"/>
    </row>
    <row r="318" spans="1:33" x14ac:dyDescent="0.25">
      <c r="AG318" s="391"/>
    </row>
    <row r="319" spans="1:33" x14ac:dyDescent="0.25">
      <c r="AG319" s="391"/>
    </row>
    <row r="320" spans="1:33" x14ac:dyDescent="0.25">
      <c r="AG320" s="391"/>
    </row>
    <row r="321" spans="33:33" x14ac:dyDescent="0.25">
      <c r="AG321" s="391"/>
    </row>
    <row r="322" spans="33:33" x14ac:dyDescent="0.25">
      <c r="AG322" s="391"/>
    </row>
    <row r="323" spans="33:33" x14ac:dyDescent="0.25">
      <c r="AG323"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20" activePane="bottomLeft" state="frozen"/>
      <selection activeCell="O4" sqref="O4:AC4"/>
      <selection pane="bottomLeft" activeCell="X2" sqref="X2"/>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39">
        <v>37270</v>
      </c>
      <c r="B1" s="576"/>
      <c r="C1" s="576"/>
      <c r="D1" s="576"/>
      <c r="E1" s="576"/>
      <c r="F1" s="576"/>
      <c r="G1" s="576"/>
      <c r="H1" s="576"/>
      <c r="I1" s="576"/>
      <c r="J1" s="576"/>
      <c r="K1" s="576"/>
      <c r="L1" s="576"/>
      <c r="M1" s="576"/>
      <c r="N1" s="576"/>
      <c r="O1" s="576"/>
      <c r="P1" s="576"/>
      <c r="Q1" s="576"/>
      <c r="R1" s="576"/>
      <c r="S1" s="576"/>
      <c r="T1" s="576"/>
      <c r="U1" s="576"/>
      <c r="V1" s="576"/>
      <c r="W1" s="576"/>
      <c r="X1" s="576"/>
      <c r="Y1" s="57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382</v>
      </c>
      <c r="C2" s="492" t="s">
        <v>382</v>
      </c>
      <c r="D2" s="492" t="s">
        <v>382</v>
      </c>
      <c r="E2" s="492" t="s">
        <v>382</v>
      </c>
      <c r="F2" s="492" t="s">
        <v>382</v>
      </c>
      <c r="G2" s="492" t="s">
        <v>382</v>
      </c>
      <c r="H2" s="492" t="s">
        <v>382</v>
      </c>
      <c r="I2" s="492" t="s">
        <v>382</v>
      </c>
      <c r="J2" s="492" t="s">
        <v>382</v>
      </c>
      <c r="K2" s="492" t="s">
        <v>382</v>
      </c>
      <c r="L2" s="492" t="s">
        <v>382</v>
      </c>
      <c r="M2" s="492" t="s">
        <v>382</v>
      </c>
      <c r="N2" s="492" t="s">
        <v>382</v>
      </c>
      <c r="O2" s="492" t="s">
        <v>382</v>
      </c>
      <c r="P2" s="492" t="s">
        <v>382</v>
      </c>
      <c r="Q2" s="492" t="s">
        <v>382</v>
      </c>
      <c r="R2" s="492" t="s">
        <v>382</v>
      </c>
      <c r="S2" s="492" t="s">
        <v>382</v>
      </c>
      <c r="T2" s="492" t="s">
        <v>382</v>
      </c>
      <c r="U2" s="492" t="s">
        <v>382</v>
      </c>
      <c r="V2" s="492" t="s">
        <v>382</v>
      </c>
      <c r="W2" s="492" t="s">
        <v>382</v>
      </c>
      <c r="X2" s="492" t="s">
        <v>382</v>
      </c>
      <c r="Y2" s="492" t="s">
        <v>382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18" t="s">
        <v>294</v>
      </c>
      <c r="B4" s="518">
        <v>582</v>
      </c>
      <c r="C4" s="518">
        <v>558</v>
      </c>
      <c r="D4" s="518">
        <v>552</v>
      </c>
      <c r="E4" s="518">
        <v>557</v>
      </c>
      <c r="F4" s="518">
        <v>574</v>
      </c>
      <c r="G4" s="518">
        <v>622</v>
      </c>
      <c r="H4" s="518">
        <v>764</v>
      </c>
      <c r="I4" s="518">
        <v>796</v>
      </c>
      <c r="J4" s="518">
        <v>788</v>
      </c>
      <c r="K4" s="518">
        <v>800</v>
      </c>
      <c r="L4" s="518">
        <v>803</v>
      </c>
      <c r="M4" s="518">
        <v>803</v>
      </c>
      <c r="N4" s="518">
        <v>782</v>
      </c>
      <c r="O4" s="518">
        <v>779</v>
      </c>
      <c r="P4" s="518">
        <v>774</v>
      </c>
      <c r="Q4" s="518">
        <v>758</v>
      </c>
      <c r="R4" s="518">
        <v>746</v>
      </c>
      <c r="S4" s="518">
        <v>774</v>
      </c>
      <c r="T4" s="518">
        <v>860</v>
      </c>
      <c r="U4" s="518">
        <v>854</v>
      </c>
      <c r="V4" s="518">
        <v>841</v>
      </c>
      <c r="W4" s="518">
        <v>794</v>
      </c>
      <c r="X4" s="519">
        <v>743</v>
      </c>
      <c r="Y4" s="519">
        <v>679</v>
      </c>
      <c r="Z4" s="354"/>
      <c r="AA4" s="354"/>
      <c r="AB4" s="354"/>
      <c r="AC4" s="354"/>
      <c r="AD4" s="354"/>
    </row>
    <row r="5" spans="1:213" s="161" customFormat="1" ht="12.6" thickBot="1" x14ac:dyDescent="0.3">
      <c r="A5" s="579" t="s">
        <v>64</v>
      </c>
      <c r="B5" s="520">
        <f>Deals!F4</f>
        <v>55</v>
      </c>
      <c r="C5" s="520">
        <f>Deals!G4</f>
        <v>55</v>
      </c>
      <c r="D5" s="520">
        <f>Deals!H4</f>
        <v>55</v>
      </c>
      <c r="E5" s="520">
        <f>Deals!I4</f>
        <v>55</v>
      </c>
      <c r="F5" s="520">
        <f>Deals!J4</f>
        <v>55</v>
      </c>
      <c r="G5" s="520">
        <f>Deals!K4</f>
        <v>60</v>
      </c>
      <c r="H5" s="520">
        <f>Deals!L4</f>
        <v>70</v>
      </c>
      <c r="I5" s="520">
        <f>Deals!M4</f>
        <v>75</v>
      </c>
      <c r="J5" s="520">
        <f>Deals!N4</f>
        <v>75</v>
      </c>
      <c r="K5" s="520">
        <f>Deals!O4</f>
        <v>75</v>
      </c>
      <c r="L5" s="520">
        <f>Deals!P4</f>
        <v>75</v>
      </c>
      <c r="M5" s="520">
        <f>Deals!Q4</f>
        <v>70</v>
      </c>
      <c r="N5" s="520">
        <f>Deals!R4</f>
        <v>70</v>
      </c>
      <c r="O5" s="520">
        <f>Deals!S4</f>
        <v>70</v>
      </c>
      <c r="P5" s="520">
        <f>Deals!T4</f>
        <v>70</v>
      </c>
      <c r="Q5" s="520">
        <f>Deals!U4</f>
        <v>65</v>
      </c>
      <c r="R5" s="520">
        <f>Deals!V4</f>
        <v>65</v>
      </c>
      <c r="S5" s="520">
        <f>Deals!W4</f>
        <v>65</v>
      </c>
      <c r="T5" s="520">
        <f>Deals!X4</f>
        <v>75</v>
      </c>
      <c r="U5" s="520">
        <f>Deals!Y4</f>
        <v>75</v>
      </c>
      <c r="V5" s="520">
        <f>Deals!Z4</f>
        <v>75</v>
      </c>
      <c r="W5" s="520">
        <f>Deals!AA4</f>
        <v>70</v>
      </c>
      <c r="X5" s="520">
        <f>Deals!AB4</f>
        <v>60</v>
      </c>
      <c r="Y5" s="507">
        <f>Deals!AC4</f>
        <v>55</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-50</v>
      </c>
      <c r="J8" s="496">
        <f t="array" aca="1" ref="J8" ca="1">SUM(IF((DelPoint= "4C")*(DType = "pre")*(OFFSET(DelPoint,0,J3+2)&lt;0),OFFSET(DelPoint,0,J3+2),0))</f>
        <v>-50</v>
      </c>
      <c r="K8" s="496">
        <f t="array" aca="1" ref="K8" ca="1">SUM(IF((DelPoint= "4C")*(DType = "pre")*(OFFSET(DelPoint,0,K3+2)&lt;0),OFFSET(DelPoint,0,K3+2),0))</f>
        <v>-50</v>
      </c>
      <c r="L8" s="496">
        <f t="array" aca="1" ref="L8" ca="1">SUM(IF((DelPoint= "4C")*(DType = "pre")*(OFFSET(DelPoint,0,L3+2)&lt;0),OFFSET(DelPoint,0,L3+2),0))</f>
        <v>-50</v>
      </c>
      <c r="M8" s="496">
        <f t="array" aca="1" ref="M8" ca="1">SUM(IF((DelPoint= "4C")*(DType = "pre")*(OFFSET(DelPoint,0,M3+2)&lt;0),OFFSET(DelPoint,0,M3+2),0))</f>
        <v>-50</v>
      </c>
      <c r="N8" s="496">
        <f t="array" aca="1" ref="N8" ca="1">SUM(IF((DelPoint= "4C")*(DType = "pre")*(OFFSET(DelPoint,0,N3+2)&lt;0),OFFSET(DelPoint,0,N3+2),0))</f>
        <v>-50</v>
      </c>
      <c r="O8" s="496">
        <f t="array" aca="1" ref="O8" ca="1">SUM(IF((DelPoint= "4C")*(DType = "pre")*(OFFSET(DelPoint,0,O3+2)&lt;0),OFFSET(DelPoint,0,O3+2),0))</f>
        <v>-50</v>
      </c>
      <c r="P8" s="496">
        <f t="array" aca="1" ref="P8" ca="1">SUM(IF((DelPoint= "4C")*(DType = "pre")*(OFFSET(DelPoint,0,P3+2)&lt;0),OFFSET(DelPoint,0,P3+2),0))</f>
        <v>-50</v>
      </c>
      <c r="Q8" s="496">
        <f t="array" aca="1" ref="Q8" ca="1">SUM(IF((DelPoint= "4C")*(DType = "pre")*(OFFSET(DelPoint,0,Q3+2)&lt;0),OFFSET(DelPoint,0,Q3+2),0))</f>
        <v>-50</v>
      </c>
      <c r="R8" s="496">
        <f t="array" aca="1" ref="R8" ca="1">SUM(IF((DelPoint= "4C")*(DType = "pre")*(OFFSET(DelPoint,0,R3+2)&lt;0),OFFSET(DelPoint,0,R3+2),0))</f>
        <v>-50</v>
      </c>
      <c r="S8" s="496">
        <f t="array" aca="1" ref="S8" ca="1">SUM(IF((DelPoint= "4C")*(DType = "pre")*(OFFSET(DelPoint,0,S3+2)&lt;0),OFFSET(DelPoint,0,S3+2),0))</f>
        <v>-50</v>
      </c>
      <c r="T8" s="496">
        <f t="array" aca="1" ref="T8" ca="1">SUM(IF((DelPoint= "4C")*(DType = "pre")*(OFFSET(DelPoint,0,T3+2)&lt;0),OFFSET(DelPoint,0,T3+2),0))</f>
        <v>-50</v>
      </c>
      <c r="U8" s="496">
        <f t="array" aca="1" ref="U8" ca="1">SUM(IF((DelPoint= "4C")*(DType = "pre")*(OFFSET(DelPoint,0,U3+2)&lt;0),OFFSET(DelPoint,0,U3+2),0))</f>
        <v>-50</v>
      </c>
      <c r="V8" s="496">
        <f t="array" aca="1" ref="V8" ca="1">SUM(IF((DelPoint= "4C")*(DType = "pre")*(OFFSET(DelPoint,0,V3+2)&lt;0),OFFSET(DelPoint,0,V3+2),0))</f>
        <v>-50</v>
      </c>
      <c r="W8" s="496">
        <f t="array" aca="1" ref="W8" ca="1">SUM(IF((DelPoint= "4C")*(DType = "pre")*(OFFSET(DelPoint,0,W3+2)&lt;0),OFFSET(DelPoint,0,W3+2),0))</f>
        <v>-50</v>
      </c>
      <c r="X8" s="496">
        <f t="array" aca="1" ref="X8" ca="1">SUM(IF((DelPoint= "4C")*(DType = "pre")*(OFFSET(DelPoint,0,X3+2)&lt;0),OFFSET(DelPoint,0,X3+2),0))</f>
        <v>-50</v>
      </c>
      <c r="Y8" s="675">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76"/>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-25</v>
      </c>
      <c r="V10" s="197">
        <f t="array" aca="1" ref="V10" ca="1">SUM(IF((DelPoint= "4C")*IF((DType = "firm")+(DType = "econ")&gt;0,1,0)*(OFFSET(DelPoint,0,V3+2)&lt;0),OFFSET(DelPoint,0,V3+2),0))</f>
        <v>-25</v>
      </c>
      <c r="W10" s="197">
        <f t="array" aca="1" ref="W10" ca="1">SUM(IF((DelPoint= "4C")*IF((DType = "firm")+(DType = "econ")&gt;0,1,0)*(OFFSET(DelPoint,0,W3+2)&lt;0),OFFSET(DelPoint,0,W3+2),0))</f>
        <v>-25</v>
      </c>
      <c r="X10" s="197">
        <f t="array" aca="1" ref="X10" ca="1">SUM(IF((DelPoint= "4C")*IF((DType = "firm")+(DType = "econ")&gt;0,1,0)*(OFFSET(DelPoint,0,X3+2)&lt;0),OFFSET(DelPoint,0,X3+2),0))</f>
        <v>0</v>
      </c>
      <c r="Y10" s="677">
        <f t="array" aca="1" ref="Y10" ca="1">SUM(IF((DelPoint= "4C")*IF((DType = "firm")+(DType = "econ")&gt;0,1,0)*(OFFSET(DelPoint,0,Y3+2)&lt;0),OFFSET(DelPoint,0,Y3+2),0))</f>
        <v>0</v>
      </c>
      <c r="Z10" s="160"/>
      <c r="AA10" s="162"/>
    </row>
    <row r="11" spans="1:213" s="161" customFormat="1" ht="11.4" x14ac:dyDescent="0.2">
      <c r="A11" s="58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-25</v>
      </c>
      <c r="J11" s="198">
        <f t="array" aca="1" ref="J11" ca="1">SUM(IF((DelPoint= "PV")*(DType = "pre")*(OFFSET(DelPoint,0,J3+2)&lt;0),OFFSET(DelPoint,0,J3+2),0))</f>
        <v>-25</v>
      </c>
      <c r="K11" s="198">
        <f t="array" aca="1" ref="K11" ca="1">SUM(IF((DelPoint= "PV")*(DType = "pre")*(OFFSET(DelPoint,0,K3+2)&lt;0),OFFSET(DelPoint,0,K3+2),0))</f>
        <v>-25</v>
      </c>
      <c r="L11" s="198">
        <f t="array" aca="1" ref="L11" ca="1">SUM(IF((DelPoint= "PV")*(DType = "pre")*(OFFSET(DelPoint,0,L3+2)&lt;0),OFFSET(DelPoint,0,L3+2),0))</f>
        <v>-25</v>
      </c>
      <c r="M11" s="198">
        <f t="array" aca="1" ref="M11" ca="1">SUM(IF((DelPoint= "PV")*(DType = "pre")*(OFFSET(DelPoint,0,M3+2)&lt;0),OFFSET(DelPoint,0,M3+2),0))</f>
        <v>-25</v>
      </c>
      <c r="N11" s="198">
        <f t="array" aca="1" ref="N11" ca="1">SUM(IF((DelPoint= "PV")*(DType = "pre")*(OFFSET(DelPoint,0,N3+2)&lt;0),OFFSET(DelPoint,0,N3+2),0))</f>
        <v>-25</v>
      </c>
      <c r="O11" s="198">
        <f t="array" aca="1" ref="O11" ca="1">SUM(IF((DelPoint= "PV")*(DType = "pre")*(OFFSET(DelPoint,0,O3+2)&lt;0),OFFSET(DelPoint,0,O3+2),0))</f>
        <v>-25</v>
      </c>
      <c r="P11" s="198">
        <f t="array" aca="1" ref="P11" ca="1">SUM(IF((DelPoint= "PV")*(DType = "pre")*(OFFSET(DelPoint,0,P3+2)&lt;0),OFFSET(DelPoint,0,P3+2),0))</f>
        <v>-25</v>
      </c>
      <c r="Q11" s="198">
        <f t="array" aca="1" ref="Q11" ca="1">SUM(IF((DelPoint= "PV")*(DType = "pre")*(OFFSET(DelPoint,0,Q3+2)&lt;0),OFFSET(DelPoint,0,Q3+2),0))</f>
        <v>-25</v>
      </c>
      <c r="R11" s="198">
        <f t="array" aca="1" ref="R11" ca="1">SUM(IF((DelPoint= "PV")*(DType = "pre")*(OFFSET(DelPoint,0,R3+2)&lt;0),OFFSET(DelPoint,0,R3+2),0))</f>
        <v>-25</v>
      </c>
      <c r="S11" s="198">
        <f t="array" aca="1" ref="S11" ca="1">SUM(IF((DelPoint= "PV")*(DType = "pre")*(OFFSET(DelPoint,0,S3+2)&lt;0),OFFSET(DelPoint,0,S3+2),0))</f>
        <v>-25</v>
      </c>
      <c r="T11" s="198">
        <f t="array" aca="1" ref="T11" ca="1">SUM(IF((DelPoint= "PV")*(DType = "pre")*(OFFSET(DelPoint,0,T3+2)&lt;0),OFFSET(DelPoint,0,T3+2),0))</f>
        <v>-25</v>
      </c>
      <c r="U11" s="198">
        <f t="array" aca="1" ref="U11" ca="1">SUM(IF((DelPoint= "PV")*(DType = "pre")*(OFFSET(DelPoint,0,U3+2)&lt;0),OFFSET(DelPoint,0,U3+2),0))</f>
        <v>-25</v>
      </c>
      <c r="V11" s="198">
        <f t="array" aca="1" ref="V11" ca="1">SUM(IF((DelPoint= "PV")*(DType = "pre")*(OFFSET(DelPoint,0,V3+2)&lt;0),OFFSET(DelPoint,0,V3+2),0))</f>
        <v>-25</v>
      </c>
      <c r="W11" s="198">
        <f t="array" aca="1" ref="W11" ca="1">SUM(IF((DelPoint= "PV")*(DType = "pre")*(OFFSET(DelPoint,0,W3+2)&lt;0),OFFSET(DelPoint,0,W3+2),0))</f>
        <v>-25</v>
      </c>
      <c r="X11" s="198">
        <f t="array" aca="1" ref="X11" ca="1">SUM(IF((DelPoint= "PV")*(DType = "pre")*(OFFSET(DelPoint,0,X3+2)&lt;0),OFFSET(DelPoint,0,X3+2),0))</f>
        <v>-25</v>
      </c>
      <c r="Y11" s="678">
        <f t="array" aca="1" ref="Y11" ca="1">SUM(IF((DelPoint= "PV")*(DType = "pre")*(OFFSET(DelPoint,0,Y3+2)&lt;0),OFFSET(DelPoint,0,Y3+2),0))</f>
        <v>0</v>
      </c>
      <c r="Z11" s="160"/>
      <c r="AA11" s="162"/>
    </row>
    <row r="12" spans="1:213" s="161" customFormat="1" ht="11.4" x14ac:dyDescent="0.2">
      <c r="A12" s="58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78"/>
      <c r="Z12" s="160"/>
      <c r="AA12" s="162"/>
    </row>
    <row r="13" spans="1:213" s="161" customFormat="1" ht="11.4" x14ac:dyDescent="0.2">
      <c r="A13" s="58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79"/>
      <c r="Z13" s="160"/>
      <c r="AA13" s="162"/>
    </row>
    <row r="14" spans="1:213" s="161" customFormat="1" ht="11.4" x14ac:dyDescent="0.2">
      <c r="A14" s="58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-25</v>
      </c>
      <c r="I14" s="199">
        <f t="array" aca="1" ref="I14" ca="1">SUM(IF((DelPoint= "PV")*IF((DType = "firm")+(DType = "econ")&gt;0,1,0)*(OFFSET(DelPoint,0,I3+2)&lt;0),OFFSET(DelPoint,0,I3+2),0))</f>
        <v>-50</v>
      </c>
      <c r="J14" s="199">
        <f t="array" aca="1" ref="J14" ca="1">SUM(IF((DelPoint= "PV")*IF((DType = "firm")+(DType = "econ")&gt;0,1,0)*(OFFSET(DelPoint,0,J3+2)&lt;0),OFFSET(DelPoint,0,J3+2),0))</f>
        <v>-25</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80">
        <f t="array" aca="1" ref="Y14" ca="1">SUM(IF((DelPoint= "PV")*IF((DType = "firm")+(DType = "econ")&gt;0,1,0)*(OFFSET(DelPoint,0,Y3+2)&lt;0),OFFSET(DelPoint,0,Y3+2),0))</f>
        <v>0</v>
      </c>
      <c r="Z14" s="160"/>
      <c r="AA14" s="162"/>
    </row>
    <row r="15" spans="1:213" s="161" customFormat="1" ht="11.4" x14ac:dyDescent="0.2">
      <c r="A15" s="58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8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8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86" t="s">
        <v>247</v>
      </c>
      <c r="B18" s="483">
        <f>Deals!F7</f>
        <v>0</v>
      </c>
      <c r="C18" s="483">
        <f>Deals!G7</f>
        <v>0</v>
      </c>
      <c r="D18" s="483">
        <f>Deals!H7</f>
        <v>0</v>
      </c>
      <c r="E18" s="483">
        <f>Deals!I7</f>
        <v>0</v>
      </c>
      <c r="F18" s="483">
        <f>Deals!J7</f>
        <v>0</v>
      </c>
      <c r="G18" s="483">
        <f>Deals!K7</f>
        <v>0</v>
      </c>
      <c r="H18" s="483">
        <f>Deals!L7</f>
        <v>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1.4" x14ac:dyDescent="0.2">
      <c r="A19" s="58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8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60</v>
      </c>
      <c r="C22" s="418">
        <f>Deals!G3</f>
        <v>40</v>
      </c>
      <c r="D22" s="418">
        <f>Deals!H3</f>
        <v>40</v>
      </c>
      <c r="E22" s="418">
        <f>Deals!I3</f>
        <v>40</v>
      </c>
      <c r="F22" s="418">
        <f>Deals!J3</f>
        <v>50</v>
      </c>
      <c r="G22" s="418">
        <f>Deals!K3</f>
        <v>50</v>
      </c>
      <c r="H22" s="418">
        <f>Deals!L3</f>
        <v>85</v>
      </c>
      <c r="I22" s="418">
        <f>Deals!M3</f>
        <v>105</v>
      </c>
      <c r="J22" s="418">
        <f>Deals!N3</f>
        <v>125</v>
      </c>
      <c r="K22" s="418">
        <f>Deals!O3</f>
        <v>125</v>
      </c>
      <c r="L22" s="418">
        <f>Deals!P3</f>
        <v>125</v>
      </c>
      <c r="M22" s="418">
        <f>Deals!Q3</f>
        <v>125</v>
      </c>
      <c r="N22" s="418">
        <f>Deals!R3</f>
        <v>125</v>
      </c>
      <c r="O22" s="418">
        <f>Deals!S3</f>
        <v>125</v>
      </c>
      <c r="P22" s="418">
        <f>Deals!T3</f>
        <v>125</v>
      </c>
      <c r="Q22" s="418">
        <f>Deals!U3</f>
        <v>125</v>
      </c>
      <c r="R22" s="418">
        <f>Deals!V3</f>
        <v>125</v>
      </c>
      <c r="S22" s="418">
        <f>Deals!W3</f>
        <v>125</v>
      </c>
      <c r="T22" s="418">
        <f>Deals!X3</f>
        <v>150</v>
      </c>
      <c r="U22" s="418">
        <f>Deals!Y3</f>
        <v>150</v>
      </c>
      <c r="V22" s="418">
        <f>Deals!Z3</f>
        <v>135</v>
      </c>
      <c r="W22" s="418">
        <f>Deals!AA3</f>
        <v>135</v>
      </c>
      <c r="X22" s="418">
        <f>Deals!AB3</f>
        <v>120</v>
      </c>
      <c r="Y22" s="507">
        <f>Deals!AC3</f>
        <v>95</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81">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71">
        <f t="array" aca="1" ref="B25" ca="1">SUM(IF((DelPoint= "4C")*(DType = "pre")*(OFFSET(DelPoint,0,B3+2)&gt;0),OFFSET(DelPoint,0,B3+2),0))</f>
        <v>25</v>
      </c>
      <c r="C25" s="671">
        <f t="array" aca="1" ref="C25" ca="1">SUM(IF((DelPoint= "4C")*(DType = "pre")*(OFFSET(DelPoint,0,C3+2)&gt;0),OFFSET(DelPoint,0,C3+2),0))</f>
        <v>25</v>
      </c>
      <c r="D25" s="671">
        <f t="array" aca="1" ref="D25" ca="1">SUM(IF((DelPoint= "4C")*(DType = "pre")*(OFFSET(DelPoint,0,D3+2)&gt;0),OFFSET(DelPoint,0,D3+2),0))</f>
        <v>25</v>
      </c>
      <c r="E25" s="671">
        <f t="array" aca="1" ref="E25" ca="1">SUM(IF((DelPoint= "4C")*(DType = "pre")*(OFFSET(DelPoint,0,E3+2)&gt;0),OFFSET(DelPoint,0,E3+2),0))</f>
        <v>25</v>
      </c>
      <c r="F25" s="671">
        <f t="array" aca="1" ref="F25" ca="1">SUM(IF((DelPoint= "4C")*(DType = "pre")*(OFFSET(DelPoint,0,F3+2)&gt;0),OFFSET(DelPoint,0,F3+2),0))</f>
        <v>25</v>
      </c>
      <c r="G25" s="671">
        <f t="array" aca="1" ref="G25" ca="1">SUM(IF((DelPoint= "4C")*(DType = "pre")*(OFFSET(DelPoint,0,G3+2)&gt;0),OFFSET(DelPoint,0,G3+2),0))</f>
        <v>25</v>
      </c>
      <c r="H25" s="671">
        <f t="array" aca="1" ref="H25" ca="1">SUM(IF((DelPoint= "4C")*(DType = "pre")*(OFFSET(DelPoint,0,H3+2)&gt;0),OFFSET(DelPoint,0,H3+2),0))</f>
        <v>25</v>
      </c>
      <c r="I25" s="671">
        <f t="array" aca="1" ref="I25" ca="1">SUM(IF((DelPoint= "4C")*(DType = "pre")*(OFFSET(DelPoint,0,I3+2)&gt;0),OFFSET(DelPoint,0,I3+2),0))</f>
        <v>30</v>
      </c>
      <c r="J25" s="671">
        <f t="array" aca="1" ref="J25" ca="1">SUM(IF((DelPoint= "4C")*(DType = "pre")*(OFFSET(DelPoint,0,J3+2)&gt;0),OFFSET(DelPoint,0,J3+2),0))</f>
        <v>30</v>
      </c>
      <c r="K25" s="671">
        <f t="array" aca="1" ref="K25" ca="1">SUM(IF((DelPoint= "4C")*(DType = "pre")*(OFFSET(DelPoint,0,K3+2)&gt;0),OFFSET(DelPoint,0,K3+2),0))</f>
        <v>30</v>
      </c>
      <c r="L25" s="671">
        <f t="array" aca="1" ref="L25" ca="1">SUM(IF((DelPoint= "4C")*(DType = "pre")*(OFFSET(DelPoint,0,L3+2)&gt;0),OFFSET(DelPoint,0,L3+2),0))</f>
        <v>30</v>
      </c>
      <c r="M25" s="671">
        <f t="array" aca="1" ref="M25" ca="1">SUM(IF((DelPoint= "4C")*(DType = "pre")*(OFFSET(DelPoint,0,M3+2)&gt;0),OFFSET(DelPoint,0,M3+2),0))</f>
        <v>30</v>
      </c>
      <c r="N25" s="671">
        <f t="array" aca="1" ref="N25" ca="1">SUM(IF((DelPoint= "4C")*(DType = "pre")*(OFFSET(DelPoint,0,N3+2)&gt;0),OFFSET(DelPoint,0,N3+2),0))</f>
        <v>30</v>
      </c>
      <c r="O25" s="671">
        <f t="array" aca="1" ref="O25" ca="1">SUM(IF((DelPoint= "4C")*(DType = "pre")*(OFFSET(DelPoint,0,O3+2)&gt;0),OFFSET(DelPoint,0,O3+2),0))</f>
        <v>30</v>
      </c>
      <c r="P25" s="671">
        <f t="array" aca="1" ref="P25" ca="1">SUM(IF((DelPoint= "4C")*(DType = "pre")*(OFFSET(DelPoint,0,P3+2)&gt;0),OFFSET(DelPoint,0,P3+2),0))</f>
        <v>30</v>
      </c>
      <c r="Q25" s="671">
        <f t="array" aca="1" ref="Q25" ca="1">SUM(IF((DelPoint= "4C")*(DType = "pre")*(OFFSET(DelPoint,0,Q3+2)&gt;0),OFFSET(DelPoint,0,Q3+2),0))</f>
        <v>30</v>
      </c>
      <c r="R25" s="671">
        <f t="array" aca="1" ref="R25" ca="1">SUM(IF((DelPoint= "4C")*(DType = "pre")*(OFFSET(DelPoint,0,R3+2)&gt;0),OFFSET(DelPoint,0,R3+2),0))</f>
        <v>30</v>
      </c>
      <c r="S25" s="671">
        <f t="array" aca="1" ref="S25" ca="1">SUM(IF((DelPoint= "4C")*(DType = "pre")*(OFFSET(DelPoint,0,S3+2)&gt;0),OFFSET(DelPoint,0,S3+2),0))</f>
        <v>30</v>
      </c>
      <c r="T25" s="671">
        <f t="array" aca="1" ref="T25" ca="1">SUM(IF((DelPoint= "4C")*(DType = "pre")*(OFFSET(DelPoint,0,T3+2)&gt;0),OFFSET(DelPoint,0,T3+2),0))</f>
        <v>30</v>
      </c>
      <c r="U25" s="671">
        <f t="array" aca="1" ref="U25" ca="1">SUM(IF((DelPoint= "4C")*(DType = "pre")*(OFFSET(DelPoint,0,U3+2)&gt;0),OFFSET(DelPoint,0,U3+2),0))</f>
        <v>30</v>
      </c>
      <c r="V25" s="671">
        <f t="array" aca="1" ref="V25" ca="1">SUM(IF((DelPoint= "4C")*(DType = "pre")*(OFFSET(DelPoint,0,V3+2)&gt;0),OFFSET(DelPoint,0,V3+2),0))</f>
        <v>30</v>
      </c>
      <c r="W25" s="671">
        <f t="array" aca="1" ref="W25" ca="1">SUM(IF((DelPoint= "4C")*(DType = "pre")*(OFFSET(DelPoint,0,W3+2)&gt;0),OFFSET(DelPoint,0,W3+2),0))</f>
        <v>30</v>
      </c>
      <c r="X25" s="671">
        <f t="array" aca="1" ref="X25" ca="1">SUM(IF((DelPoint= "4C")*(DType = "pre")*(OFFSET(DelPoint,0,X3+2)&gt;0),OFFSET(DelPoint,0,X3+2),0))</f>
        <v>30</v>
      </c>
      <c r="Y25" s="682">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76">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76">
        <v>0</v>
      </c>
      <c r="Z27" s="160"/>
      <c r="AA27" s="162"/>
    </row>
    <row r="28" spans="1:27" s="161" customFormat="1" ht="11.4" x14ac:dyDescent="0.2">
      <c r="A28" s="498" t="s">
        <v>116</v>
      </c>
      <c r="B28" s="205">
        <f t="array" aca="1" ref="B28" ca="1">SUM(IF((DelPoint= "4C")*IF((DType = "firm")+(DType = "econ")&gt;0,1,0)*(OFFSET(DelPoint,0,B3+2)&gt;0),OFFSET(DelPoint,0,B3+2),0))</f>
        <v>50</v>
      </c>
      <c r="C28" s="205">
        <f t="array" aca="1" ref="C28" ca="1">SUM(IF((DelPoint= "4C")*IF((DType = "firm")+(DType = "econ")&gt;0,1,0)*(OFFSET(DelPoint,0,C3+2)&gt;0),OFFSET(DelPoint,0,C3+2),0))</f>
        <v>75</v>
      </c>
      <c r="D28" s="205">
        <f t="array" aca="1" ref="D28" ca="1">SUM(IF((DelPoint= "4C")*IF((DType = "firm")+(DType = "econ")&gt;0,1,0)*(OFFSET(DelPoint,0,D3+2)&gt;0),OFFSET(DelPoint,0,D3+2),0))</f>
        <v>75</v>
      </c>
      <c r="E28" s="205">
        <f t="array" aca="1" ref="E28" ca="1">SUM(IF((DelPoint= "4C")*IF((DType = "firm")+(DType = "econ")&gt;0,1,0)*(OFFSET(DelPoint,0,E3+2)&gt;0),OFFSET(DelPoint,0,E3+2),0))</f>
        <v>75</v>
      </c>
      <c r="F28" s="205">
        <f t="array" aca="1" ref="F28" ca="1">SUM(IF((DelPoint= "4C")*IF((DType = "firm")+(DType = "econ")&gt;0,1,0)*(OFFSET(DelPoint,0,F3+2)&gt;0),OFFSET(DelPoint,0,F3+2),0))</f>
        <v>75</v>
      </c>
      <c r="G28" s="205">
        <f t="array" aca="1" ref="G28" ca="1">SUM(IF((DelPoint= "4C")*IF((DType = "firm")+(DType = "econ")&gt;0,1,0)*(OFFSET(DelPoint,0,G3+2)&gt;0),OFFSET(DelPoint,0,G3+2),0))</f>
        <v>40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1.4" x14ac:dyDescent="0.2">
      <c r="A29" s="499" t="s">
        <v>117</v>
      </c>
      <c r="B29" s="648">
        <f t="array" aca="1" ref="B29" ca="1">SUM(IF((DelPoint= "pv")*(DType = "pre")*(OFFSET(DelPoint,0,B3+2)&gt;0),OFFSET(DelPoint,0,B3+2),0))</f>
        <v>0</v>
      </c>
      <c r="C29" s="648">
        <f t="array" aca="1" ref="C29" ca="1">SUM(IF((DelPoint= "pv")*(DType = "pre")*(OFFSET(DelPoint,0,C3+2)&gt;0),OFFSET(DelPoint,0,C3+2),0))</f>
        <v>0</v>
      </c>
      <c r="D29" s="648">
        <f t="array" aca="1" ref="D29" ca="1">SUM(IF((DelPoint= "pv")*(DType = "pre")*(OFFSET(DelPoint,0,D3+2)&gt;0),OFFSET(DelPoint,0,D3+2),0))</f>
        <v>0</v>
      </c>
      <c r="E29" s="648">
        <f t="array" aca="1" ref="E29" ca="1">SUM(IF((DelPoint= "pv")*(DType = "pre")*(OFFSET(DelPoint,0,E3+2)&gt;0),OFFSET(DelPoint,0,E3+2),0))</f>
        <v>0</v>
      </c>
      <c r="F29" s="648">
        <f t="array" aca="1" ref="F29" ca="1">SUM(IF((DelPoint= "pv")*(DType = "pre")*(OFFSET(DelPoint,0,F3+2)&gt;0),OFFSET(DelPoint,0,F3+2),0))</f>
        <v>0</v>
      </c>
      <c r="G29" s="648">
        <f t="array" aca="1" ref="G29" ca="1">SUM(IF((DelPoint= "pv")*(DType = "pre")*(OFFSET(DelPoint,0,G3+2)&gt;0),OFFSET(DelPoint,0,G3+2),0))</f>
        <v>0</v>
      </c>
      <c r="H29" s="648">
        <f t="array" aca="1" ref="H29" ca="1">SUM(IF((DelPoint= "pv")*(DType = "pre")*(OFFSET(DelPoint,0,H3+2)&gt;0),OFFSET(DelPoint,0,H3+2),0))</f>
        <v>0</v>
      </c>
      <c r="I29" s="648">
        <f t="array" aca="1" ref="I29" ca="1">SUM(IF((DelPoint= "pv")*(DType = "pre")*(OFFSET(DelPoint,0,I3+2)&gt;0),OFFSET(DelPoint,0,I3+2),0))</f>
        <v>50</v>
      </c>
      <c r="J29" s="648">
        <f t="array" aca="1" ref="J29" ca="1">SUM(IF((DelPoint= "pv")*(DType = "pre")*(OFFSET(DelPoint,0,J3+2)&gt;0),OFFSET(DelPoint,0,J3+2),0))</f>
        <v>50</v>
      </c>
      <c r="K29" s="648">
        <f t="array" aca="1" ref="K29" ca="1">SUM(IF((DelPoint= "pv")*(DType = "pre")*(OFFSET(DelPoint,0,K3+2)&gt;0),OFFSET(DelPoint,0,K3+2),0))</f>
        <v>50</v>
      </c>
      <c r="L29" s="648">
        <f t="array" aca="1" ref="L29" ca="1">SUM(IF((DelPoint= "pv")*(DType = "pre")*(OFFSET(DelPoint,0,L3+2)&gt;0),OFFSET(DelPoint,0,L3+2),0))</f>
        <v>50</v>
      </c>
      <c r="M29" s="648">
        <f t="array" aca="1" ref="M29" ca="1">SUM(IF((DelPoint= "pv")*(DType = "pre")*(OFFSET(DelPoint,0,M3+2)&gt;0),OFFSET(DelPoint,0,M3+2),0))</f>
        <v>50</v>
      </c>
      <c r="N29" s="648">
        <f t="array" aca="1" ref="N29" ca="1">SUM(IF((DelPoint= "pv")*(DType = "pre")*(OFFSET(DelPoint,0,N3+2)&gt;0),OFFSET(DelPoint,0,N3+2),0))</f>
        <v>50</v>
      </c>
      <c r="O29" s="648">
        <f t="array" aca="1" ref="O29" ca="1">SUM(IF((DelPoint= "pv")*(DType = "pre")*(OFFSET(DelPoint,0,O3+2)&gt;0),OFFSET(DelPoint,0,O3+2),0))</f>
        <v>50</v>
      </c>
      <c r="P29" s="648">
        <f t="array" aca="1" ref="P29" ca="1">SUM(IF((DelPoint= "pv")*(DType = "pre")*(OFFSET(DelPoint,0,P3+2)&gt;0),OFFSET(DelPoint,0,P3+2),0))</f>
        <v>50</v>
      </c>
      <c r="Q29" s="648">
        <f t="array" aca="1" ref="Q29" ca="1">SUM(IF((DelPoint= "pv")*(DType = "pre")*(OFFSET(DelPoint,0,Q3+2)&gt;0),OFFSET(DelPoint,0,Q3+2),0))</f>
        <v>50</v>
      </c>
      <c r="R29" s="648">
        <f t="array" aca="1" ref="R29" ca="1">SUM(IF((DelPoint= "pv")*(DType = "pre")*(OFFSET(DelPoint,0,R3+2)&gt;0),OFFSET(DelPoint,0,R3+2),0))</f>
        <v>50</v>
      </c>
      <c r="S29" s="648">
        <f t="array" aca="1" ref="S29" ca="1">SUM(IF((DelPoint= "pv")*(DType = "pre")*(OFFSET(DelPoint,0,S3+2)&gt;0),OFFSET(DelPoint,0,S3+2),0))</f>
        <v>50</v>
      </c>
      <c r="T29" s="648">
        <f t="array" aca="1" ref="T29" ca="1">SUM(IF((DelPoint= "pv")*(DType = "pre")*(OFFSET(DelPoint,0,T3+2)&gt;0),OFFSET(DelPoint,0,T3+2),0))</f>
        <v>50</v>
      </c>
      <c r="U29" s="648">
        <f t="array" aca="1" ref="U29" ca="1">SUM(IF((DelPoint= "pv")*(DType = "pre")*(OFFSET(DelPoint,0,U3+2)&gt;0),OFFSET(DelPoint,0,U3+2),0))</f>
        <v>50</v>
      </c>
      <c r="V29" s="648">
        <f t="array" aca="1" ref="V29" ca="1">SUM(IF((DelPoint= "pv")*(DType = "pre")*(OFFSET(DelPoint,0,V3+2)&gt;0),OFFSET(DelPoint,0,V3+2),0))</f>
        <v>50</v>
      </c>
      <c r="W29" s="648">
        <f t="array" aca="1" ref="W29" ca="1">SUM(IF((DelPoint= "pv")*(DType = "pre")*(OFFSET(DelPoint,0,W3+2)&gt;0),OFFSET(DelPoint,0,W3+2),0))</f>
        <v>50</v>
      </c>
      <c r="X29" s="648">
        <f t="array" aca="1" ref="X29" ca="1">SUM(IF((DelPoint= "pv")*(DType = "pre")*(OFFSET(DelPoint,0,X3+2)&gt;0),OFFSET(DelPoint,0,X3+2),0))</f>
        <v>50</v>
      </c>
      <c r="Y29" s="683">
        <f t="array" aca="1" ref="Y29" ca="1">SUM(IF((DelPoint= "pv")*(DType = "pre")*(OFFSET(DelPoint,0,Y3+2)&gt;0),OFFSET(DelPoint,0,Y3+2),0))</f>
        <v>0</v>
      </c>
      <c r="Z29" s="160"/>
      <c r="AA29" s="162"/>
    </row>
    <row r="30" spans="1:27" s="161" customFormat="1" ht="11.4" x14ac:dyDescent="0.2">
      <c r="A30" s="499" t="s">
        <v>118</v>
      </c>
      <c r="B30" s="672">
        <f t="shared" ref="B30:Y30" ca="1" si="1">SUMIF(OFFSET(PVBalancingVol,B$3,0),"&gt;0")</f>
        <v>0</v>
      </c>
      <c r="C30" s="672">
        <f t="shared" ca="1" si="1"/>
        <v>0</v>
      </c>
      <c r="D30" s="672">
        <f t="shared" ca="1" si="1"/>
        <v>0</v>
      </c>
      <c r="E30" s="672">
        <f t="shared" ca="1" si="1"/>
        <v>0</v>
      </c>
      <c r="F30" s="672">
        <f t="shared" ca="1" si="1"/>
        <v>0</v>
      </c>
      <c r="G30" s="672">
        <f t="shared" ca="1" si="1"/>
        <v>0</v>
      </c>
      <c r="H30" s="672">
        <f t="shared" ca="1" si="1"/>
        <v>0</v>
      </c>
      <c r="I30" s="672">
        <f t="shared" ca="1" si="1"/>
        <v>0</v>
      </c>
      <c r="J30" s="672">
        <f t="shared" ca="1" si="1"/>
        <v>0</v>
      </c>
      <c r="K30" s="672">
        <f t="shared" ca="1" si="1"/>
        <v>0</v>
      </c>
      <c r="L30" s="672">
        <f t="shared" ca="1" si="1"/>
        <v>0</v>
      </c>
      <c r="M30" s="672">
        <f t="shared" ca="1" si="1"/>
        <v>0</v>
      </c>
      <c r="N30" s="672">
        <f t="shared" ca="1" si="1"/>
        <v>0</v>
      </c>
      <c r="O30" s="672">
        <f t="shared" ca="1" si="1"/>
        <v>0</v>
      </c>
      <c r="P30" s="672">
        <f t="shared" ca="1" si="1"/>
        <v>0</v>
      </c>
      <c r="Q30" s="672">
        <f t="shared" ca="1" si="1"/>
        <v>0</v>
      </c>
      <c r="R30" s="672">
        <f t="shared" ca="1" si="1"/>
        <v>0</v>
      </c>
      <c r="S30" s="672">
        <f t="shared" ca="1" si="1"/>
        <v>0</v>
      </c>
      <c r="T30" s="672">
        <f t="shared" ca="1" si="1"/>
        <v>0</v>
      </c>
      <c r="U30" s="672">
        <f t="shared" ca="1" si="1"/>
        <v>0</v>
      </c>
      <c r="V30" s="672">
        <f t="shared" ca="1" si="1"/>
        <v>0</v>
      </c>
      <c r="W30" s="672">
        <f t="shared" ca="1" si="1"/>
        <v>0</v>
      </c>
      <c r="X30" s="672">
        <f t="shared" ca="1" si="1"/>
        <v>0</v>
      </c>
      <c r="Y30" s="684">
        <f t="shared" ca="1" si="1"/>
        <v>0</v>
      </c>
      <c r="Z30" s="160"/>
      <c r="AA30" s="162"/>
    </row>
    <row r="31" spans="1:27" s="161" customFormat="1" ht="11.4"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679">
        <v>0</v>
      </c>
      <c r="Z31" s="160"/>
      <c r="AA31" s="162"/>
    </row>
    <row r="32" spans="1:27" s="161" customFormat="1" ht="11.4" x14ac:dyDescent="0.2">
      <c r="A32" s="500" t="s">
        <v>119</v>
      </c>
      <c r="B32" s="592">
        <f t="array" aca="1" ref="B32" ca="1">SUM(IF((DelPoint= "PV")*IF((DType = "firm")+(DType = "econ")&gt;0,1,0)*(OFFSET(DelPoint,0,B3+2)&gt;0),OFFSET(DelPoint,0,B3+2),0))</f>
        <v>0</v>
      </c>
      <c r="C32" s="592">
        <f t="array" aca="1" ref="C32" ca="1">SUM(IF((DelPoint= "PV")*IF((DType = "firm")+(DType = "econ")&gt;0,1,0)*(OFFSET(DelPoint,0,C3+2)&gt;0),OFFSET(DelPoint,0,C3+2),0))</f>
        <v>0</v>
      </c>
      <c r="D32" s="592">
        <f t="array" aca="1" ref="D32" ca="1">SUM(IF((DelPoint= "PV")*IF((DType = "firm")+(DType = "econ")&gt;0,1,0)*(OFFSET(DelPoint,0,D3+2)&gt;0),OFFSET(DelPoint,0,D3+2),0))</f>
        <v>0</v>
      </c>
      <c r="E32" s="592">
        <f t="array" aca="1" ref="E32" ca="1">SUM(IF((DelPoint= "PV")*IF((DType = "firm")+(DType = "econ")&gt;0,1,0)*(OFFSET(DelPoint,0,E3+2)&gt;0),OFFSET(DelPoint,0,E3+2),0))</f>
        <v>0</v>
      </c>
      <c r="F32" s="592">
        <f t="array" aca="1" ref="F32" ca="1">SUM(IF((DelPoint= "PV")*IF((DType = "firm")+(DType = "econ")&gt;0,1,0)*(OFFSET(DelPoint,0,F3+2)&gt;0),OFFSET(DelPoint,0,F3+2),0))</f>
        <v>0</v>
      </c>
      <c r="G32" s="592">
        <f t="array" aca="1" ref="G32" ca="1">SUM(IF((DelPoint= "PV")*IF((DType = "firm")+(DType = "econ")&gt;0,1,0)*(OFFSET(DelPoint,0,G3+2)&gt;0),OFFSET(DelPoint,0,G3+2),0))</f>
        <v>0</v>
      </c>
      <c r="H32" s="592">
        <f t="array" aca="1" ref="H32" ca="1">SUM(IF((DelPoint= "PV")*IF((DType = "firm")+(DType = "econ")&gt;0,1,0)*(OFFSET(DelPoint,0,H3+2)&gt;0),OFFSET(DelPoint,0,H3+2),0))</f>
        <v>0</v>
      </c>
      <c r="I32" s="592">
        <f t="array" aca="1" ref="I32" ca="1">SUM(IF((DelPoint= "PV")*IF((DType = "firm")+(DType = "econ")&gt;0,1,0)*(OFFSET(DelPoint,0,I3+2)&gt;0),OFFSET(DelPoint,0,I3+2),0))</f>
        <v>0</v>
      </c>
      <c r="J32" s="592">
        <f t="array" aca="1" ref="J32" ca="1">SUM(IF((DelPoint= "PV")*IF((DType = "firm")+(DType = "econ")&gt;0,1,0)*(OFFSET(DelPoint,0,J3+2)&gt;0),OFFSET(DelPoint,0,J3+2),0))</f>
        <v>0</v>
      </c>
      <c r="K32" s="592">
        <f t="array" aca="1" ref="K32" ca="1">SUM(IF((DelPoint= "PV")*IF((DType = "firm")+(DType = "econ")&gt;0,1,0)*(OFFSET(DelPoint,0,K3+2)&gt;0),OFFSET(DelPoint,0,K3+2),0))</f>
        <v>0</v>
      </c>
      <c r="L32" s="592">
        <f t="array" aca="1" ref="L32" ca="1">SUM(IF((DelPoint= "PV")*IF((DType = "firm")+(DType = "econ")&gt;0,1,0)*(OFFSET(DelPoint,0,L3+2)&gt;0),OFFSET(DelPoint,0,L3+2),0))</f>
        <v>0</v>
      </c>
      <c r="M32" s="592">
        <f t="array" aca="1" ref="M32" ca="1">SUM(IF((DelPoint= "PV")*IF((DType = "firm")+(DType = "econ")&gt;0,1,0)*(OFFSET(DelPoint,0,M3+2)&gt;0),OFFSET(DelPoint,0,M3+2),0))</f>
        <v>0</v>
      </c>
      <c r="N32" s="592">
        <f t="array" aca="1" ref="N32" ca="1">SUM(IF((DelPoint= "PV")*IF((DType = "firm")+(DType = "econ")&gt;0,1,0)*(OFFSET(DelPoint,0,N3+2)&gt;0),OFFSET(DelPoint,0,N3+2),0))</f>
        <v>0</v>
      </c>
      <c r="O32" s="592">
        <f t="array" aca="1" ref="O32" ca="1">SUM(IF((DelPoint= "PV")*IF((DType = "firm")+(DType = "econ")&gt;0,1,0)*(OFFSET(DelPoint,0,O3+2)&gt;0),OFFSET(DelPoint,0,O3+2),0))</f>
        <v>0</v>
      </c>
      <c r="P32" s="592">
        <f t="array" aca="1" ref="P32" ca="1">SUM(IF((DelPoint= "PV")*IF((DType = "firm")+(DType = "econ")&gt;0,1,0)*(OFFSET(DelPoint,0,P3+2)&gt;0),OFFSET(DelPoint,0,P3+2),0))</f>
        <v>0</v>
      </c>
      <c r="Q32" s="592">
        <f t="array" aca="1" ref="Q32" ca="1">SUM(IF((DelPoint= "PV")*IF((DType = "firm")+(DType = "econ")&gt;0,1,0)*(OFFSET(DelPoint,0,Q3+2)&gt;0),OFFSET(DelPoint,0,Q3+2),0))</f>
        <v>0</v>
      </c>
      <c r="R32" s="592">
        <f t="array" aca="1" ref="R32" ca="1">SUM(IF((DelPoint= "PV")*IF((DType = "firm")+(DType = "econ")&gt;0,1,0)*(OFFSET(DelPoint,0,R3+2)&gt;0),OFFSET(DelPoint,0,R3+2),0))</f>
        <v>0</v>
      </c>
      <c r="S32" s="592">
        <f t="array" aca="1" ref="S32" ca="1">SUM(IF((DelPoint= "PV")*IF((DType = "firm")+(DType = "econ")&gt;0,1,0)*(OFFSET(DelPoint,0,S3+2)&gt;0),OFFSET(DelPoint,0,S3+2),0))</f>
        <v>0</v>
      </c>
      <c r="T32" s="592">
        <f t="array" aca="1" ref="T32" ca="1">SUM(IF((DelPoint= "PV")*IF((DType = "firm")+(DType = "econ")&gt;0,1,0)*(OFFSET(DelPoint,0,T3+2)&gt;0),OFFSET(DelPoint,0,T3+2),0))</f>
        <v>0</v>
      </c>
      <c r="U32" s="592">
        <f t="array" aca="1" ref="U32" ca="1">SUM(IF((DelPoint= "PV")*IF((DType = "firm")+(DType = "econ")&gt;0,1,0)*(OFFSET(DelPoint,0,U3+2)&gt;0),OFFSET(DelPoint,0,U3+2),0))</f>
        <v>0</v>
      </c>
      <c r="V32" s="592">
        <f t="array" aca="1" ref="V32" ca="1">SUM(IF((DelPoint= "PV")*IF((DType = "firm")+(DType = "econ")&gt;0,1,0)*(OFFSET(DelPoint,0,V3+2)&gt;0),OFFSET(DelPoint,0,V3+2),0))</f>
        <v>0</v>
      </c>
      <c r="W32" s="592">
        <f t="array" aca="1" ref="W32" ca="1">SUM(IF((DelPoint= "PV")*IF((DType = "firm")+(DType = "econ")&gt;0,1,0)*(OFFSET(DelPoint,0,W3+2)&gt;0),OFFSET(DelPoint,0,W3+2),0))</f>
        <v>0</v>
      </c>
      <c r="X32" s="592">
        <f t="array" aca="1" ref="X32" ca="1">SUM(IF((DelPoint= "PV")*IF((DType = "firm")+(DType = "econ")&gt;0,1,0)*(OFFSET(DelPoint,0,X3+2)&gt;0),OFFSET(DelPoint,0,X3+2),0))</f>
        <v>0</v>
      </c>
      <c r="Y32" s="685">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64">
        <f t="array" aca="1" ref="I33" ca="1">SUM(IF((DelPoint= "4C")*(DType = "pre")*(OFFSET(DelPoint,0,I9+2)&gt;0),OFFSET(DelPoint,0,I9+2),0))</f>
        <v>0</v>
      </c>
      <c r="J33" s="665">
        <f t="array" aca="1" ref="J33" ca="1">SUM(IF((DelPoint= "hidalgo")*(DType = "pre")*(OFFSET(DelPoint,0,J3+2)&gt;0),OFFSET(DelPoint,0,J3+2),0))</f>
        <v>0</v>
      </c>
      <c r="K33" s="665">
        <f t="array" aca="1" ref="K33" ca="1">SUM(IF((DelPoint= "hidalgo")*(DType = "pre")*(OFFSET(DelPoint,0,K3+2)&gt;0),OFFSET(DelPoint,0,K3+2),0))</f>
        <v>0</v>
      </c>
      <c r="L33" s="665">
        <f t="array" aca="1" ref="L33" ca="1">SUM(IF((DelPoint= "hidalgo")*(DType = "pre")*(OFFSET(DelPoint,0,L3+2)&gt;0),OFFSET(DelPoint,0,L3+2),0))</f>
        <v>0</v>
      </c>
      <c r="M33" s="665">
        <f t="array" aca="1" ref="M33" ca="1">SUM(IF((DelPoint= "hidalgo")*(DType = "pre")*(OFFSET(DelPoint,0,M3+2)&gt;0),OFFSET(DelPoint,0,M3+2),0))</f>
        <v>0</v>
      </c>
      <c r="N33" s="665">
        <f t="array" aca="1" ref="N33" ca="1">SUM(IF((DelPoint= "hidalgo")*(DType = "pre")*(OFFSET(DelPoint,0,N3+2)&gt;0),OFFSET(DelPoint,0,N3+2),0))</f>
        <v>0</v>
      </c>
      <c r="O33" s="665">
        <f t="array" aca="1" ref="O33" ca="1">SUM(IF((DelPoint= "hidalgo")*(DType = "pre")*(OFFSET(DelPoint,0,O3+2)&gt;0),OFFSET(DelPoint,0,O3+2),0))</f>
        <v>0</v>
      </c>
      <c r="P33" s="665">
        <f t="array" aca="1" ref="P33" ca="1">SUM(IF((DelPoint= "hidalgo")*(DType = "pre")*(OFFSET(DelPoint,0,P3+2)&gt;0),OFFSET(DelPoint,0,P3+2),0))</f>
        <v>0</v>
      </c>
      <c r="Q33" s="665">
        <f t="array" aca="1" ref="Q33" ca="1">SUM(IF((DelPoint= "hidalgo")*(DType = "pre")*(OFFSET(DelPoint,0,Q3+2)&gt;0),OFFSET(DelPoint,0,Q3+2),0))</f>
        <v>0</v>
      </c>
      <c r="R33" s="665">
        <f t="array" aca="1" ref="R33" ca="1">SUM(IF((DelPoint= "hidalgo")*(DType = "pre")*(OFFSET(DelPoint,0,R3+2)&gt;0),OFFSET(DelPoint,0,R3+2),0))</f>
        <v>0</v>
      </c>
      <c r="S33" s="665">
        <f t="array" aca="1" ref="S33" ca="1">SUM(IF((DelPoint= "hidalgo")*(DType = "pre")*(OFFSET(DelPoint,0,S3+2)&gt;0),OFFSET(DelPoint,0,S3+2),0))</f>
        <v>0</v>
      </c>
      <c r="T33" s="665">
        <f t="array" aca="1" ref="T33" ca="1">SUM(IF((DelPoint= "hidalgo")*(DType = "pre")*(OFFSET(DelPoint,0,T3+2)&gt;0),OFFSET(DelPoint,0,T3+2),0))</f>
        <v>0</v>
      </c>
      <c r="U33" s="665">
        <f t="array" aca="1" ref="U33" ca="1">SUM(IF((DelPoint= "hidalgo")*(DType = "pre")*(OFFSET(DelPoint,0,U3+2)&gt;0),OFFSET(DelPoint,0,U3+2),0))</f>
        <v>0</v>
      </c>
      <c r="V33" s="665">
        <f t="array" aca="1" ref="V33" ca="1">SUM(IF((DelPoint= "hidalgo")*(DType = "pre")*(OFFSET(DelPoint,0,V3+2)&gt;0),OFFSET(DelPoint,0,V3+2),0))</f>
        <v>0</v>
      </c>
      <c r="W33" s="665">
        <f t="array" aca="1" ref="W33" ca="1">SUM(IF((DelPoint= "hidalgo")*(DType = "pre")*(OFFSET(DelPoint,0,W3+2)&gt;0),OFFSET(DelPoint,0,W3+2),0))</f>
        <v>0</v>
      </c>
      <c r="X33" s="665">
        <f t="array" aca="1" ref="X33" ca="1">SUM(IF((DelPoint= "hidalgo")*(DType = "pre")*(OFFSET(DelPoint,0,X3+2)&gt;0),OFFSET(DelPoint,0,X3+2),0))</f>
        <v>0</v>
      </c>
      <c r="Y33" s="666">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72">
        <f t="shared" ca="1" si="2"/>
        <v>0</v>
      </c>
      <c r="F36" s="572">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40" t="s">
        <v>253</v>
      </c>
      <c r="B37" s="63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86" t="s">
        <v>121</v>
      </c>
      <c r="B38" s="687">
        <f t="shared" ref="B38:Y38" ca="1" si="4">SUM(B22:B37)+B4+B5</f>
        <v>772</v>
      </c>
      <c r="C38" s="687">
        <f t="shared" ca="1" si="4"/>
        <v>753</v>
      </c>
      <c r="D38" s="687">
        <f t="shared" ca="1" si="4"/>
        <v>747</v>
      </c>
      <c r="E38" s="687">
        <f t="shared" ca="1" si="4"/>
        <v>752</v>
      </c>
      <c r="F38" s="687">
        <f t="shared" ca="1" si="4"/>
        <v>779</v>
      </c>
      <c r="G38" s="687">
        <f t="shared" ca="1" si="4"/>
        <v>797</v>
      </c>
      <c r="H38" s="687">
        <f t="shared" ca="1" si="4"/>
        <v>944</v>
      </c>
      <c r="I38" s="687">
        <f t="shared" ca="1" si="4"/>
        <v>1056</v>
      </c>
      <c r="J38" s="687">
        <f t="shared" ca="1" si="4"/>
        <v>1068</v>
      </c>
      <c r="K38" s="687">
        <f t="shared" ca="1" si="4"/>
        <v>1080</v>
      </c>
      <c r="L38" s="687">
        <f t="shared" ca="1" si="4"/>
        <v>1083</v>
      </c>
      <c r="M38" s="687">
        <f t="shared" ca="1" si="4"/>
        <v>1078</v>
      </c>
      <c r="N38" s="687">
        <f t="shared" ca="1" si="4"/>
        <v>1057</v>
      </c>
      <c r="O38" s="687">
        <f t="shared" ca="1" si="4"/>
        <v>1054</v>
      </c>
      <c r="P38" s="687">
        <f t="shared" ca="1" si="4"/>
        <v>1049</v>
      </c>
      <c r="Q38" s="687">
        <f t="shared" ca="1" si="4"/>
        <v>1028</v>
      </c>
      <c r="R38" s="687">
        <f t="shared" ca="1" si="4"/>
        <v>1016</v>
      </c>
      <c r="S38" s="687">
        <f t="shared" ca="1" si="4"/>
        <v>1044</v>
      </c>
      <c r="T38" s="687">
        <f t="shared" ca="1" si="4"/>
        <v>1165</v>
      </c>
      <c r="U38" s="687">
        <f t="shared" ca="1" si="4"/>
        <v>1159</v>
      </c>
      <c r="V38" s="687">
        <f t="shared" ca="1" si="4"/>
        <v>1131</v>
      </c>
      <c r="W38" s="687">
        <f t="shared" ca="1" si="4"/>
        <v>1079</v>
      </c>
      <c r="X38" s="687">
        <f t="shared" ca="1" si="4"/>
        <v>1003</v>
      </c>
      <c r="Y38" s="688">
        <f t="shared" ca="1" si="4"/>
        <v>854</v>
      </c>
      <c r="Z38" s="348"/>
      <c r="AA38" s="162"/>
    </row>
    <row r="39" spans="1:33" s="161" customFormat="1" ht="16.2" thickBot="1" x14ac:dyDescent="0.25">
      <c r="A39" s="713" t="s">
        <v>260</v>
      </c>
      <c r="B39" s="714"/>
      <c r="C39" s="715"/>
      <c r="D39" s="715"/>
      <c r="E39" s="716"/>
      <c r="F39" s="715"/>
      <c r="G39" s="715"/>
      <c r="H39" s="715"/>
      <c r="I39" s="715"/>
      <c r="J39" s="715"/>
      <c r="K39" s="715"/>
      <c r="L39" s="715"/>
      <c r="M39" s="715"/>
      <c r="N39" s="715"/>
      <c r="O39" s="715"/>
      <c r="P39" s="715"/>
      <c r="Q39" s="715"/>
      <c r="R39" s="715"/>
      <c r="S39" s="715"/>
      <c r="T39" s="715"/>
      <c r="U39" s="715"/>
      <c r="V39" s="715"/>
      <c r="W39" s="715"/>
      <c r="X39" s="715"/>
      <c r="Y39" s="717"/>
      <c r="Z39" s="160"/>
      <c r="AA39" s="162"/>
    </row>
    <row r="40" spans="1:33" s="161" customFormat="1" thickTop="1" thickBot="1" x14ac:dyDescent="0.25">
      <c r="A40" s="554"/>
      <c r="B40" s="555"/>
      <c r="C40" s="556"/>
      <c r="D40" s="556"/>
      <c r="E40" s="573"/>
      <c r="F40" s="556"/>
      <c r="G40" s="556"/>
      <c r="H40" s="556"/>
      <c r="I40" s="556"/>
      <c r="J40" s="556"/>
      <c r="K40" s="556"/>
      <c r="L40" s="556"/>
      <c r="M40" s="556"/>
      <c r="N40" s="556"/>
      <c r="O40" s="556"/>
      <c r="P40" s="556"/>
      <c r="Q40" s="556"/>
      <c r="R40" s="556"/>
      <c r="S40" s="556"/>
      <c r="T40" s="556"/>
      <c r="U40" s="556"/>
      <c r="V40" s="556"/>
      <c r="W40" s="556"/>
      <c r="X40" s="556"/>
      <c r="Y40" s="557"/>
      <c r="Z40" s="349" t="s">
        <v>122</v>
      </c>
      <c r="AA40" s="165" t="s">
        <v>123</v>
      </c>
      <c r="AF40" s="166"/>
      <c r="AG40" s="166"/>
    </row>
    <row r="41" spans="1:33" s="161" customFormat="1" ht="12.75" customHeight="1" x14ac:dyDescent="0.2">
      <c r="A41" s="641" t="s">
        <v>129</v>
      </c>
      <c r="B41" s="642">
        <v>0</v>
      </c>
      <c r="C41" s="642">
        <v>0</v>
      </c>
      <c r="D41" s="642">
        <v>0</v>
      </c>
      <c r="E41" s="643">
        <v>0</v>
      </c>
      <c r="F41" s="642">
        <v>0</v>
      </c>
      <c r="G41" s="642">
        <v>0</v>
      </c>
      <c r="H41" s="642">
        <v>0</v>
      </c>
      <c r="I41" s="642">
        <v>0</v>
      </c>
      <c r="J41" s="642">
        <v>0</v>
      </c>
      <c r="K41" s="642">
        <v>0</v>
      </c>
      <c r="L41" s="642">
        <v>0</v>
      </c>
      <c r="M41" s="642">
        <v>0</v>
      </c>
      <c r="N41" s="642">
        <v>0</v>
      </c>
      <c r="O41" s="642">
        <v>0</v>
      </c>
      <c r="P41" s="642">
        <v>0</v>
      </c>
      <c r="Q41" s="642">
        <v>0</v>
      </c>
      <c r="R41" s="642">
        <v>0</v>
      </c>
      <c r="S41" s="642">
        <v>0</v>
      </c>
      <c r="T41" s="642">
        <v>0</v>
      </c>
      <c r="U41" s="642">
        <v>0</v>
      </c>
      <c r="V41" s="642">
        <v>0</v>
      </c>
      <c r="W41" s="642">
        <v>0</v>
      </c>
      <c r="X41" s="642">
        <v>0</v>
      </c>
      <c r="Y41" s="644">
        <v>0</v>
      </c>
      <c r="Z41" s="350">
        <v>80</v>
      </c>
      <c r="AA41" s="210">
        <f ca="1">-Economics!D34/Economics!I34</f>
        <v>0</v>
      </c>
    </row>
    <row r="42" spans="1:33" s="161" customFormat="1" ht="15" customHeight="1" x14ac:dyDescent="0.2">
      <c r="A42" s="600" t="s">
        <v>130</v>
      </c>
      <c r="B42" s="602">
        <v>31</v>
      </c>
      <c r="C42" s="602">
        <v>31</v>
      </c>
      <c r="D42" s="602">
        <v>31</v>
      </c>
      <c r="E42" s="603">
        <v>31</v>
      </c>
      <c r="F42" s="602">
        <v>30</v>
      </c>
      <c r="G42" s="602">
        <v>36</v>
      </c>
      <c r="H42" s="602">
        <v>73</v>
      </c>
      <c r="I42" s="602">
        <v>52</v>
      </c>
      <c r="J42" s="602">
        <v>36</v>
      </c>
      <c r="K42" s="602">
        <v>34</v>
      </c>
      <c r="L42" s="602">
        <v>34</v>
      </c>
      <c r="M42" s="602">
        <v>35</v>
      </c>
      <c r="N42" s="602">
        <v>34</v>
      </c>
      <c r="O42" s="602">
        <v>34</v>
      </c>
      <c r="P42" s="602">
        <v>34</v>
      </c>
      <c r="Q42" s="602">
        <v>34</v>
      </c>
      <c r="R42" s="602">
        <v>39</v>
      </c>
      <c r="S42" s="602">
        <v>36</v>
      </c>
      <c r="T42" s="602">
        <v>50</v>
      </c>
      <c r="U42" s="602">
        <v>35</v>
      </c>
      <c r="V42" s="602">
        <v>37</v>
      </c>
      <c r="W42" s="602">
        <v>36</v>
      </c>
      <c r="X42" s="602">
        <v>35</v>
      </c>
      <c r="Y42" s="604">
        <v>34</v>
      </c>
      <c r="Z42" s="350">
        <v>78</v>
      </c>
      <c r="AA42" s="210">
        <f ca="1">-Economics!D35/Economics!I35</f>
        <v>9636.1248405612241</v>
      </c>
    </row>
    <row r="43" spans="1:33" s="161" customFormat="1" ht="12.75" customHeight="1" x14ac:dyDescent="0.2">
      <c r="A43" s="601" t="s">
        <v>131</v>
      </c>
      <c r="B43" s="605">
        <v>44</v>
      </c>
      <c r="C43" s="605">
        <v>54</v>
      </c>
      <c r="D43" s="605">
        <v>68</v>
      </c>
      <c r="E43" s="606">
        <v>70</v>
      </c>
      <c r="F43" s="605">
        <v>100</v>
      </c>
      <c r="G43" s="605">
        <v>68</v>
      </c>
      <c r="H43" s="605">
        <v>99</v>
      </c>
      <c r="I43" s="605">
        <v>51</v>
      </c>
      <c r="J43" s="605">
        <v>37</v>
      </c>
      <c r="K43" s="605">
        <v>38</v>
      </c>
      <c r="L43" s="605">
        <v>38</v>
      </c>
      <c r="M43" s="605">
        <v>37</v>
      </c>
      <c r="N43" s="605">
        <v>37</v>
      </c>
      <c r="O43" s="605">
        <v>37</v>
      </c>
      <c r="P43" s="605">
        <v>38</v>
      </c>
      <c r="Q43" s="605">
        <v>37</v>
      </c>
      <c r="R43" s="605">
        <v>37</v>
      </c>
      <c r="S43" s="605">
        <v>37</v>
      </c>
      <c r="T43" s="605">
        <v>37</v>
      </c>
      <c r="U43" s="605">
        <v>38</v>
      </c>
      <c r="V43" s="605">
        <v>35</v>
      </c>
      <c r="W43" s="605">
        <v>38</v>
      </c>
      <c r="X43" s="605">
        <v>38</v>
      </c>
      <c r="Y43" s="607">
        <v>38</v>
      </c>
      <c r="Z43" s="352">
        <v>103</v>
      </c>
      <c r="AA43" s="211">
        <f ca="1">-Economics!D36/Economics!I36</f>
        <v>12198.79225127551</v>
      </c>
    </row>
    <row r="44" spans="1:33" s="161" customFormat="1" ht="12.75" customHeight="1" x14ac:dyDescent="0.2">
      <c r="A44" s="600" t="s">
        <v>49</v>
      </c>
      <c r="B44" s="602">
        <v>21</v>
      </c>
      <c r="C44" s="602">
        <v>21</v>
      </c>
      <c r="D44" s="602">
        <v>21</v>
      </c>
      <c r="E44" s="602">
        <v>20</v>
      </c>
      <c r="F44" s="602">
        <v>21</v>
      </c>
      <c r="G44" s="602">
        <v>21</v>
      </c>
      <c r="H44" s="602">
        <v>35</v>
      </c>
      <c r="I44" s="602">
        <v>0</v>
      </c>
      <c r="J44" s="602">
        <v>0</v>
      </c>
      <c r="K44" s="602">
        <v>0</v>
      </c>
      <c r="L44" s="602">
        <v>0</v>
      </c>
      <c r="M44" s="602">
        <v>0</v>
      </c>
      <c r="N44" s="602">
        <v>0</v>
      </c>
      <c r="O44" s="602">
        <v>0</v>
      </c>
      <c r="P44" s="602">
        <v>0</v>
      </c>
      <c r="Q44" s="602">
        <v>0</v>
      </c>
      <c r="R44" s="602">
        <v>0</v>
      </c>
      <c r="S44" s="602">
        <v>0</v>
      </c>
      <c r="T44" s="602">
        <v>0</v>
      </c>
      <c r="U44" s="602">
        <v>0</v>
      </c>
      <c r="V44" s="602"/>
      <c r="W44" s="602">
        <v>0</v>
      </c>
      <c r="X44" s="602">
        <v>0</v>
      </c>
      <c r="Y44" s="604">
        <v>0</v>
      </c>
      <c r="Z44" s="350">
        <v>40</v>
      </c>
      <c r="AA44" s="210">
        <f ca="1">-Economics!D37/Economics!I37</f>
        <v>2633.742227359694</v>
      </c>
    </row>
    <row r="45" spans="1:33" s="161" customFormat="1" ht="12.75" customHeight="1" x14ac:dyDescent="0.2">
      <c r="A45" s="600" t="s">
        <v>50</v>
      </c>
      <c r="B45" s="602">
        <v>25</v>
      </c>
      <c r="C45" s="602">
        <v>25</v>
      </c>
      <c r="D45" s="602">
        <v>25</v>
      </c>
      <c r="E45" s="602">
        <v>24</v>
      </c>
      <c r="F45" s="602">
        <v>20</v>
      </c>
      <c r="G45" s="602">
        <v>20</v>
      </c>
      <c r="H45" s="602">
        <v>35</v>
      </c>
      <c r="I45" s="602">
        <v>0</v>
      </c>
      <c r="J45" s="602">
        <v>0</v>
      </c>
      <c r="K45" s="602">
        <v>0</v>
      </c>
      <c r="L45" s="602">
        <v>0</v>
      </c>
      <c r="M45" s="602">
        <v>0</v>
      </c>
      <c r="N45" s="602">
        <v>0</v>
      </c>
      <c r="O45" s="602">
        <v>0</v>
      </c>
      <c r="P45" s="602">
        <v>0</v>
      </c>
      <c r="Q45" s="602">
        <v>0</v>
      </c>
      <c r="R45" s="602">
        <v>0</v>
      </c>
      <c r="S45" s="602">
        <v>0</v>
      </c>
      <c r="T45" s="602">
        <v>0</v>
      </c>
      <c r="U45" s="602">
        <v>0</v>
      </c>
      <c r="V45" s="602"/>
      <c r="W45" s="602">
        <v>0</v>
      </c>
      <c r="X45" s="602">
        <v>0</v>
      </c>
      <c r="Y45" s="604">
        <v>0</v>
      </c>
      <c r="Z45" s="350">
        <v>40</v>
      </c>
      <c r="AA45" s="210">
        <f ca="1">-Economics!D38/Economics!I38</f>
        <v>2779.430155851403</v>
      </c>
    </row>
    <row r="46" spans="1:33" s="161" customFormat="1" ht="12.75" customHeight="1" x14ac:dyDescent="0.25">
      <c r="A46" s="708" t="s">
        <v>348</v>
      </c>
      <c r="B46" s="709">
        <v>0</v>
      </c>
      <c r="C46" s="602">
        <v>0</v>
      </c>
      <c r="D46" s="602">
        <v>0</v>
      </c>
      <c r="E46" s="602">
        <v>0</v>
      </c>
      <c r="F46" s="602">
        <v>0</v>
      </c>
      <c r="G46" s="602">
        <v>0</v>
      </c>
      <c r="H46" s="602">
        <v>0</v>
      </c>
      <c r="I46" s="602">
        <v>0</v>
      </c>
      <c r="J46" s="602">
        <v>0</v>
      </c>
      <c r="K46" s="602">
        <v>0</v>
      </c>
      <c r="L46" s="602">
        <v>0</v>
      </c>
      <c r="M46" s="602">
        <v>0</v>
      </c>
      <c r="N46" s="602">
        <v>0</v>
      </c>
      <c r="O46" s="602">
        <v>0</v>
      </c>
      <c r="P46" s="602">
        <v>0</v>
      </c>
      <c r="Q46" s="602">
        <v>0</v>
      </c>
      <c r="R46" s="602">
        <v>0</v>
      </c>
      <c r="S46" s="602">
        <v>0</v>
      </c>
      <c r="T46" s="602">
        <v>0</v>
      </c>
      <c r="U46" s="602">
        <v>0</v>
      </c>
      <c r="V46" s="602">
        <v>0</v>
      </c>
      <c r="W46" s="602">
        <v>0</v>
      </c>
      <c r="X46" s="602">
        <v>0</v>
      </c>
      <c r="Y46" s="604">
        <v>0</v>
      </c>
      <c r="Z46" s="350">
        <v>108</v>
      </c>
      <c r="AA46" s="210">
        <f ca="1">-Economics!D39/Economics!I39</f>
        <v>0</v>
      </c>
    </row>
    <row r="47" spans="1:33" s="161" customFormat="1" ht="12.75" customHeight="1" x14ac:dyDescent="0.2">
      <c r="A47" s="600" t="s">
        <v>349</v>
      </c>
      <c r="B47" s="602">
        <v>0</v>
      </c>
      <c r="C47" s="602">
        <v>0</v>
      </c>
      <c r="D47" s="602">
        <v>0</v>
      </c>
      <c r="E47" s="602">
        <v>0</v>
      </c>
      <c r="F47" s="602">
        <v>0</v>
      </c>
      <c r="G47" s="602">
        <v>0</v>
      </c>
      <c r="H47" s="602">
        <v>0</v>
      </c>
      <c r="I47" s="602">
        <v>0</v>
      </c>
      <c r="J47" s="602">
        <v>0</v>
      </c>
      <c r="K47" s="602">
        <v>0</v>
      </c>
      <c r="L47" s="602">
        <v>0</v>
      </c>
      <c r="M47" s="602">
        <v>0</v>
      </c>
      <c r="N47" s="602">
        <v>0</v>
      </c>
      <c r="O47" s="602">
        <v>0</v>
      </c>
      <c r="P47" s="602">
        <v>0</v>
      </c>
      <c r="Q47" s="602">
        <v>0</v>
      </c>
      <c r="R47" s="602">
        <v>0</v>
      </c>
      <c r="S47" s="602">
        <v>0</v>
      </c>
      <c r="T47" s="602">
        <v>0</v>
      </c>
      <c r="U47" s="602">
        <v>0</v>
      </c>
      <c r="V47" s="602">
        <v>0</v>
      </c>
      <c r="W47" s="602">
        <v>0</v>
      </c>
      <c r="X47" s="602">
        <v>0</v>
      </c>
      <c r="Y47" s="604">
        <v>0</v>
      </c>
      <c r="Z47" s="350">
        <v>108</v>
      </c>
      <c r="AA47" s="210">
        <f ca="1">-Economics!D40/Economics!I40</f>
        <v>0</v>
      </c>
    </row>
    <row r="48" spans="1:33" s="161" customFormat="1" ht="12.75" customHeight="1" x14ac:dyDescent="0.2">
      <c r="A48" s="601" t="s">
        <v>132</v>
      </c>
      <c r="B48" s="605">
        <v>0</v>
      </c>
      <c r="C48" s="605">
        <v>0</v>
      </c>
      <c r="D48" s="605">
        <v>0</v>
      </c>
      <c r="E48" s="605">
        <v>0</v>
      </c>
      <c r="F48" s="605">
        <v>0</v>
      </c>
      <c r="G48" s="605">
        <v>0</v>
      </c>
      <c r="H48" s="605">
        <v>0</v>
      </c>
      <c r="I48" s="605">
        <v>112</v>
      </c>
      <c r="J48" s="605">
        <v>152</v>
      </c>
      <c r="K48" s="605">
        <v>199</v>
      </c>
      <c r="L48" s="605">
        <v>180</v>
      </c>
      <c r="M48" s="605">
        <v>176</v>
      </c>
      <c r="N48" s="605">
        <v>155</v>
      </c>
      <c r="O48" s="605">
        <v>151</v>
      </c>
      <c r="P48" s="605">
        <v>149</v>
      </c>
      <c r="Q48" s="605">
        <v>133</v>
      </c>
      <c r="R48" s="605">
        <v>110</v>
      </c>
      <c r="S48" s="605">
        <v>105</v>
      </c>
      <c r="T48" s="605">
        <v>213</v>
      </c>
      <c r="U48" s="605">
        <v>210</v>
      </c>
      <c r="V48" s="605">
        <v>152</v>
      </c>
      <c r="W48" s="605">
        <v>135</v>
      </c>
      <c r="X48" s="605">
        <v>123</v>
      </c>
      <c r="Y48" s="607">
        <v>132</v>
      </c>
      <c r="Z48" s="352">
        <v>212</v>
      </c>
      <c r="AA48" s="211">
        <f ca="1">-Economics!D41/Economics!I41</f>
        <v>24985.957429846938</v>
      </c>
    </row>
    <row r="49" spans="1:27" s="161" customFormat="1" ht="12.75" customHeight="1" x14ac:dyDescent="0.2">
      <c r="A49" s="601" t="s">
        <v>133</v>
      </c>
      <c r="B49" s="605">
        <v>0</v>
      </c>
      <c r="C49" s="605">
        <v>0</v>
      </c>
      <c r="D49" s="605">
        <v>0</v>
      </c>
      <c r="E49" s="605">
        <v>0</v>
      </c>
      <c r="F49" s="605">
        <v>0</v>
      </c>
      <c r="G49" s="605">
        <v>0</v>
      </c>
      <c r="H49" s="605">
        <v>0</v>
      </c>
      <c r="I49" s="605">
        <v>0</v>
      </c>
      <c r="J49" s="605">
        <v>0</v>
      </c>
      <c r="K49" s="605">
        <v>0</v>
      </c>
      <c r="L49" s="605">
        <v>0</v>
      </c>
      <c r="M49" s="605">
        <v>0</v>
      </c>
      <c r="N49" s="605">
        <v>0</v>
      </c>
      <c r="O49" s="605">
        <v>0</v>
      </c>
      <c r="P49" s="605">
        <v>0</v>
      </c>
      <c r="Q49" s="605">
        <v>0</v>
      </c>
      <c r="R49" s="605">
        <v>0</v>
      </c>
      <c r="S49" s="605">
        <v>0</v>
      </c>
      <c r="T49" s="605">
        <v>0</v>
      </c>
      <c r="U49" s="605">
        <v>0</v>
      </c>
      <c r="V49" s="605">
        <v>0</v>
      </c>
      <c r="W49" s="605">
        <v>0</v>
      </c>
      <c r="X49" s="605">
        <v>0</v>
      </c>
      <c r="Y49" s="607">
        <v>0</v>
      </c>
      <c r="Z49" s="352">
        <v>68</v>
      </c>
      <c r="AA49" s="211">
        <f ca="1">-Economics!D42/Economics!I42</f>
        <v>0</v>
      </c>
    </row>
    <row r="50" spans="1:27" s="161" customFormat="1" ht="12.75" customHeight="1" x14ac:dyDescent="0.2">
      <c r="A50" s="600" t="s">
        <v>134</v>
      </c>
      <c r="B50" s="602">
        <v>0</v>
      </c>
      <c r="C50" s="602">
        <v>0</v>
      </c>
      <c r="D50" s="602">
        <v>0</v>
      </c>
      <c r="E50" s="602">
        <v>0</v>
      </c>
      <c r="F50" s="602">
        <v>0</v>
      </c>
      <c r="G50" s="602">
        <v>0</v>
      </c>
      <c r="H50" s="602">
        <v>0</v>
      </c>
      <c r="I50" s="602">
        <v>0</v>
      </c>
      <c r="J50" s="602">
        <v>0</v>
      </c>
      <c r="K50" s="602">
        <v>0</v>
      </c>
      <c r="L50" s="602">
        <v>0</v>
      </c>
      <c r="M50" s="602">
        <v>0</v>
      </c>
      <c r="N50" s="602">
        <v>0</v>
      </c>
      <c r="O50" s="602">
        <v>0</v>
      </c>
      <c r="P50" s="602">
        <v>0</v>
      </c>
      <c r="Q50" s="602">
        <v>0</v>
      </c>
      <c r="R50" s="602">
        <v>0</v>
      </c>
      <c r="S50" s="602">
        <v>0</v>
      </c>
      <c r="T50" s="602">
        <v>0</v>
      </c>
      <c r="U50" s="602">
        <v>0</v>
      </c>
      <c r="V50" s="602">
        <v>0</v>
      </c>
      <c r="W50" s="602">
        <v>0</v>
      </c>
      <c r="X50" s="602">
        <v>0</v>
      </c>
      <c r="Y50" s="604">
        <v>0</v>
      </c>
      <c r="Z50" s="350">
        <v>48</v>
      </c>
      <c r="AA50" s="210">
        <f ca="1">-Economics!D43/Economics!I43</f>
        <v>0</v>
      </c>
    </row>
    <row r="51" spans="1:27" s="161" customFormat="1" ht="12.75" customHeight="1" x14ac:dyDescent="0.2">
      <c r="A51" s="600" t="s">
        <v>135</v>
      </c>
      <c r="B51" s="602">
        <v>0</v>
      </c>
      <c r="C51" s="602">
        <v>0</v>
      </c>
      <c r="D51" s="602">
        <v>0</v>
      </c>
      <c r="E51" s="602">
        <v>0</v>
      </c>
      <c r="F51" s="602">
        <v>0</v>
      </c>
      <c r="G51" s="602">
        <v>0</v>
      </c>
      <c r="H51" s="602">
        <v>0</v>
      </c>
      <c r="I51" s="602">
        <v>0</v>
      </c>
      <c r="J51" s="602">
        <v>0</v>
      </c>
      <c r="K51" s="602">
        <v>0</v>
      </c>
      <c r="L51" s="602">
        <v>0</v>
      </c>
      <c r="M51" s="602">
        <v>0</v>
      </c>
      <c r="N51" s="602">
        <v>0</v>
      </c>
      <c r="O51" s="602">
        <v>0</v>
      </c>
      <c r="P51" s="602">
        <v>0</v>
      </c>
      <c r="Q51" s="602">
        <v>0</v>
      </c>
      <c r="R51" s="602">
        <v>0</v>
      </c>
      <c r="S51" s="602">
        <v>0</v>
      </c>
      <c r="T51" s="602">
        <v>0</v>
      </c>
      <c r="U51" s="602">
        <v>0</v>
      </c>
      <c r="V51" s="602">
        <v>0</v>
      </c>
      <c r="W51" s="602">
        <v>0</v>
      </c>
      <c r="X51" s="602">
        <v>0</v>
      </c>
      <c r="Y51" s="604">
        <v>0</v>
      </c>
      <c r="Z51" s="350">
        <v>44</v>
      </c>
      <c r="AA51" s="210">
        <f ca="1">-Economics!D44/Economics!I44</f>
        <v>0</v>
      </c>
    </row>
    <row r="52" spans="1:27" s="161" customFormat="1" ht="12.75" customHeight="1" thickBot="1" x14ac:dyDescent="0.25">
      <c r="A52" s="600" t="s">
        <v>136</v>
      </c>
      <c r="B52" s="602">
        <v>0</v>
      </c>
      <c r="C52" s="602">
        <v>0</v>
      </c>
      <c r="D52" s="602">
        <v>0</v>
      </c>
      <c r="E52" s="602">
        <v>0</v>
      </c>
      <c r="F52" s="602">
        <v>0</v>
      </c>
      <c r="G52" s="602">
        <v>0</v>
      </c>
      <c r="H52" s="602">
        <v>0</v>
      </c>
      <c r="I52" s="602">
        <v>0</v>
      </c>
      <c r="J52" s="602">
        <v>0</v>
      </c>
      <c r="K52" s="602">
        <v>0</v>
      </c>
      <c r="L52" s="602">
        <v>0</v>
      </c>
      <c r="M52" s="602">
        <v>0</v>
      </c>
      <c r="N52" s="602">
        <v>0</v>
      </c>
      <c r="O52" s="602">
        <v>0</v>
      </c>
      <c r="P52" s="602">
        <v>0</v>
      </c>
      <c r="Q52" s="602">
        <v>0</v>
      </c>
      <c r="R52" s="602">
        <v>0</v>
      </c>
      <c r="S52" s="602">
        <v>0</v>
      </c>
      <c r="T52" s="602">
        <v>0</v>
      </c>
      <c r="U52" s="602">
        <v>0</v>
      </c>
      <c r="V52" s="602">
        <v>0</v>
      </c>
      <c r="W52" s="602">
        <v>0</v>
      </c>
      <c r="X52" s="602">
        <v>0</v>
      </c>
      <c r="Y52" s="604">
        <v>0</v>
      </c>
      <c r="Z52" s="353">
        <v>130</v>
      </c>
      <c r="AA52" s="212">
        <f ca="1">-Economics!D45/Economics!I45</f>
        <v>0</v>
      </c>
    </row>
    <row r="53" spans="1:27" s="161" customFormat="1" ht="12.75" customHeight="1" thickTop="1" x14ac:dyDescent="0.2">
      <c r="A53" s="600" t="s">
        <v>126</v>
      </c>
      <c r="B53" s="602">
        <v>201</v>
      </c>
      <c r="C53" s="602">
        <v>201</v>
      </c>
      <c r="D53" s="602">
        <v>201</v>
      </c>
      <c r="E53" s="602">
        <v>201</v>
      </c>
      <c r="F53" s="602">
        <v>201</v>
      </c>
      <c r="G53" s="602">
        <v>202</v>
      </c>
      <c r="H53" s="602">
        <v>201</v>
      </c>
      <c r="I53" s="602">
        <v>201</v>
      </c>
      <c r="J53" s="602">
        <v>201</v>
      </c>
      <c r="K53" s="602">
        <v>201</v>
      </c>
      <c r="L53" s="602">
        <v>201</v>
      </c>
      <c r="M53" s="602">
        <v>201</v>
      </c>
      <c r="N53" s="602">
        <v>200</v>
      </c>
      <c r="O53" s="602">
        <v>200</v>
      </c>
      <c r="P53" s="602">
        <v>200</v>
      </c>
      <c r="Q53" s="602">
        <v>200</v>
      </c>
      <c r="R53" s="602">
        <v>201</v>
      </c>
      <c r="S53" s="602">
        <v>201</v>
      </c>
      <c r="T53" s="602">
        <v>200</v>
      </c>
      <c r="U53" s="602">
        <v>200</v>
      </c>
      <c r="V53" s="602">
        <v>201</v>
      </c>
      <c r="W53" s="602">
        <v>200</v>
      </c>
      <c r="X53" s="602">
        <v>201</v>
      </c>
      <c r="Y53" s="604">
        <v>201</v>
      </c>
      <c r="Z53" s="350">
        <v>198</v>
      </c>
      <c r="AA53" s="208"/>
    </row>
    <row r="54" spans="1:27" s="161" customFormat="1" ht="12.75" customHeight="1" x14ac:dyDescent="0.2">
      <c r="A54" s="600" t="s">
        <v>127</v>
      </c>
      <c r="B54" s="602">
        <v>201</v>
      </c>
      <c r="C54" s="602">
        <v>201</v>
      </c>
      <c r="D54" s="602">
        <v>201</v>
      </c>
      <c r="E54" s="602">
        <v>201</v>
      </c>
      <c r="F54" s="602">
        <v>201</v>
      </c>
      <c r="G54" s="602">
        <v>202</v>
      </c>
      <c r="H54" s="602">
        <v>201</v>
      </c>
      <c r="I54" s="602">
        <v>201</v>
      </c>
      <c r="J54" s="602">
        <v>201</v>
      </c>
      <c r="K54" s="602">
        <v>201</v>
      </c>
      <c r="L54" s="602">
        <v>201</v>
      </c>
      <c r="M54" s="602">
        <v>201</v>
      </c>
      <c r="N54" s="602">
        <v>200</v>
      </c>
      <c r="O54" s="602">
        <v>200</v>
      </c>
      <c r="P54" s="602">
        <v>200</v>
      </c>
      <c r="Q54" s="602">
        <v>200</v>
      </c>
      <c r="R54" s="602">
        <v>201</v>
      </c>
      <c r="S54" s="602">
        <v>201</v>
      </c>
      <c r="T54" s="602">
        <v>200</v>
      </c>
      <c r="U54" s="602">
        <v>200</v>
      </c>
      <c r="V54" s="602">
        <v>201</v>
      </c>
      <c r="W54" s="602">
        <v>200</v>
      </c>
      <c r="X54" s="602">
        <v>201</v>
      </c>
      <c r="Y54" s="604">
        <v>201</v>
      </c>
      <c r="Z54" s="350">
        <v>198</v>
      </c>
      <c r="AA54" s="208"/>
    </row>
    <row r="55" spans="1:27" s="161" customFormat="1" ht="12.75" customHeight="1" x14ac:dyDescent="0.2">
      <c r="A55" s="600" t="s">
        <v>128</v>
      </c>
      <c r="B55" s="602">
        <v>201</v>
      </c>
      <c r="C55" s="602">
        <v>201</v>
      </c>
      <c r="D55" s="602">
        <v>201</v>
      </c>
      <c r="E55" s="602">
        <v>201</v>
      </c>
      <c r="F55" s="602">
        <v>201</v>
      </c>
      <c r="G55" s="602">
        <v>202</v>
      </c>
      <c r="H55" s="602">
        <v>201</v>
      </c>
      <c r="I55" s="602">
        <v>201</v>
      </c>
      <c r="J55" s="602">
        <v>201</v>
      </c>
      <c r="K55" s="602">
        <v>201</v>
      </c>
      <c r="L55" s="602">
        <v>201</v>
      </c>
      <c r="M55" s="602">
        <v>201</v>
      </c>
      <c r="N55" s="602">
        <v>200</v>
      </c>
      <c r="O55" s="602">
        <v>200</v>
      </c>
      <c r="P55" s="602">
        <v>200</v>
      </c>
      <c r="Q55" s="602">
        <v>200</v>
      </c>
      <c r="R55" s="602">
        <v>201</v>
      </c>
      <c r="S55" s="602">
        <v>201</v>
      </c>
      <c r="T55" s="602">
        <v>200</v>
      </c>
      <c r="U55" s="602">
        <v>200</v>
      </c>
      <c r="V55" s="602">
        <v>201</v>
      </c>
      <c r="W55" s="602">
        <v>200</v>
      </c>
      <c r="X55" s="602">
        <v>201</v>
      </c>
      <c r="Y55" s="604">
        <v>201</v>
      </c>
      <c r="Z55" s="350">
        <v>198</v>
      </c>
      <c r="AA55" s="208"/>
    </row>
    <row r="56" spans="1:27" s="161" customFormat="1" ht="12" customHeight="1" x14ac:dyDescent="0.2">
      <c r="A56" s="600" t="s">
        <v>124</v>
      </c>
      <c r="B56" s="602">
        <v>51</v>
      </c>
      <c r="C56" s="602">
        <v>22</v>
      </c>
      <c r="D56" s="602">
        <v>2</v>
      </c>
      <c r="E56" s="602">
        <v>2</v>
      </c>
      <c r="F56" s="602">
        <v>2</v>
      </c>
      <c r="G56" s="602">
        <v>52</v>
      </c>
      <c r="H56" s="602">
        <v>52</v>
      </c>
      <c r="I56" s="602">
        <v>52</v>
      </c>
      <c r="J56" s="602">
        <v>52</v>
      </c>
      <c r="K56" s="602">
        <v>52</v>
      </c>
      <c r="L56" s="602">
        <v>51</v>
      </c>
      <c r="M56" s="602">
        <v>52</v>
      </c>
      <c r="N56" s="602">
        <v>52</v>
      </c>
      <c r="O56" s="602">
        <v>52</v>
      </c>
      <c r="P56" s="602">
        <v>51</v>
      </c>
      <c r="Q56" s="602">
        <v>52</v>
      </c>
      <c r="R56" s="602">
        <v>51</v>
      </c>
      <c r="S56" s="602">
        <v>52</v>
      </c>
      <c r="T56" s="602">
        <v>52</v>
      </c>
      <c r="U56" s="602">
        <v>52</v>
      </c>
      <c r="V56" s="602">
        <v>53</v>
      </c>
      <c r="W56" s="602">
        <v>90</v>
      </c>
      <c r="X56" s="602">
        <v>52</v>
      </c>
      <c r="Y56" s="604">
        <v>52</v>
      </c>
      <c r="Z56" s="350">
        <v>52</v>
      </c>
      <c r="AA56" s="208"/>
    </row>
    <row r="57" spans="1:27" s="161" customFormat="1" ht="12.75" customHeight="1" thickBot="1" x14ac:dyDescent="0.25">
      <c r="A57" s="645" t="s">
        <v>125</v>
      </c>
      <c r="B57" s="646"/>
      <c r="C57" s="646"/>
      <c r="D57" s="646"/>
      <c r="E57" s="646"/>
      <c r="F57" s="646"/>
      <c r="G57" s="646"/>
      <c r="H57" s="646"/>
      <c r="I57" s="646"/>
      <c r="J57" s="646"/>
      <c r="K57" s="646"/>
      <c r="L57" s="646"/>
      <c r="M57" s="646">
        <v>0</v>
      </c>
      <c r="N57" s="646"/>
      <c r="O57" s="646"/>
      <c r="P57" s="646"/>
      <c r="Q57" s="646"/>
      <c r="R57" s="646"/>
      <c r="S57" s="646"/>
      <c r="T57" s="646"/>
      <c r="U57" s="646"/>
      <c r="V57" s="646"/>
      <c r="W57" s="646"/>
      <c r="X57" s="646"/>
      <c r="Y57" s="647"/>
      <c r="Z57" s="350">
        <v>52</v>
      </c>
      <c r="AA57" s="208"/>
    </row>
    <row r="58" spans="1:27" s="161" customFormat="1" ht="17.25" customHeight="1" thickBot="1" x14ac:dyDescent="0.3">
      <c r="A58" s="710" t="s">
        <v>10</v>
      </c>
      <c r="B58" s="711">
        <f ca="1">B59-B38</f>
        <v>3</v>
      </c>
      <c r="C58" s="711">
        <f t="shared" ref="C58:I58" ca="1" si="5">C59-C38</f>
        <v>3</v>
      </c>
      <c r="D58" s="711">
        <f t="shared" ca="1" si="5"/>
        <v>3</v>
      </c>
      <c r="E58" s="711">
        <f t="shared" ca="1" si="5"/>
        <v>-2</v>
      </c>
      <c r="F58" s="711">
        <f t="shared" ca="1" si="5"/>
        <v>-3</v>
      </c>
      <c r="G58" s="711">
        <f ca="1">G59-G38</f>
        <v>6</v>
      </c>
      <c r="H58" s="711">
        <f t="shared" ca="1" si="5"/>
        <v>-22</v>
      </c>
      <c r="I58" s="711">
        <f t="shared" ca="1" si="5"/>
        <v>19</v>
      </c>
      <c r="J58" s="711">
        <f t="shared" ref="J58:Y58" ca="1" si="6">J59-J38</f>
        <v>-8</v>
      </c>
      <c r="K58" s="711">
        <f t="shared" ca="1" si="6"/>
        <v>1</v>
      </c>
      <c r="L58" s="711">
        <f t="shared" ca="1" si="6"/>
        <v>-22</v>
      </c>
      <c r="M58" s="711">
        <f t="shared" ca="1" si="6"/>
        <v>-20</v>
      </c>
      <c r="N58" s="711">
        <f t="shared" ca="1" si="6"/>
        <v>-24</v>
      </c>
      <c r="O58" s="711">
        <f t="shared" ca="1" si="6"/>
        <v>-25</v>
      </c>
      <c r="P58" s="711">
        <f t="shared" ca="1" si="6"/>
        <v>-22</v>
      </c>
      <c r="Q58" s="711">
        <f t="shared" ca="1" si="6"/>
        <v>-17</v>
      </c>
      <c r="R58" s="711">
        <f t="shared" ca="1" si="6"/>
        <v>-21</v>
      </c>
      <c r="S58" s="711">
        <f t="shared" ca="1" si="6"/>
        <v>-3</v>
      </c>
      <c r="T58" s="711">
        <f t="shared" ca="1" si="6"/>
        <v>-5</v>
      </c>
      <c r="U58" s="711">
        <f t="shared" ca="1" si="6"/>
        <v>9</v>
      </c>
      <c r="V58" s="711">
        <f t="shared" ca="1" si="6"/>
        <v>-18</v>
      </c>
      <c r="W58" s="711">
        <f t="shared" ca="1" si="6"/>
        <v>0</v>
      </c>
      <c r="X58" s="711">
        <f t="shared" ca="1" si="6"/>
        <v>3</v>
      </c>
      <c r="Y58" s="712">
        <f t="shared" ca="1" si="6"/>
        <v>5</v>
      </c>
      <c r="Z58" s="351">
        <f>SUM(Z41:Z55)+Z41+Z42+Z43+Z48+Z49+Z50+Z51+Z52</f>
        <v>2416</v>
      </c>
      <c r="AA58" s="209">
        <f ca="1">SUM(AA41:AA55)</f>
        <v>52234.046904894771</v>
      </c>
    </row>
    <row r="59" spans="1:27" s="161" customFormat="1" ht="12" x14ac:dyDescent="0.2">
      <c r="A59" s="552">
        <v>0</v>
      </c>
      <c r="B59" s="553">
        <f t="shared" ref="B59:I59" ca="1" si="7">SUM(B41:B57)-SUM(B7:B20)</f>
        <v>775</v>
      </c>
      <c r="C59" s="553">
        <f t="shared" ca="1" si="7"/>
        <v>756</v>
      </c>
      <c r="D59" s="553">
        <f t="shared" ca="1" si="7"/>
        <v>750</v>
      </c>
      <c r="E59" s="553">
        <f t="shared" ca="1" si="7"/>
        <v>750</v>
      </c>
      <c r="F59" s="553">
        <f t="shared" ca="1" si="7"/>
        <v>776</v>
      </c>
      <c r="G59" s="553">
        <f t="shared" ca="1" si="7"/>
        <v>803</v>
      </c>
      <c r="H59" s="553">
        <f t="shared" ca="1" si="7"/>
        <v>922</v>
      </c>
      <c r="I59" s="553">
        <f t="shared" ca="1" si="7"/>
        <v>1075</v>
      </c>
      <c r="J59" s="553">
        <f t="shared" ref="J59:Y59" ca="1" si="8">SUM(J41:J57)-SUM(J7:J20)</f>
        <v>1060</v>
      </c>
      <c r="K59" s="553">
        <f t="shared" ca="1" si="8"/>
        <v>1081</v>
      </c>
      <c r="L59" s="553">
        <f t="shared" ca="1" si="8"/>
        <v>1061</v>
      </c>
      <c r="M59" s="553">
        <f t="shared" ca="1" si="8"/>
        <v>1058</v>
      </c>
      <c r="N59" s="553">
        <f t="shared" ca="1" si="8"/>
        <v>1033</v>
      </c>
      <c r="O59" s="553">
        <f t="shared" ca="1" si="8"/>
        <v>1029</v>
      </c>
      <c r="P59" s="553">
        <f t="shared" ca="1" si="8"/>
        <v>1027</v>
      </c>
      <c r="Q59" s="553">
        <f t="shared" ca="1" si="8"/>
        <v>1011</v>
      </c>
      <c r="R59" s="553">
        <f t="shared" ca="1" si="8"/>
        <v>995</v>
      </c>
      <c r="S59" s="553">
        <f t="shared" ca="1" si="8"/>
        <v>1041</v>
      </c>
      <c r="T59" s="553">
        <f t="shared" ca="1" si="8"/>
        <v>1160</v>
      </c>
      <c r="U59" s="553">
        <f ca="1">SUM(U41:U57)-SUM(U7:U20)</f>
        <v>1168</v>
      </c>
      <c r="V59" s="553">
        <f t="shared" ca="1" si="8"/>
        <v>1113</v>
      </c>
      <c r="W59" s="553">
        <f t="shared" ca="1" si="8"/>
        <v>1079</v>
      </c>
      <c r="X59" s="553">
        <f t="shared" ca="1" si="8"/>
        <v>1006</v>
      </c>
      <c r="Y59" s="553">
        <f t="shared" ca="1" si="8"/>
        <v>859</v>
      </c>
      <c r="Z59" s="213">
        <f ca="1">SUM(Economics!D28:D45)</f>
        <v>-204911.90857359377</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543</v>
      </c>
      <c r="C62" s="169">
        <f t="shared" ca="1" si="10"/>
        <v>563</v>
      </c>
      <c r="D62" s="169">
        <f t="shared" ca="1" si="10"/>
        <v>563</v>
      </c>
      <c r="E62" s="169">
        <f t="shared" ca="1" si="10"/>
        <v>563</v>
      </c>
      <c r="F62" s="169">
        <f t="shared" ca="1" si="10"/>
        <v>553</v>
      </c>
      <c r="G62" s="169">
        <f t="shared" ca="1" si="10"/>
        <v>556</v>
      </c>
      <c r="H62" s="169">
        <f t="shared" ca="1" si="10"/>
        <v>543</v>
      </c>
      <c r="I62" s="169">
        <f t="shared" ca="1" si="10"/>
        <v>523</v>
      </c>
      <c r="J62" s="169">
        <f t="shared" ca="1" si="10"/>
        <v>478</v>
      </c>
      <c r="K62" s="169">
        <f t="shared" ca="1" si="10"/>
        <v>453</v>
      </c>
      <c r="L62" s="169">
        <f t="shared" ca="1" si="10"/>
        <v>453</v>
      </c>
      <c r="M62" s="169">
        <f t="shared" ca="1" si="10"/>
        <v>453</v>
      </c>
      <c r="N62" s="169">
        <f t="shared" ca="1" si="10"/>
        <v>450</v>
      </c>
      <c r="O62" s="169">
        <f t="shared" ca="1" si="10"/>
        <v>450</v>
      </c>
      <c r="P62" s="169">
        <f t="shared" ca="1" si="10"/>
        <v>450</v>
      </c>
      <c r="Q62" s="169">
        <f t="shared" ca="1" si="10"/>
        <v>450</v>
      </c>
      <c r="R62" s="169">
        <f t="shared" ca="1" si="10"/>
        <v>453</v>
      </c>
      <c r="S62" s="169">
        <f t="shared" ca="1" si="10"/>
        <v>453</v>
      </c>
      <c r="T62" s="169">
        <f t="shared" ca="1" si="10"/>
        <v>425</v>
      </c>
      <c r="U62" s="169">
        <f t="shared" ca="1" si="10"/>
        <v>425</v>
      </c>
      <c r="V62" s="169">
        <f t="shared" ca="1" si="10"/>
        <v>443</v>
      </c>
      <c r="W62" s="169">
        <f t="shared" ca="1" si="10"/>
        <v>440</v>
      </c>
      <c r="X62" s="169">
        <f t="shared" ca="1" si="10"/>
        <v>458</v>
      </c>
      <c r="Y62" s="170">
        <f t="shared" ca="1" si="10"/>
        <v>508</v>
      </c>
      <c r="Z62" s="191"/>
      <c r="AA62" s="162"/>
    </row>
    <row r="63" spans="1:27" s="161" customFormat="1" ht="12" x14ac:dyDescent="0.2">
      <c r="A63" s="193" t="s">
        <v>140</v>
      </c>
      <c r="B63" s="169">
        <f t="shared" ref="B63:L63" ca="1" si="11">-SUM(B8:B10,B25:B28) + SUM(B56:B57)</f>
        <v>-24</v>
      </c>
      <c r="C63" s="169">
        <f t="shared" ca="1" si="11"/>
        <v>-78</v>
      </c>
      <c r="D63" s="169">
        <f t="shared" ca="1" si="11"/>
        <v>-98</v>
      </c>
      <c r="E63" s="169">
        <f t="shared" ca="1" si="11"/>
        <v>-98</v>
      </c>
      <c r="F63" s="169">
        <f t="shared" ca="1" si="11"/>
        <v>-98</v>
      </c>
      <c r="G63" s="169">
        <f t="shared" ca="1" si="11"/>
        <v>-13</v>
      </c>
      <c r="H63" s="169">
        <f t="shared" ca="1" si="11"/>
        <v>27</v>
      </c>
      <c r="I63" s="169">
        <f t="shared" ca="1" si="11"/>
        <v>72</v>
      </c>
      <c r="J63" s="169">
        <f t="shared" ca="1" si="11"/>
        <v>72</v>
      </c>
      <c r="K63" s="169">
        <f t="shared" ca="1" si="11"/>
        <v>72</v>
      </c>
      <c r="L63" s="169">
        <f t="shared" ca="1" si="11"/>
        <v>71</v>
      </c>
      <c r="M63" s="169">
        <f ca="1">-SUM(M8:M10,M25:M28) + SUM(M57:M57)</f>
        <v>20</v>
      </c>
      <c r="N63" s="169">
        <f t="shared" ref="N63:Y63" ca="1" si="12">-SUM(N8:N10,N25:N28) + SUM(N56:N57)</f>
        <v>72</v>
      </c>
      <c r="O63" s="169">
        <f t="shared" ca="1" si="12"/>
        <v>72</v>
      </c>
      <c r="P63" s="169">
        <f t="shared" ca="1" si="12"/>
        <v>71</v>
      </c>
      <c r="Q63" s="169">
        <f t="shared" ca="1" si="12"/>
        <v>72</v>
      </c>
      <c r="R63" s="169">
        <f t="shared" ca="1" si="12"/>
        <v>71</v>
      </c>
      <c r="S63" s="169">
        <f t="shared" ca="1" si="12"/>
        <v>72</v>
      </c>
      <c r="T63" s="169">
        <f t="shared" ca="1" si="12"/>
        <v>72</v>
      </c>
      <c r="U63" s="169">
        <f t="shared" ca="1" si="12"/>
        <v>97</v>
      </c>
      <c r="V63" s="169">
        <f t="shared" ca="1" si="12"/>
        <v>98</v>
      </c>
      <c r="W63" s="169">
        <f t="shared" ca="1" si="12"/>
        <v>135</v>
      </c>
      <c r="X63" s="169">
        <f t="shared" ca="1" si="12"/>
        <v>72</v>
      </c>
      <c r="Y63" s="170">
        <f t="shared" ca="1" si="12"/>
        <v>27</v>
      </c>
      <c r="Z63" s="191"/>
      <c r="AA63" s="162"/>
    </row>
    <row r="64" spans="1:27" s="161" customFormat="1" ht="12" x14ac:dyDescent="0.2">
      <c r="A64" s="193" t="s">
        <v>141</v>
      </c>
      <c r="B64" s="169">
        <f ca="1">IF(B62+B63&gt;645,"err",B62+B63)</f>
        <v>519</v>
      </c>
      <c r="C64" s="169">
        <f t="shared" ref="C64:Y64" ca="1" si="13">IF(C62+C63&gt;645,"err",C62+C63)</f>
        <v>485</v>
      </c>
      <c r="D64" s="169">
        <f t="shared" ca="1" si="13"/>
        <v>465</v>
      </c>
      <c r="E64" s="169">
        <f t="shared" ca="1" si="13"/>
        <v>465</v>
      </c>
      <c r="F64" s="169">
        <f t="shared" ca="1" si="13"/>
        <v>455</v>
      </c>
      <c r="G64" s="169">
        <f t="shared" ca="1" si="13"/>
        <v>543</v>
      </c>
      <c r="H64" s="169">
        <f t="shared" ca="1" si="13"/>
        <v>570</v>
      </c>
      <c r="I64" s="169">
        <f t="shared" ca="1" si="13"/>
        <v>595</v>
      </c>
      <c r="J64" s="169">
        <f t="shared" ca="1" si="13"/>
        <v>550</v>
      </c>
      <c r="K64" s="169">
        <f t="shared" ca="1" si="13"/>
        <v>525</v>
      </c>
      <c r="L64" s="169">
        <f t="shared" ca="1" si="13"/>
        <v>524</v>
      </c>
      <c r="M64" s="169">
        <f t="shared" ca="1" si="13"/>
        <v>473</v>
      </c>
      <c r="N64" s="169">
        <f t="shared" ca="1" si="13"/>
        <v>522</v>
      </c>
      <c r="O64" s="169">
        <f t="shared" ca="1" si="13"/>
        <v>522</v>
      </c>
      <c r="P64" s="169">
        <f t="shared" ca="1" si="13"/>
        <v>521</v>
      </c>
      <c r="Q64" s="169">
        <f t="shared" ca="1" si="13"/>
        <v>522</v>
      </c>
      <c r="R64" s="169">
        <f t="shared" ca="1" si="13"/>
        <v>524</v>
      </c>
      <c r="S64" s="169">
        <f t="shared" ca="1" si="13"/>
        <v>525</v>
      </c>
      <c r="T64" s="169">
        <f t="shared" ca="1" si="13"/>
        <v>497</v>
      </c>
      <c r="U64" s="169">
        <f t="shared" ca="1" si="13"/>
        <v>522</v>
      </c>
      <c r="V64" s="169">
        <f t="shared" ca="1" si="13"/>
        <v>541</v>
      </c>
      <c r="W64" s="169">
        <f t="shared" ca="1" si="13"/>
        <v>575</v>
      </c>
      <c r="X64" s="169">
        <f t="shared" ca="1" si="13"/>
        <v>530</v>
      </c>
      <c r="Y64" s="170">
        <f t="shared" ca="1" si="13"/>
        <v>535</v>
      </c>
      <c r="Z64" s="192"/>
      <c r="AA64" s="162"/>
    </row>
    <row r="65" spans="1:27" s="161" customFormat="1" ht="12" x14ac:dyDescent="0.2">
      <c r="A65" s="193" t="s">
        <v>18</v>
      </c>
      <c r="B65" s="169">
        <f ca="1">SUM(B61:B63)</f>
        <v>519</v>
      </c>
      <c r="C65" s="169">
        <f t="shared" ref="C65:Y65" ca="1" si="14">SUM(C61:C63)</f>
        <v>485</v>
      </c>
      <c r="D65" s="169">
        <f t="shared" ca="1" si="14"/>
        <v>465</v>
      </c>
      <c r="E65" s="169">
        <f t="shared" ca="1" si="14"/>
        <v>465</v>
      </c>
      <c r="F65" s="169">
        <f t="shared" ca="1" si="14"/>
        <v>455</v>
      </c>
      <c r="G65" s="169">
        <f t="shared" ca="1" si="14"/>
        <v>543</v>
      </c>
      <c r="H65" s="169">
        <f t="shared" ca="1" si="14"/>
        <v>570</v>
      </c>
      <c r="I65" s="169">
        <f t="shared" ca="1" si="14"/>
        <v>675</v>
      </c>
      <c r="J65" s="169">
        <f t="shared" ca="1" si="14"/>
        <v>630</v>
      </c>
      <c r="K65" s="169">
        <f t="shared" ca="1" si="14"/>
        <v>605</v>
      </c>
      <c r="L65" s="169">
        <f t="shared" ca="1" si="14"/>
        <v>604</v>
      </c>
      <c r="M65" s="169">
        <f t="shared" ca="1" si="14"/>
        <v>553</v>
      </c>
      <c r="N65" s="169">
        <f t="shared" ca="1" si="14"/>
        <v>602</v>
      </c>
      <c r="O65" s="169">
        <f t="shared" ca="1" si="14"/>
        <v>602</v>
      </c>
      <c r="P65" s="169">
        <f t="shared" ca="1" si="14"/>
        <v>601</v>
      </c>
      <c r="Q65" s="169">
        <f t="shared" ca="1" si="14"/>
        <v>602</v>
      </c>
      <c r="R65" s="169">
        <f t="shared" ca="1" si="14"/>
        <v>604</v>
      </c>
      <c r="S65" s="169">
        <f t="shared" ca="1" si="14"/>
        <v>658</v>
      </c>
      <c r="T65" s="169">
        <f t="shared" ca="1" si="14"/>
        <v>630</v>
      </c>
      <c r="U65" s="169">
        <f t="shared" ca="1" si="14"/>
        <v>655</v>
      </c>
      <c r="V65" s="169">
        <f t="shared" ca="1" si="14"/>
        <v>674</v>
      </c>
      <c r="W65" s="169">
        <f t="shared" ca="1" si="14"/>
        <v>655</v>
      </c>
      <c r="X65" s="169">
        <f t="shared" ca="1" si="14"/>
        <v>610</v>
      </c>
      <c r="Y65" s="170">
        <f t="shared" ca="1" si="14"/>
        <v>535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131</v>
      </c>
      <c r="C67" s="169">
        <f t="array" ref="C67">SUM(IF(C$41:C$55 = 0,0,$Z$41:$Z$55-C$41:C$55))-INDEX(Balancing!$R$4:$R$27,C$3)</f>
        <v>121</v>
      </c>
      <c r="D67" s="169">
        <f t="array" ref="D67">SUM(IF(D$41:D$55 = 0,0,$Z$41:$Z$55-D$41:D$55))-INDEX(Balancing!$R$4:$R$27,D$3)</f>
        <v>107</v>
      </c>
      <c r="E67" s="169">
        <f t="array" ref="E67">SUM(IF(E$41:E$55 = 0,0,$Z$41:$Z$55-E$41:E$55))-INDEX(Balancing!$R$4:$R$27,E$3)</f>
        <v>107</v>
      </c>
      <c r="F67" s="169">
        <f t="array" ref="F67">SUM(IF(F$41:F$55 = 0,0,$Z$41:$Z$55-F$41:F$55))-INDEX(Balancing!$R$4:$R$27,F$3)</f>
        <v>81</v>
      </c>
      <c r="G67" s="169">
        <f t="array" ref="G67">SUM(IF(G$41:G$55 = 0,0,$Z$41:$Z$55-G$41:G$55))-INDEX(Balancing!$R$4:$R$27,G$3)</f>
        <v>104</v>
      </c>
      <c r="H67" s="169">
        <f t="array" ref="H67">SUM(IF(H$41:H$55 = 0,0,$Z$41:$Z$55-H$41:H$55))-INDEX(Balancing!$R$4:$R$27,H$3)</f>
        <v>10</v>
      </c>
      <c r="I67" s="169">
        <f t="array" ref="I67">SUM(IF(I$41:I$55 = 0,0,$Z$41:$Z$55-I$41:I$55))-INDEX(Balancing!$R$4:$R$27,I$3)</f>
        <v>169</v>
      </c>
      <c r="J67" s="169">
        <f t="array" ref="J67">SUM(IF(J$41:J$55 = 0,0,$Z$41:$Z$55-J$41:J$55))-INDEX(Balancing!$R$4:$R$27,J$3)</f>
        <v>159</v>
      </c>
      <c r="K67" s="169">
        <f t="array" ref="K67">SUM(IF(K$41:K$55 = 0,0,$Z$41:$Z$55-K$41:K$55))-INDEX(Balancing!$R$4:$R$27,K$3)</f>
        <v>113</v>
      </c>
      <c r="L67" s="169">
        <f t="array" ref="L67">SUM(IF(L$41:L$55 = 0,0,$Z$41:$Z$55-L$41:L$55))-INDEX(Balancing!$R$4:$R$27,L$3)</f>
        <v>132</v>
      </c>
      <c r="M67" s="169">
        <f t="array" ref="M67">SUM(IF(M$41:M$55 = 0,0,$Z$41:$Z$55-M$41:M$55))-INDEX(Balancing!$R$4:$R$27,M$3)</f>
        <v>136</v>
      </c>
      <c r="N67" s="169">
        <v>179</v>
      </c>
      <c r="O67" s="169">
        <f t="array" ref="O67">SUM(IF(O$41:O$55 = 0,0,$Z$41:$Z$55-O$41:O$55))-INDEX(Balancing!$R$4:$R$27,O$3)</f>
        <v>165</v>
      </c>
      <c r="P67" s="169">
        <f t="array" ref="P67">SUM(IF(P$41:P$55 = 0,0,$Z$41:$Z$55-P$41:P$55))-INDEX(Balancing!$R$4:$R$27,P$3)</f>
        <v>166</v>
      </c>
      <c r="Q67" s="169">
        <f t="array" ref="Q67">SUM(IF(Q$41:Q$55 = 0,0,$Z$41:$Z$55-Q$41:Q$55))-INDEX(Balancing!$R$4:$R$27,Q$3)</f>
        <v>183</v>
      </c>
      <c r="R67" s="169">
        <f t="array" ref="R67">SUM(IF(R$41:R$55 = 0,0,$Z$41:$Z$55-R$41:R$55))-INDEX(Balancing!$R$4:$R$27,R$3)</f>
        <v>198</v>
      </c>
      <c r="S67" s="169">
        <f t="array" ref="S67">SUM(IF(S$41:S$55 = 0,0,$Z$41:$Z$55-S$41:S$55))-INDEX(Balancing!$R$4:$R$27,S$3)</f>
        <v>206</v>
      </c>
      <c r="T67" s="169">
        <f t="array" ref="T67">SUM(IF(T$41:T$55 = 0,0,$Z$41:$Z$55-T$41:T$55))-INDEX(Balancing!$R$4:$R$27,T$3)</f>
        <v>87</v>
      </c>
      <c r="U67" s="169">
        <f t="array" ref="U67">SUM(IF(U$41:U$55 = 0,0,$Z$41:$Z$55-U$41:U$55))-INDEX(Balancing!$R$4:$R$27,U$3)</f>
        <v>104</v>
      </c>
      <c r="V67" s="169">
        <f t="array" ref="V67">SUM(IF(V$41:V$55 = 0,0,$Z$41:$Z$55-V$41:V$55))-INDEX(Balancing!$R$4:$R$27,V$3)</f>
        <v>160</v>
      </c>
      <c r="W67" s="169">
        <f t="array" ref="W67">SUM(IF(W$41:W$55 = 0,0,$Z$41:$Z$55-W$41:W$55))-INDEX(Balancing!$R$4:$R$27,W$3)</f>
        <v>178</v>
      </c>
      <c r="X67" s="169">
        <f t="array" ref="X67">SUM(IF(X$41:X$55 = 0,0,$Z$41:$Z$55-X$41:X$55))-INDEX(Balancing!$R$4:$R$27,X$3)</f>
        <v>188</v>
      </c>
      <c r="Y67" s="170">
        <f t="array" ref="Y67">SUM(IF(Y$41:Y$55 = 0,0,$Z$41:$Z$55-Y$41:Y$55))-INDEX(Balancing!$R$4:$R$27,Y$3)</f>
        <v>180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41</v>
      </c>
      <c r="C69" s="171">
        <f t="shared" si="15"/>
        <v>39</v>
      </c>
      <c r="D69" s="171">
        <f t="shared" si="15"/>
        <v>39</v>
      </c>
      <c r="E69" s="171">
        <f t="shared" si="15"/>
        <v>39</v>
      </c>
      <c r="F69" s="171">
        <f t="shared" si="15"/>
        <v>40</v>
      </c>
      <c r="G69" s="171">
        <f t="shared" si="15"/>
        <v>44</v>
      </c>
      <c r="H69" s="171" t="str">
        <f t="shared" ref="H69:X69" si="16">IF(H67&lt;0.07*I4,"err",ROUND(I4*0.07,0))</f>
        <v>err</v>
      </c>
      <c r="I69" s="171">
        <f t="shared" si="16"/>
        <v>55</v>
      </c>
      <c r="J69" s="171">
        <f t="shared" si="16"/>
        <v>56</v>
      </c>
      <c r="K69" s="171">
        <f t="shared" si="16"/>
        <v>56</v>
      </c>
      <c r="L69" s="171">
        <f t="shared" si="16"/>
        <v>56</v>
      </c>
      <c r="M69" s="171">
        <f t="shared" si="16"/>
        <v>55</v>
      </c>
      <c r="N69" s="171">
        <f t="shared" si="16"/>
        <v>55</v>
      </c>
      <c r="O69" s="171">
        <f t="shared" si="16"/>
        <v>54</v>
      </c>
      <c r="P69" s="171">
        <f t="shared" si="16"/>
        <v>53</v>
      </c>
      <c r="Q69" s="171">
        <f t="shared" si="16"/>
        <v>52</v>
      </c>
      <c r="R69" s="171">
        <f t="shared" si="16"/>
        <v>54</v>
      </c>
      <c r="S69" s="171">
        <f t="shared" si="16"/>
        <v>60</v>
      </c>
      <c r="T69" s="171">
        <f t="shared" si="16"/>
        <v>60</v>
      </c>
      <c r="U69" s="171">
        <f t="shared" si="16"/>
        <v>59</v>
      </c>
      <c r="V69" s="171">
        <f t="shared" si="16"/>
        <v>56</v>
      </c>
      <c r="W69" s="171">
        <f t="shared" si="16"/>
        <v>52</v>
      </c>
      <c r="X69" s="171">
        <f t="shared" si="16"/>
        <v>48</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85</v>
      </c>
      <c r="C78" s="462">
        <f t="shared" ca="1" si="17"/>
        <v>65</v>
      </c>
      <c r="D78" s="462">
        <f t="shared" ca="1" si="17"/>
        <v>65</v>
      </c>
      <c r="E78" s="462">
        <f ca="1">(E22+E25+E29)</f>
        <v>65</v>
      </c>
      <c r="F78" s="462">
        <f t="shared" ca="1" si="17"/>
        <v>75</v>
      </c>
      <c r="G78" s="462">
        <f ca="1">(G22+G25+G29)</f>
        <v>75</v>
      </c>
      <c r="H78" s="462">
        <f ca="1">(H22+H25+H29)</f>
        <v>110</v>
      </c>
      <c r="I78" s="462">
        <f ca="1">(I22+I25+I29)</f>
        <v>185</v>
      </c>
      <c r="J78" s="462">
        <f ca="1">(J22+J25+J29)</f>
        <v>205</v>
      </c>
      <c r="K78" s="462">
        <f t="shared" ca="1" si="17"/>
        <v>205</v>
      </c>
      <c r="L78" s="462">
        <f t="shared" ca="1" si="17"/>
        <v>205</v>
      </c>
      <c r="M78" s="462">
        <f t="shared" ca="1" si="17"/>
        <v>205</v>
      </c>
      <c r="N78" s="462">
        <f t="shared" ca="1" si="17"/>
        <v>205</v>
      </c>
      <c r="O78" s="462">
        <f t="shared" ca="1" si="17"/>
        <v>205</v>
      </c>
      <c r="P78" s="462">
        <f t="shared" ca="1" si="17"/>
        <v>205</v>
      </c>
      <c r="Q78" s="462">
        <f t="shared" ca="1" si="17"/>
        <v>205</v>
      </c>
      <c r="R78" s="462">
        <f t="shared" ca="1" si="17"/>
        <v>205</v>
      </c>
      <c r="S78" s="462">
        <f t="shared" ca="1" si="17"/>
        <v>205</v>
      </c>
      <c r="T78" s="462">
        <f t="shared" ca="1" si="17"/>
        <v>230</v>
      </c>
      <c r="U78" s="462">
        <f t="shared" ca="1" si="17"/>
        <v>230</v>
      </c>
      <c r="V78" s="462">
        <f t="shared" ca="1" si="17"/>
        <v>215</v>
      </c>
      <c r="W78" s="462">
        <f t="shared" ca="1" si="17"/>
        <v>215</v>
      </c>
      <c r="X78" s="462">
        <f t="shared" ca="1" si="17"/>
        <v>200</v>
      </c>
      <c r="Y78" s="462">
        <f t="shared" ca="1" si="17"/>
        <v>120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Deals!AD117</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3985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208133.39413644024</v>
      </c>
    </row>
    <row r="87" spans="1:27" x14ac:dyDescent="0.25">
      <c r="X87" s="223"/>
      <c r="Y87" s="224" t="s">
        <v>163</v>
      </c>
      <c r="Z87" s="255">
        <f ca="1">SUM(Z90,Z93,Z96,Z99,Z102,Z107,Z112,Z117,Z122,Z127,Z132,Z137,Z142,Z147,Z152,Z157,Z162)</f>
        <v>246247.74211917119</v>
      </c>
    </row>
    <row r="88" spans="1:27" ht="13.8" thickBot="1" x14ac:dyDescent="0.3">
      <c r="A88" s="173" t="s">
        <v>164</v>
      </c>
      <c r="X88" s="225"/>
      <c r="Y88" s="226" t="s">
        <v>165</v>
      </c>
      <c r="Z88" s="256">
        <f ca="1">Z86-Z87</f>
        <v>-38114.347982730949</v>
      </c>
    </row>
    <row r="89" spans="1:27" x14ac:dyDescent="0.25">
      <c r="A89" s="227" t="str">
        <f>Economics!A28</f>
        <v>4 Corners Unit 4</v>
      </c>
      <c r="B89" s="228">
        <f t="shared" ref="B89:Y89" si="18">B56</f>
        <v>51</v>
      </c>
      <c r="C89" s="228">
        <f t="shared" si="18"/>
        <v>22</v>
      </c>
      <c r="D89" s="228">
        <f t="shared" si="18"/>
        <v>2</v>
      </c>
      <c r="E89" s="228">
        <f>E56</f>
        <v>2</v>
      </c>
      <c r="F89" s="228">
        <f t="shared" si="18"/>
        <v>2</v>
      </c>
      <c r="G89" s="228">
        <f t="shared" si="18"/>
        <v>52</v>
      </c>
      <c r="H89" s="228">
        <f t="shared" si="18"/>
        <v>52</v>
      </c>
      <c r="I89" s="228">
        <f t="shared" si="18"/>
        <v>52</v>
      </c>
      <c r="J89" s="228">
        <f t="shared" si="18"/>
        <v>52</v>
      </c>
      <c r="K89" s="228">
        <f t="shared" si="18"/>
        <v>52</v>
      </c>
      <c r="L89" s="228">
        <f t="shared" si="18"/>
        <v>51</v>
      </c>
      <c r="M89" s="228">
        <f>M57</f>
        <v>0</v>
      </c>
      <c r="N89" s="228">
        <f t="shared" si="18"/>
        <v>52</v>
      </c>
      <c r="O89" s="228">
        <f t="shared" si="18"/>
        <v>52</v>
      </c>
      <c r="P89" s="228">
        <f t="shared" si="18"/>
        <v>51</v>
      </c>
      <c r="Q89" s="228">
        <f t="shared" si="18"/>
        <v>52</v>
      </c>
      <c r="R89" s="228">
        <f t="shared" si="18"/>
        <v>51</v>
      </c>
      <c r="S89" s="228">
        <f t="shared" si="18"/>
        <v>52</v>
      </c>
      <c r="T89" s="228">
        <f t="shared" si="18"/>
        <v>52</v>
      </c>
      <c r="U89" s="228">
        <f t="shared" si="18"/>
        <v>52</v>
      </c>
      <c r="V89" s="228">
        <f t="shared" si="18"/>
        <v>53</v>
      </c>
      <c r="W89" s="228">
        <f t="shared" si="18"/>
        <v>90</v>
      </c>
      <c r="X89" s="228">
        <f t="shared" si="18"/>
        <v>52</v>
      </c>
      <c r="Y89" s="228">
        <f t="shared" si="18"/>
        <v>52</v>
      </c>
      <c r="Z89" s="257">
        <f t="array" ref="Z89">SUM(B89:Y89*Economics!F$28)</f>
        <v>13741.698880000005</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52</v>
      </c>
      <c r="C91" s="206">
        <f t="shared" si="19"/>
        <v>30</v>
      </c>
      <c r="D91" s="206">
        <f t="shared" si="19"/>
        <v>0</v>
      </c>
      <c r="E91" s="206">
        <f t="shared" si="19"/>
        <v>0</v>
      </c>
      <c r="F91" s="206">
        <f t="shared" si="19"/>
        <v>0</v>
      </c>
      <c r="G91" s="206">
        <f t="shared" si="19"/>
        <v>-50</v>
      </c>
      <c r="H91" s="206">
        <f t="shared" si="19"/>
        <v>0</v>
      </c>
      <c r="I91" s="206">
        <f t="shared" si="19"/>
        <v>0</v>
      </c>
      <c r="J91" s="206">
        <f t="shared" si="19"/>
        <v>0</v>
      </c>
      <c r="K91" s="206">
        <f t="shared" si="19"/>
        <v>0</v>
      </c>
      <c r="L91" s="206">
        <f t="shared" si="19"/>
        <v>52</v>
      </c>
      <c r="M91" s="206">
        <f t="shared" si="19"/>
        <v>103</v>
      </c>
      <c r="N91" s="206">
        <f t="shared" si="19"/>
        <v>51</v>
      </c>
      <c r="O91" s="206">
        <f t="shared" si="19"/>
        <v>51</v>
      </c>
      <c r="P91" s="206">
        <f t="shared" si="19"/>
        <v>52</v>
      </c>
      <c r="Q91" s="206">
        <f t="shared" si="19"/>
        <v>51</v>
      </c>
      <c r="R91" s="206">
        <f t="shared" si="19"/>
        <v>52</v>
      </c>
      <c r="S91" s="206">
        <f t="shared" si="19"/>
        <v>51</v>
      </c>
      <c r="T91" s="206">
        <f t="shared" si="19"/>
        <v>51</v>
      </c>
      <c r="U91" s="206">
        <f t="shared" si="19"/>
        <v>51</v>
      </c>
      <c r="V91" s="206">
        <f t="shared" si="19"/>
        <v>-1</v>
      </c>
      <c r="W91" s="206">
        <f t="shared" si="19"/>
        <v>-38</v>
      </c>
      <c r="X91" s="206">
        <f t="shared" si="19"/>
        <v>0</v>
      </c>
      <c r="Y91" s="206">
        <f t="shared" si="19"/>
        <v>0</v>
      </c>
      <c r="Z91" s="260">
        <f>Z89-Z90</f>
        <v>-7295.7830399999893</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201</v>
      </c>
      <c r="G95" s="181">
        <f t="shared" si="22"/>
        <v>202</v>
      </c>
      <c r="H95" s="181">
        <f t="shared" si="22"/>
        <v>201</v>
      </c>
      <c r="I95" s="181">
        <f t="shared" si="22"/>
        <v>201</v>
      </c>
      <c r="J95" s="181">
        <f t="shared" si="22"/>
        <v>201</v>
      </c>
      <c r="K95" s="181">
        <f t="shared" si="22"/>
        <v>201</v>
      </c>
      <c r="L95" s="181">
        <f t="shared" si="22"/>
        <v>201</v>
      </c>
      <c r="M95" s="181">
        <f t="shared" si="22"/>
        <v>201</v>
      </c>
      <c r="N95" s="181">
        <f t="shared" si="22"/>
        <v>200</v>
      </c>
      <c r="O95" s="181">
        <f t="shared" si="22"/>
        <v>200</v>
      </c>
      <c r="P95" s="181">
        <f t="shared" si="22"/>
        <v>200</v>
      </c>
      <c r="Q95" s="181">
        <f t="shared" si="22"/>
        <v>200</v>
      </c>
      <c r="R95" s="181">
        <f t="shared" si="22"/>
        <v>201</v>
      </c>
      <c r="S95" s="181">
        <f t="shared" si="22"/>
        <v>201</v>
      </c>
      <c r="T95" s="181">
        <f t="shared" si="22"/>
        <v>200</v>
      </c>
      <c r="U95" s="181">
        <f t="shared" si="22"/>
        <v>200</v>
      </c>
      <c r="V95" s="181">
        <f t="shared" si="22"/>
        <v>201</v>
      </c>
      <c r="W95" s="181">
        <f t="shared" si="22"/>
        <v>200</v>
      </c>
      <c r="X95" s="181">
        <f t="shared" si="22"/>
        <v>201</v>
      </c>
      <c r="Y95" s="181">
        <f t="shared" si="22"/>
        <v>201</v>
      </c>
      <c r="Z95" s="259">
        <f t="array" ref="Z95">SUM(B95:Y95*Economics!F$30)</f>
        <v>29370.527999999998</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-1</v>
      </c>
      <c r="G97" s="206">
        <f t="shared" si="23"/>
        <v>-2</v>
      </c>
      <c r="H97" s="206">
        <f t="shared" si="23"/>
        <v>-1</v>
      </c>
      <c r="I97" s="206">
        <f t="shared" si="23"/>
        <v>-1</v>
      </c>
      <c r="J97" s="206">
        <f t="shared" si="23"/>
        <v>-1</v>
      </c>
      <c r="K97" s="206">
        <f t="shared" si="23"/>
        <v>-1</v>
      </c>
      <c r="L97" s="206">
        <f t="shared" si="23"/>
        <v>-1</v>
      </c>
      <c r="M97" s="206">
        <f t="shared" si="23"/>
        <v>-1</v>
      </c>
      <c r="N97" s="206">
        <f t="shared" si="23"/>
        <v>0</v>
      </c>
      <c r="O97" s="206">
        <f t="shared" si="23"/>
        <v>0</v>
      </c>
      <c r="P97" s="206">
        <f t="shared" si="23"/>
        <v>0</v>
      </c>
      <c r="Q97" s="206">
        <f t="shared" si="23"/>
        <v>0</v>
      </c>
      <c r="R97" s="206">
        <f t="shared" si="23"/>
        <v>-1</v>
      </c>
      <c r="S97" s="206">
        <f t="shared" si="23"/>
        <v>-1</v>
      </c>
      <c r="T97" s="206">
        <f t="shared" si="23"/>
        <v>0</v>
      </c>
      <c r="U97" s="206">
        <f t="shared" si="23"/>
        <v>0</v>
      </c>
      <c r="V97" s="206">
        <f t="shared" si="23"/>
        <v>-1</v>
      </c>
      <c r="W97" s="206">
        <f t="shared" si="23"/>
        <v>0</v>
      </c>
      <c r="X97" s="206">
        <f t="shared" si="23"/>
        <v>-1</v>
      </c>
      <c r="Y97" s="206">
        <f t="shared" si="23"/>
        <v>-1</v>
      </c>
      <c r="Z97" s="260">
        <f>Z95-Z96</f>
        <v>109.72799999998824</v>
      </c>
    </row>
    <row r="98" spans="1:29" x14ac:dyDescent="0.25">
      <c r="A98" s="183" t="str">
        <f>Economics!A31</f>
        <v>PV Unit 2</v>
      </c>
      <c r="B98" s="181">
        <f t="shared" ref="B98:Y98" si="24">B54</f>
        <v>201</v>
      </c>
      <c r="C98" s="181">
        <f t="shared" si="24"/>
        <v>201</v>
      </c>
      <c r="D98" s="181">
        <f t="shared" si="24"/>
        <v>201</v>
      </c>
      <c r="E98" s="181">
        <f>E54</f>
        <v>201</v>
      </c>
      <c r="F98" s="181">
        <f t="shared" si="24"/>
        <v>201</v>
      </c>
      <c r="G98" s="181">
        <f t="shared" si="24"/>
        <v>202</v>
      </c>
      <c r="H98" s="181">
        <f t="shared" si="24"/>
        <v>201</v>
      </c>
      <c r="I98" s="181">
        <f t="shared" si="24"/>
        <v>201</v>
      </c>
      <c r="J98" s="181">
        <f t="shared" si="24"/>
        <v>201</v>
      </c>
      <c r="K98" s="181">
        <f t="shared" si="24"/>
        <v>201</v>
      </c>
      <c r="L98" s="181">
        <f t="shared" si="24"/>
        <v>201</v>
      </c>
      <c r="M98" s="181">
        <f t="shared" si="24"/>
        <v>201</v>
      </c>
      <c r="N98" s="181">
        <f t="shared" si="24"/>
        <v>200</v>
      </c>
      <c r="O98" s="181">
        <f t="shared" si="24"/>
        <v>200</v>
      </c>
      <c r="P98" s="181">
        <f t="shared" si="24"/>
        <v>200</v>
      </c>
      <c r="Q98" s="181">
        <f t="shared" si="24"/>
        <v>200</v>
      </c>
      <c r="R98" s="181">
        <f t="shared" si="24"/>
        <v>201</v>
      </c>
      <c r="S98" s="181">
        <f t="shared" si="24"/>
        <v>201</v>
      </c>
      <c r="T98" s="181">
        <f t="shared" si="24"/>
        <v>200</v>
      </c>
      <c r="U98" s="181">
        <f t="shared" si="24"/>
        <v>200</v>
      </c>
      <c r="V98" s="181">
        <f t="shared" si="24"/>
        <v>201</v>
      </c>
      <c r="W98" s="181">
        <f t="shared" si="24"/>
        <v>200</v>
      </c>
      <c r="X98" s="181">
        <f t="shared" si="24"/>
        <v>201</v>
      </c>
      <c r="Y98" s="181">
        <f t="shared" si="24"/>
        <v>201</v>
      </c>
      <c r="Z98" s="259">
        <f t="array" ref="Z98">SUM(B98:Y98*Economics!F$31)</f>
        <v>29370.527999999998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-6</v>
      </c>
      <c r="G100" s="206">
        <f t="shared" si="25"/>
        <v>-7</v>
      </c>
      <c r="H100" s="206">
        <f t="shared" si="25"/>
        <v>-6</v>
      </c>
      <c r="I100" s="206">
        <f t="shared" si="25"/>
        <v>-6</v>
      </c>
      <c r="J100" s="206">
        <f t="shared" si="25"/>
        <v>-6</v>
      </c>
      <c r="K100" s="206">
        <f t="shared" si="25"/>
        <v>-6</v>
      </c>
      <c r="L100" s="206">
        <f t="shared" si="25"/>
        <v>-6</v>
      </c>
      <c r="M100" s="206">
        <f t="shared" si="25"/>
        <v>-6</v>
      </c>
      <c r="N100" s="206">
        <f t="shared" si="25"/>
        <v>-5</v>
      </c>
      <c r="O100" s="206">
        <f t="shared" si="25"/>
        <v>-5</v>
      </c>
      <c r="P100" s="206">
        <f t="shared" si="25"/>
        <v>-5</v>
      </c>
      <c r="Q100" s="206">
        <f t="shared" si="25"/>
        <v>-5</v>
      </c>
      <c r="R100" s="206">
        <f t="shared" si="25"/>
        <v>-6</v>
      </c>
      <c r="S100" s="206">
        <f t="shared" si="25"/>
        <v>-6</v>
      </c>
      <c r="T100" s="206">
        <f t="shared" si="25"/>
        <v>-5</v>
      </c>
      <c r="U100" s="206">
        <f t="shared" si="25"/>
        <v>-5</v>
      </c>
      <c r="V100" s="206">
        <f t="shared" si="25"/>
        <v>-6</v>
      </c>
      <c r="W100" s="206">
        <f t="shared" si="25"/>
        <v>-5</v>
      </c>
      <c r="X100" s="206">
        <f t="shared" si="25"/>
        <v>-6</v>
      </c>
      <c r="Y100" s="206">
        <f t="shared" si="25"/>
        <v>-6</v>
      </c>
      <c r="Z100" s="260">
        <f>Z98-Z99</f>
        <v>865.63199999999051</v>
      </c>
    </row>
    <row r="101" spans="1:29" x14ac:dyDescent="0.25">
      <c r="A101" s="183" t="str">
        <f>Economics!A32</f>
        <v>PV Unit 3</v>
      </c>
      <c r="B101" s="181">
        <f t="shared" ref="B101:Y101" si="26">B55</f>
        <v>201</v>
      </c>
      <c r="C101" s="181">
        <f t="shared" si="26"/>
        <v>201</v>
      </c>
      <c r="D101" s="181">
        <f t="shared" si="26"/>
        <v>201</v>
      </c>
      <c r="E101" s="181">
        <f>E55</f>
        <v>201</v>
      </c>
      <c r="F101" s="181">
        <f t="shared" si="26"/>
        <v>201</v>
      </c>
      <c r="G101" s="181">
        <f t="shared" si="26"/>
        <v>202</v>
      </c>
      <c r="H101" s="181">
        <f t="shared" si="26"/>
        <v>201</v>
      </c>
      <c r="I101" s="181">
        <f t="shared" si="26"/>
        <v>201</v>
      </c>
      <c r="J101" s="181">
        <f t="shared" si="26"/>
        <v>201</v>
      </c>
      <c r="K101" s="181">
        <f t="shared" si="26"/>
        <v>201</v>
      </c>
      <c r="L101" s="181">
        <f t="shared" si="26"/>
        <v>201</v>
      </c>
      <c r="M101" s="181">
        <f t="shared" si="26"/>
        <v>201</v>
      </c>
      <c r="N101" s="181">
        <f t="shared" si="26"/>
        <v>200</v>
      </c>
      <c r="O101" s="181">
        <f t="shared" si="26"/>
        <v>200</v>
      </c>
      <c r="P101" s="181">
        <f t="shared" si="26"/>
        <v>200</v>
      </c>
      <c r="Q101" s="181">
        <f t="shared" si="26"/>
        <v>200</v>
      </c>
      <c r="R101" s="181">
        <f t="shared" si="26"/>
        <v>201</v>
      </c>
      <c r="S101" s="181">
        <f t="shared" si="26"/>
        <v>201</v>
      </c>
      <c r="T101" s="181">
        <f t="shared" si="26"/>
        <v>200</v>
      </c>
      <c r="U101" s="181">
        <f t="shared" si="26"/>
        <v>200</v>
      </c>
      <c r="V101" s="181">
        <f t="shared" si="26"/>
        <v>201</v>
      </c>
      <c r="W101" s="181">
        <f t="shared" si="26"/>
        <v>200</v>
      </c>
      <c r="X101" s="181">
        <f t="shared" si="26"/>
        <v>201</v>
      </c>
      <c r="Y101" s="181">
        <f t="shared" si="26"/>
        <v>201</v>
      </c>
      <c r="Z101" s="259">
        <f t="array" ref="Z101">SUM(B101:Y101*Economics!F$32)</f>
        <v>29370.527999999998</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-1</v>
      </c>
      <c r="G103" s="206">
        <f t="shared" si="27"/>
        <v>-2</v>
      </c>
      <c r="H103" s="206">
        <f t="shared" si="27"/>
        <v>-1</v>
      </c>
      <c r="I103" s="206">
        <f t="shared" si="27"/>
        <v>-1</v>
      </c>
      <c r="J103" s="206">
        <f t="shared" si="27"/>
        <v>-1</v>
      </c>
      <c r="K103" s="206">
        <f t="shared" si="27"/>
        <v>-1</v>
      </c>
      <c r="L103" s="206">
        <f t="shared" si="27"/>
        <v>-1</v>
      </c>
      <c r="M103" s="206">
        <f t="shared" si="27"/>
        <v>-1</v>
      </c>
      <c r="N103" s="206">
        <f t="shared" si="27"/>
        <v>0</v>
      </c>
      <c r="O103" s="206">
        <f t="shared" si="27"/>
        <v>0</v>
      </c>
      <c r="P103" s="206">
        <f t="shared" si="27"/>
        <v>0</v>
      </c>
      <c r="Q103" s="206">
        <f t="shared" si="27"/>
        <v>0</v>
      </c>
      <c r="R103" s="206">
        <f t="shared" si="27"/>
        <v>-1</v>
      </c>
      <c r="S103" s="206">
        <f t="shared" si="27"/>
        <v>-1</v>
      </c>
      <c r="T103" s="206">
        <f t="shared" si="27"/>
        <v>0</v>
      </c>
      <c r="U103" s="206">
        <f t="shared" si="27"/>
        <v>0</v>
      </c>
      <c r="V103" s="206">
        <f t="shared" si="27"/>
        <v>-1</v>
      </c>
      <c r="W103" s="206">
        <f t="shared" si="27"/>
        <v>0</v>
      </c>
      <c r="X103" s="206">
        <f t="shared" si="27"/>
        <v>-1</v>
      </c>
      <c r="Y103" s="206">
        <f t="shared" si="27"/>
        <v>-1</v>
      </c>
      <c r="Z103" s="260">
        <f>Z101-Z102</f>
        <v>109.72799999998824</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31</v>
      </c>
      <c r="C109" s="181">
        <f t="shared" ref="C109:Y109" si="32">C42</f>
        <v>31</v>
      </c>
      <c r="D109" s="181">
        <f t="shared" si="32"/>
        <v>31</v>
      </c>
      <c r="E109" s="181">
        <f>E42</f>
        <v>31</v>
      </c>
      <c r="F109" s="181">
        <f t="shared" si="32"/>
        <v>30</v>
      </c>
      <c r="G109" s="181">
        <f t="shared" si="32"/>
        <v>36</v>
      </c>
      <c r="H109" s="181">
        <f t="shared" si="32"/>
        <v>73</v>
      </c>
      <c r="I109" s="181">
        <f>I42</f>
        <v>52</v>
      </c>
      <c r="J109" s="181">
        <f t="shared" si="32"/>
        <v>36</v>
      </c>
      <c r="K109" s="181">
        <f t="shared" si="32"/>
        <v>34</v>
      </c>
      <c r="L109" s="181">
        <f t="shared" si="32"/>
        <v>34</v>
      </c>
      <c r="M109" s="181">
        <f t="shared" si="32"/>
        <v>35</v>
      </c>
      <c r="N109" s="181">
        <f t="shared" si="32"/>
        <v>34</v>
      </c>
      <c r="O109" s="181">
        <f t="shared" si="32"/>
        <v>34</v>
      </c>
      <c r="P109" s="181">
        <f t="shared" si="32"/>
        <v>34</v>
      </c>
      <c r="Q109" s="181">
        <f t="shared" si="32"/>
        <v>34</v>
      </c>
      <c r="R109" s="181">
        <f t="shared" si="32"/>
        <v>39</v>
      </c>
      <c r="S109" s="181">
        <f t="shared" si="32"/>
        <v>36</v>
      </c>
      <c r="T109" s="181">
        <f t="shared" si="32"/>
        <v>50</v>
      </c>
      <c r="U109" s="181">
        <f t="shared" si="32"/>
        <v>35</v>
      </c>
      <c r="V109" s="181">
        <f t="shared" si="32"/>
        <v>37</v>
      </c>
      <c r="W109" s="181">
        <f t="shared" si="32"/>
        <v>36</v>
      </c>
      <c r="X109" s="181">
        <f t="shared" si="32"/>
        <v>35</v>
      </c>
      <c r="Y109" s="181">
        <f t="shared" si="32"/>
        <v>34</v>
      </c>
      <c r="Z109" s="219">
        <f>SUM(B109:Y109)</f>
        <v>892</v>
      </c>
      <c r="AA109" s="318" t="s">
        <v>170</v>
      </c>
    </row>
    <row r="110" spans="1:29" x14ac:dyDescent="0.25">
      <c r="A110" s="185">
        <f>Economics!$I35</f>
        <v>1.96</v>
      </c>
      <c r="B110" s="189">
        <f t="shared" ref="B110:Y110" ca="1" si="33">IndGencost(B109,OFFSET(HeatRateStart,1,MATCH($A109,HeatRateNames,0)-1,250,1),$A110)</f>
        <v>21.59118971054631</v>
      </c>
      <c r="C110" s="189">
        <f t="shared" ca="1" si="33"/>
        <v>21.59118971054631</v>
      </c>
      <c r="D110" s="189">
        <f t="shared" ca="1" si="33"/>
        <v>21.59118971054631</v>
      </c>
      <c r="E110" s="189">
        <f ca="1">IndGencost(E109,OFFSET(HeatRateStart,1,MATCH($A109,HeatRateNames,0)-1,250,1),$A110)</f>
        <v>21.59118971054631</v>
      </c>
      <c r="F110" s="189">
        <f t="shared" ca="1" si="33"/>
        <v>21.68217375532786</v>
      </c>
      <c r="G110" s="189">
        <f t="shared" ca="1" si="33"/>
        <v>21.220746190791662</v>
      </c>
      <c r="H110" s="189">
        <f t="shared" ca="1" si="33"/>
        <v>20.277776449455629</v>
      </c>
      <c r="I110" s="189">
        <f t="shared" ca="1" si="33"/>
        <v>20.5811764005661</v>
      </c>
      <c r="J110" s="189">
        <f t="shared" ca="1" si="33"/>
        <v>21.220746190791662</v>
      </c>
      <c r="K110" s="189">
        <f t="shared" ca="1" si="33"/>
        <v>21.354015945019448</v>
      </c>
      <c r="L110" s="189">
        <f t="shared" ca="1" si="33"/>
        <v>21.354015945019448</v>
      </c>
      <c r="M110" s="189">
        <f t="shared" ca="1" si="33"/>
        <v>21.285180414267952</v>
      </c>
      <c r="N110" s="189">
        <f t="shared" ca="1" si="33"/>
        <v>21.354015945019448</v>
      </c>
      <c r="O110" s="189">
        <f t="shared" ca="1" si="33"/>
        <v>21.354015945019448</v>
      </c>
      <c r="P110" s="189">
        <f t="shared" ca="1" si="33"/>
        <v>21.354015945019448</v>
      </c>
      <c r="Q110" s="189">
        <f t="shared" ca="1" si="33"/>
        <v>21.354015945019448</v>
      </c>
      <c r="R110" s="189">
        <f t="shared" ca="1" si="33"/>
        <v>21.050465743033094</v>
      </c>
      <c r="S110" s="189">
        <f t="shared" ca="1" si="33"/>
        <v>21.220746190791662</v>
      </c>
      <c r="T110" s="189">
        <f t="shared" ca="1" si="33"/>
        <v>20.632920401573184</v>
      </c>
      <c r="U110" s="189">
        <f t="shared" ca="1" si="33"/>
        <v>21.285180414267952</v>
      </c>
      <c r="V110" s="189">
        <f t="shared" ca="1" si="33"/>
        <v>21.160356411838535</v>
      </c>
      <c r="W110" s="189">
        <f t="shared" ca="1" si="33"/>
        <v>21.220746190791662</v>
      </c>
      <c r="X110" s="189">
        <f t="shared" ca="1" si="33"/>
        <v>21.285180414267952</v>
      </c>
      <c r="Y110" s="189">
        <f t="shared" ca="1" si="33"/>
        <v>21.354015945019448</v>
      </c>
      <c r="Z110" s="259">
        <f t="array" aca="1" ref="Z110" ca="1">SUM(B109:Y109*B110:Y110)</f>
        <v>18886.806151589011</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v>
      </c>
      <c r="C113" s="188">
        <f t="shared" ca="1" si="35"/>
        <v>0</v>
      </c>
      <c r="D113" s="188">
        <f t="shared" ca="1" si="35"/>
        <v>0</v>
      </c>
      <c r="E113" s="188">
        <f t="shared" ca="1" si="35"/>
        <v>0</v>
      </c>
      <c r="F113" s="188">
        <f t="shared" ca="1" si="35"/>
        <v>-9.0984044781549755E-2</v>
      </c>
      <c r="G113" s="188">
        <f t="shared" ca="1" si="35"/>
        <v>0.37044351975464807</v>
      </c>
      <c r="H113" s="188">
        <f t="shared" ca="1" si="35"/>
        <v>1.3134132610906804</v>
      </c>
      <c r="I113" s="188">
        <f t="shared" ca="1" si="35"/>
        <v>1.0100133099802093</v>
      </c>
      <c r="J113" s="188">
        <f t="shared" ca="1" si="35"/>
        <v>0.37044351975464807</v>
      </c>
      <c r="K113" s="188">
        <f t="shared" ca="1" si="35"/>
        <v>0.23717376552686176</v>
      </c>
      <c r="L113" s="188">
        <f t="shared" ca="1" si="35"/>
        <v>0.23717376552686176</v>
      </c>
      <c r="M113" s="188">
        <f t="shared" ca="1" si="35"/>
        <v>0.30600929627835782</v>
      </c>
      <c r="N113" s="188">
        <f t="shared" ca="1" si="35"/>
        <v>0.23717376552686176</v>
      </c>
      <c r="O113" s="188">
        <f t="shared" ca="1" si="35"/>
        <v>0.23717376552686176</v>
      </c>
      <c r="P113" s="188">
        <f t="shared" ca="1" si="35"/>
        <v>0.23717376552686176</v>
      </c>
      <c r="Q113" s="188">
        <f t="shared" ca="1" si="35"/>
        <v>0.23717376552686176</v>
      </c>
      <c r="R113" s="188">
        <f t="shared" ca="1" si="35"/>
        <v>0.54072396751321605</v>
      </c>
      <c r="S113" s="188">
        <f t="shared" ca="1" si="35"/>
        <v>0.37044351975464807</v>
      </c>
      <c r="T113" s="188">
        <f t="shared" ca="1" si="35"/>
        <v>0.95826930897312579</v>
      </c>
      <c r="U113" s="188">
        <f t="shared" ca="1" si="35"/>
        <v>0.30600929627835782</v>
      </c>
      <c r="V113" s="188">
        <f t="shared" ca="1" si="35"/>
        <v>0.43083329870777476</v>
      </c>
      <c r="W113" s="188">
        <f t="shared" ca="1" si="35"/>
        <v>0.37044351975464807</v>
      </c>
      <c r="X113" s="188">
        <f t="shared" ca="1" si="35"/>
        <v>0.30600929627835782</v>
      </c>
      <c r="Y113" s="188">
        <f t="shared" ca="1" si="35"/>
        <v>0.23717376552686176</v>
      </c>
      <c r="Z113" s="260">
        <f ca="1">Z110-Z112</f>
        <v>2822.9610069425471</v>
      </c>
      <c r="AC113" s="174"/>
    </row>
    <row r="114" spans="1:29" x14ac:dyDescent="0.25">
      <c r="A114" s="183" t="str">
        <f>Economics!A36</f>
        <v>Newman 3</v>
      </c>
      <c r="B114" s="181">
        <f t="shared" ref="B114:Y114" si="36">B43</f>
        <v>44</v>
      </c>
      <c r="C114" s="181">
        <f t="shared" si="36"/>
        <v>54</v>
      </c>
      <c r="D114" s="181">
        <f t="shared" si="36"/>
        <v>68</v>
      </c>
      <c r="E114" s="181">
        <f>E43</f>
        <v>70</v>
      </c>
      <c r="F114" s="181">
        <f t="shared" si="36"/>
        <v>100</v>
      </c>
      <c r="G114" s="181">
        <f t="shared" si="36"/>
        <v>68</v>
      </c>
      <c r="H114" s="181">
        <f t="shared" si="36"/>
        <v>99</v>
      </c>
      <c r="I114" s="181">
        <f t="shared" si="36"/>
        <v>51</v>
      </c>
      <c r="J114" s="181">
        <f t="shared" si="36"/>
        <v>37</v>
      </c>
      <c r="K114" s="181">
        <f t="shared" si="36"/>
        <v>38</v>
      </c>
      <c r="L114" s="181">
        <f t="shared" si="36"/>
        <v>38</v>
      </c>
      <c r="M114" s="181">
        <f t="shared" si="36"/>
        <v>37</v>
      </c>
      <c r="N114" s="181">
        <f t="shared" si="36"/>
        <v>37</v>
      </c>
      <c r="O114" s="181">
        <f t="shared" si="36"/>
        <v>37</v>
      </c>
      <c r="P114" s="181">
        <f t="shared" si="36"/>
        <v>38</v>
      </c>
      <c r="Q114" s="181">
        <f t="shared" si="36"/>
        <v>37</v>
      </c>
      <c r="R114" s="181">
        <f t="shared" si="36"/>
        <v>37</v>
      </c>
      <c r="S114" s="181">
        <f t="shared" si="36"/>
        <v>37</v>
      </c>
      <c r="T114" s="181">
        <f t="shared" si="36"/>
        <v>37</v>
      </c>
      <c r="U114" s="181">
        <f t="shared" si="36"/>
        <v>38</v>
      </c>
      <c r="V114" s="181">
        <f t="shared" si="36"/>
        <v>35</v>
      </c>
      <c r="W114" s="181">
        <f t="shared" si="36"/>
        <v>38</v>
      </c>
      <c r="X114" s="181">
        <f t="shared" si="36"/>
        <v>38</v>
      </c>
      <c r="Y114" s="181">
        <f t="shared" si="36"/>
        <v>38</v>
      </c>
      <c r="Z114" s="219">
        <f>SUM(B114:Y114)</f>
        <v>1151</v>
      </c>
      <c r="AA114" s="318" t="s">
        <v>172</v>
      </c>
    </row>
    <row r="115" spans="1:29" x14ac:dyDescent="0.25">
      <c r="A115" s="185">
        <f>Economics!$I36</f>
        <v>1.96</v>
      </c>
      <c r="B115" s="189">
        <f t="shared" ref="B115:Y115" ca="1" si="37">IndGencost(B114,OFFSET(HeatRateStart,1,MATCH($A114,HeatRateNames,0)-1,250,1),$A115)</f>
        <v>20.854311314972964</v>
      </c>
      <c r="C115" s="189">
        <f t="shared" ca="1" si="37"/>
        <v>20.278668542826619</v>
      </c>
      <c r="D115" s="189">
        <f t="shared" ca="1" si="37"/>
        <v>19.883105092862071</v>
      </c>
      <c r="E115" s="189">
        <f ca="1">IndGencost(E114,OFFSET(HeatRateStart,1,MATCH($A114,HeatRateNames,0)-1,250,1),$A115)</f>
        <v>19.851160386357989</v>
      </c>
      <c r="F115" s="189">
        <f t="shared" ca="1" si="37"/>
        <v>19.769932384777071</v>
      </c>
      <c r="G115" s="189">
        <f t="shared" ca="1" si="37"/>
        <v>19.883105092862071</v>
      </c>
      <c r="H115" s="189">
        <f t="shared" ca="1" si="37"/>
        <v>19.764383010931688</v>
      </c>
      <c r="I115" s="189">
        <f t="shared" ca="1" si="37"/>
        <v>20.417166671883827</v>
      </c>
      <c r="J115" s="189">
        <f t="shared" ca="1" si="37"/>
        <v>21.524349608112029</v>
      </c>
      <c r="K115" s="189">
        <f t="shared" ca="1" si="37"/>
        <v>21.409493048266363</v>
      </c>
      <c r="L115" s="189">
        <f t="shared" ca="1" si="37"/>
        <v>21.409493048266363</v>
      </c>
      <c r="M115" s="189">
        <f t="shared" ca="1" si="37"/>
        <v>21.524349608112029</v>
      </c>
      <c r="N115" s="189">
        <f t="shared" ca="1" si="37"/>
        <v>21.524349608112029</v>
      </c>
      <c r="O115" s="189">
        <f t="shared" ca="1" si="37"/>
        <v>21.524349608112029</v>
      </c>
      <c r="P115" s="189">
        <f t="shared" ca="1" si="37"/>
        <v>21.409493048266363</v>
      </c>
      <c r="Q115" s="189">
        <f t="shared" ca="1" si="37"/>
        <v>21.524349608112029</v>
      </c>
      <c r="R115" s="189">
        <f t="shared" ca="1" si="37"/>
        <v>21.524349608112029</v>
      </c>
      <c r="S115" s="189">
        <f t="shared" ca="1" si="37"/>
        <v>21.524349608112029</v>
      </c>
      <c r="T115" s="189">
        <f t="shared" ca="1" si="37"/>
        <v>21.524349608112029</v>
      </c>
      <c r="U115" s="189">
        <f t="shared" ca="1" si="37"/>
        <v>21.409493048266363</v>
      </c>
      <c r="V115" s="189">
        <f t="shared" ca="1" si="37"/>
        <v>21.778120423861914</v>
      </c>
      <c r="W115" s="189">
        <f t="shared" ca="1" si="37"/>
        <v>21.409493048266363</v>
      </c>
      <c r="X115" s="189">
        <f t="shared" ca="1" si="37"/>
        <v>21.409493048266363</v>
      </c>
      <c r="Y115" s="189">
        <f t="shared" ca="1" si="37"/>
        <v>21.409493048266363</v>
      </c>
      <c r="Z115" s="259">
        <f t="array" aca="1" ref="Z115" ca="1">SUM(B114:Y114*B115:Y115)</f>
        <v>23909.630825346947</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-20.854311314972964</v>
      </c>
      <c r="C118" s="188">
        <f t="shared" ca="1" si="39"/>
        <v>-20.278668542826619</v>
      </c>
      <c r="D118" s="188">
        <f t="shared" ca="1" si="39"/>
        <v>-19.883105092862071</v>
      </c>
      <c r="E118" s="188">
        <f t="shared" ca="1" si="39"/>
        <v>-19.851160386357989</v>
      </c>
      <c r="F118" s="188">
        <f t="shared" ca="1" si="39"/>
        <v>-19.769932384777071</v>
      </c>
      <c r="G118" s="188">
        <f t="shared" ca="1" si="39"/>
        <v>-19.883105092862071</v>
      </c>
      <c r="H118" s="188">
        <f t="shared" ca="1" si="39"/>
        <v>-19.764383010931688</v>
      </c>
      <c r="I118" s="188">
        <f t="shared" ca="1" si="39"/>
        <v>-20.417166671883827</v>
      </c>
      <c r="J118" s="188">
        <f t="shared" ca="1" si="39"/>
        <v>-21.524349608112029</v>
      </c>
      <c r="K118" s="188">
        <f t="shared" ca="1" si="39"/>
        <v>-21.409493048266363</v>
      </c>
      <c r="L118" s="188">
        <f t="shared" ca="1" si="39"/>
        <v>-21.409493048266363</v>
      </c>
      <c r="M118" s="188">
        <f t="shared" ca="1" si="39"/>
        <v>-21.524349608112029</v>
      </c>
      <c r="N118" s="188">
        <f t="shared" ca="1" si="39"/>
        <v>-21.524349608112029</v>
      </c>
      <c r="O118" s="188">
        <f t="shared" ca="1" si="39"/>
        <v>-21.524349608112029</v>
      </c>
      <c r="P118" s="188">
        <f t="shared" ca="1" si="39"/>
        <v>-21.409493048266363</v>
      </c>
      <c r="Q118" s="188">
        <f t="shared" ca="1" si="39"/>
        <v>-21.524349608112029</v>
      </c>
      <c r="R118" s="188">
        <f t="shared" ca="1" si="39"/>
        <v>-21.524349608112029</v>
      </c>
      <c r="S118" s="188">
        <f t="shared" ca="1" si="39"/>
        <v>-21.524349608112029</v>
      </c>
      <c r="T118" s="188">
        <f t="shared" ca="1" si="39"/>
        <v>-21.524349608112029</v>
      </c>
      <c r="U118" s="188">
        <f t="shared" ca="1" si="39"/>
        <v>-21.409493048266363</v>
      </c>
      <c r="V118" s="188">
        <f t="shared" ca="1" si="39"/>
        <v>-21.778120423861914</v>
      </c>
      <c r="W118" s="188">
        <f t="shared" ca="1" si="39"/>
        <v>-21.409493048266363</v>
      </c>
      <c r="X118" s="188">
        <f t="shared" ca="1" si="39"/>
        <v>-21.409493048266363</v>
      </c>
      <c r="Y118" s="188">
        <f t="shared" ca="1" si="39"/>
        <v>-21.409493048266363</v>
      </c>
      <c r="Z118" s="260">
        <f ca="1">Z115-Z117</f>
        <v>23909.630825346947</v>
      </c>
    </row>
    <row r="119" spans="1:29" x14ac:dyDescent="0.25">
      <c r="A119" s="183" t="str">
        <f>Economics!A37</f>
        <v>GT 1</v>
      </c>
      <c r="B119" s="181">
        <f t="shared" ref="B119:Y119" si="40">B44</f>
        <v>21</v>
      </c>
      <c r="C119" s="181">
        <f t="shared" si="40"/>
        <v>21</v>
      </c>
      <c r="D119" s="181">
        <f t="shared" si="40"/>
        <v>21</v>
      </c>
      <c r="E119" s="181">
        <f>E44</f>
        <v>20</v>
      </c>
      <c r="F119" s="181">
        <f t="shared" si="40"/>
        <v>21</v>
      </c>
      <c r="G119" s="181">
        <f t="shared" si="40"/>
        <v>21</v>
      </c>
      <c r="H119" s="181">
        <f t="shared" si="40"/>
        <v>35</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160</v>
      </c>
      <c r="AA119" s="318" t="s">
        <v>174</v>
      </c>
    </row>
    <row r="120" spans="1:29" x14ac:dyDescent="0.25">
      <c r="A120" s="185">
        <f>Economics!$I37</f>
        <v>1.96</v>
      </c>
      <c r="B120" s="189">
        <f t="shared" ref="B120:Y120" ca="1" si="41">IndGencost(B119,OFFSET(HeatRateStart,1,MATCH($A119,HeatRateNames,0)-1,250,1),$A120)</f>
        <v>33.277313434334395</v>
      </c>
      <c r="C120" s="189">
        <f t="shared" ca="1" si="41"/>
        <v>33.277313434334395</v>
      </c>
      <c r="D120" s="189">
        <f t="shared" ca="1" si="41"/>
        <v>33.277313434334395</v>
      </c>
      <c r="E120" s="189">
        <f ca="1">IndGencost(E119,OFFSET(HeatRateStart,1,MATCH($A119,HeatRateNames,0)-1,250,1),$A120)</f>
        <v>33.930736660385129</v>
      </c>
      <c r="F120" s="189">
        <f t="shared" ca="1" si="41"/>
        <v>33.277313434334395</v>
      </c>
      <c r="G120" s="189">
        <f t="shared" ca="1" si="41"/>
        <v>33.277313434334395</v>
      </c>
      <c r="H120" s="189">
        <f t="shared" ca="1" si="41"/>
        <v>28.268628350184979</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5162.1346360692887</v>
      </c>
      <c r="AA120" s="318" t="s">
        <v>167</v>
      </c>
    </row>
    <row r="121" spans="1:29" x14ac:dyDescent="0.25">
      <c r="A121" s="184" t="s">
        <v>163</v>
      </c>
      <c r="B121" s="186">
        <f t="shared" ref="B121:Y121" si="42">B119</f>
        <v>21</v>
      </c>
      <c r="C121" s="186">
        <f t="shared" si="42"/>
        <v>21</v>
      </c>
      <c r="D121" s="186">
        <f t="shared" si="42"/>
        <v>21</v>
      </c>
      <c r="E121" s="186">
        <f t="shared" si="42"/>
        <v>20</v>
      </c>
      <c r="F121" s="186">
        <f t="shared" si="42"/>
        <v>21</v>
      </c>
      <c r="G121" s="186">
        <f t="shared" si="42"/>
        <v>21</v>
      </c>
      <c r="H121" s="186">
        <f t="shared" si="42"/>
        <v>35</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160</v>
      </c>
    </row>
    <row r="122" spans="1:29" x14ac:dyDescent="0.25">
      <c r="A122" s="182"/>
      <c r="B122" s="190">
        <f t="shared" ref="B122:Y122" ca="1" si="43">IndGencost(B121,OFFSET(HeatRateStart,1,MATCH($A119,HeatRateNames,0)-1,250,1),$A120)</f>
        <v>33.277313434334395</v>
      </c>
      <c r="C122" s="190">
        <f t="shared" ca="1" si="43"/>
        <v>33.277313434334395</v>
      </c>
      <c r="D122" s="190">
        <f t="shared" ca="1" si="43"/>
        <v>33.277313434334395</v>
      </c>
      <c r="E122" s="190">
        <f ca="1">IndGencost(E121,OFFSET(HeatRateStart,1,MATCH($A119,HeatRateNames,0)-1,250,1),$A120)</f>
        <v>33.930736660385129</v>
      </c>
      <c r="F122" s="190">
        <f t="shared" ca="1" si="43"/>
        <v>33.277313434334395</v>
      </c>
      <c r="G122" s="190">
        <f t="shared" ca="1" si="43"/>
        <v>33.277313434334395</v>
      </c>
      <c r="H122" s="190">
        <f t="shared" ca="1" si="43"/>
        <v>28.268628350184979</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5162.1346360692887</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25</v>
      </c>
      <c r="C124" s="181">
        <f t="shared" si="45"/>
        <v>25</v>
      </c>
      <c r="D124" s="181">
        <f t="shared" si="45"/>
        <v>25</v>
      </c>
      <c r="E124" s="181">
        <f>E45</f>
        <v>24</v>
      </c>
      <c r="F124" s="181">
        <f t="shared" si="45"/>
        <v>20</v>
      </c>
      <c r="G124" s="181">
        <f t="shared" si="45"/>
        <v>20</v>
      </c>
      <c r="H124" s="181">
        <f t="shared" si="45"/>
        <v>35</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174</v>
      </c>
      <c r="AA124" s="318" t="s">
        <v>174</v>
      </c>
    </row>
    <row r="125" spans="1:29" x14ac:dyDescent="0.25">
      <c r="A125" s="185">
        <f>Economics!$I38</f>
        <v>1.96</v>
      </c>
      <c r="B125" s="189">
        <f t="shared" ref="B125:Y125" ca="1" si="46">IndGencost(B124,OFFSET(HeatRateStart,1,MATCH($A124,HeatRateNames,0)-1,250,1),$A125)</f>
        <v>31.215519207539558</v>
      </c>
      <c r="C125" s="189">
        <f t="shared" ca="1" si="46"/>
        <v>31.215519207539558</v>
      </c>
      <c r="D125" s="189">
        <f t="shared" ca="1" si="46"/>
        <v>31.215519207539558</v>
      </c>
      <c r="E125" s="189">
        <f ca="1">IndGencost(E124,OFFSET(HeatRateStart,1,MATCH($A124,HeatRateNames,0)-1,250,1),$A125)</f>
        <v>31.661980429562252</v>
      </c>
      <c r="F125" s="189">
        <f t="shared" ca="1" si="46"/>
        <v>33.930736660385129</v>
      </c>
      <c r="G125" s="189">
        <f t="shared" ca="1" si="46"/>
        <v>33.930736660385129</v>
      </c>
      <c r="H125" s="189">
        <f t="shared" ca="1" si="46"/>
        <v>28.268628350184979</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5447.6829295468406</v>
      </c>
      <c r="AA125" s="318" t="s">
        <v>167</v>
      </c>
    </row>
    <row r="126" spans="1:29" x14ac:dyDescent="0.25">
      <c r="A126" s="184" t="s">
        <v>163</v>
      </c>
      <c r="B126" s="186">
        <f t="shared" ref="B126:Y126" si="47">B124</f>
        <v>25</v>
      </c>
      <c r="C126" s="186">
        <f t="shared" si="47"/>
        <v>25</v>
      </c>
      <c r="D126" s="186">
        <f t="shared" si="47"/>
        <v>25</v>
      </c>
      <c r="E126" s="186">
        <f t="shared" si="47"/>
        <v>24</v>
      </c>
      <c r="F126" s="186">
        <f t="shared" si="47"/>
        <v>20</v>
      </c>
      <c r="G126" s="186">
        <f t="shared" si="47"/>
        <v>20</v>
      </c>
      <c r="H126" s="186">
        <f t="shared" si="47"/>
        <v>35</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174</v>
      </c>
    </row>
    <row r="127" spans="1:29" x14ac:dyDescent="0.25">
      <c r="A127" s="182"/>
      <c r="B127" s="190">
        <f t="shared" ref="B127:Y127" ca="1" si="48">IndGencost(B126,OFFSET(HeatRateStart,1,MATCH($A124,HeatRateNames,0)-1,250,1),$A125)</f>
        <v>31.215519207539558</v>
      </c>
      <c r="C127" s="190">
        <f t="shared" ca="1" si="48"/>
        <v>31.215519207539558</v>
      </c>
      <c r="D127" s="190">
        <f t="shared" ca="1" si="48"/>
        <v>31.215519207539558</v>
      </c>
      <c r="E127" s="190">
        <f ca="1">IndGencost(E126,OFFSET(HeatRateStart,1,MATCH($A124,HeatRateNames,0)-1,250,1),$A125)</f>
        <v>31.661980429562252</v>
      </c>
      <c r="F127" s="190">
        <f t="shared" ca="1" si="48"/>
        <v>33.930736660385129</v>
      </c>
      <c r="G127" s="190">
        <f t="shared" ca="1" si="48"/>
        <v>33.930736660385129</v>
      </c>
      <c r="H127" s="190">
        <f t="shared" ca="1" si="48"/>
        <v>28.268628350184979</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5447.6829295468406</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112</v>
      </c>
      <c r="J139" s="181">
        <f t="shared" si="59"/>
        <v>152</v>
      </c>
      <c r="K139" s="181">
        <f t="shared" si="59"/>
        <v>199</v>
      </c>
      <c r="L139" s="181">
        <f t="shared" si="59"/>
        <v>180</v>
      </c>
      <c r="M139" s="181">
        <f t="shared" si="59"/>
        <v>176</v>
      </c>
      <c r="N139" s="181">
        <f t="shared" si="59"/>
        <v>155</v>
      </c>
      <c r="O139" s="181">
        <f t="shared" si="59"/>
        <v>151</v>
      </c>
      <c r="P139" s="181">
        <f t="shared" si="59"/>
        <v>149</v>
      </c>
      <c r="Q139" s="181">
        <f t="shared" si="59"/>
        <v>133</v>
      </c>
      <c r="R139" s="181">
        <f t="shared" si="59"/>
        <v>110</v>
      </c>
      <c r="S139" s="181">
        <f t="shared" si="59"/>
        <v>105</v>
      </c>
      <c r="T139" s="181">
        <f t="shared" si="59"/>
        <v>213</v>
      </c>
      <c r="U139" s="181">
        <f t="shared" si="59"/>
        <v>210</v>
      </c>
      <c r="V139" s="181">
        <f t="shared" si="59"/>
        <v>152</v>
      </c>
      <c r="W139" s="181">
        <f t="shared" si="59"/>
        <v>135</v>
      </c>
      <c r="X139" s="181">
        <f t="shared" si="59"/>
        <v>123</v>
      </c>
      <c r="Y139" s="181">
        <f t="shared" si="59"/>
        <v>132</v>
      </c>
      <c r="Z139" s="219">
        <f>SUM(B139:Y139)</f>
        <v>2587</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20.414495645322035</v>
      </c>
      <c r="J140" s="189">
        <f t="shared" ca="1" si="60"/>
        <v>18.834325458778125</v>
      </c>
      <c r="K140" s="189">
        <f t="shared" ca="1" si="60"/>
        <v>18.083492641170409</v>
      </c>
      <c r="L140" s="189">
        <f t="shared" ca="1" si="60"/>
        <v>18.297496076119423</v>
      </c>
      <c r="M140" s="189">
        <f t="shared" ca="1" si="60"/>
        <v>18.35592000671106</v>
      </c>
      <c r="N140" s="189">
        <f t="shared" ca="1" si="60"/>
        <v>18.760604331906972</v>
      </c>
      <c r="O140" s="189">
        <f t="shared" ca="1" si="60"/>
        <v>18.859929336297704</v>
      </c>
      <c r="P140" s="189">
        <f t="shared" ca="1" si="60"/>
        <v>18.912744569127401</v>
      </c>
      <c r="Q140" s="189">
        <f t="shared" ca="1" si="60"/>
        <v>19.42344807055985</v>
      </c>
      <c r="R140" s="189">
        <f t="shared" ca="1" si="60"/>
        <v>20.534602612386916</v>
      </c>
      <c r="S140" s="189">
        <f t="shared" ca="1" si="60"/>
        <v>20.85965957598615</v>
      </c>
      <c r="T140" s="189">
        <f t="shared" ca="1" si="60"/>
        <v>17.981286011120037</v>
      </c>
      <c r="U140" s="189">
        <f t="shared" ca="1" si="60"/>
        <v>17.999790690325259</v>
      </c>
      <c r="V140" s="189">
        <f t="shared" ca="1" si="60"/>
        <v>18.834325458778125</v>
      </c>
      <c r="W140" s="189">
        <f t="shared" ca="1" si="60"/>
        <v>19.350020833271106</v>
      </c>
      <c r="X140" s="189">
        <f t="shared" ca="1" si="60"/>
        <v>19.84036842570892</v>
      </c>
      <c r="Y140" s="189">
        <f t="shared" ca="1" si="60"/>
        <v>19.461321434043377</v>
      </c>
      <c r="Z140" s="259">
        <f t="array" aca="1" ref="Z140" ca="1">SUM(B139:Y139*B140:Y140)</f>
        <v>48972.478303956646</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-0.17046019349153596</v>
      </c>
      <c r="J143" s="188">
        <f t="shared" ca="1" si="62"/>
        <v>1.409709993052374</v>
      </c>
      <c r="K143" s="188">
        <f t="shared" ca="1" si="62"/>
        <v>2.1605428106600897</v>
      </c>
      <c r="L143" s="188">
        <f t="shared" ca="1" si="62"/>
        <v>1.946539375711076</v>
      </c>
      <c r="M143" s="188">
        <f t="shared" ca="1" si="62"/>
        <v>1.8881154451194391</v>
      </c>
      <c r="N143" s="188">
        <f t="shared" ca="1" si="62"/>
        <v>1.4834311199235266</v>
      </c>
      <c r="O143" s="188">
        <f t="shared" ca="1" si="62"/>
        <v>1.3841061155327949</v>
      </c>
      <c r="P143" s="188">
        <f t="shared" ca="1" si="62"/>
        <v>1.3312908827030974</v>
      </c>
      <c r="Q143" s="188">
        <f t="shared" ca="1" si="62"/>
        <v>0.82058738127064856</v>
      </c>
      <c r="R143" s="188">
        <f t="shared" ca="1" si="62"/>
        <v>-0.29056716055641729</v>
      </c>
      <c r="S143" s="188">
        <f t="shared" ca="1" si="62"/>
        <v>-0.61562412415565149</v>
      </c>
      <c r="T143" s="188">
        <f t="shared" ca="1" si="62"/>
        <v>0.25021502290412911</v>
      </c>
      <c r="U143" s="188">
        <f t="shared" ca="1" si="62"/>
        <v>0.2317103436989072</v>
      </c>
      <c r="V143" s="188">
        <f t="shared" ca="1" si="62"/>
        <v>-0.3805620960878997</v>
      </c>
      <c r="W143" s="188">
        <f t="shared" ca="1" si="62"/>
        <v>-0.80451388050652994</v>
      </c>
      <c r="X143" s="188">
        <f t="shared" ca="1" si="62"/>
        <v>-0.81525307025561489</v>
      </c>
      <c r="Y143" s="188">
        <f t="shared" ca="1" si="62"/>
        <v>-0.43620607859007166</v>
      </c>
      <c r="Z143" s="260">
        <f ca="1">Z140-Z142</f>
        <v>-12741.585193068182</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806</v>
      </c>
      <c r="C164" s="303">
        <f t="shared" si="80"/>
        <v>756</v>
      </c>
      <c r="D164" s="303">
        <f t="shared" si="80"/>
        <v>750</v>
      </c>
      <c r="E164" s="303">
        <f t="shared" si="80"/>
        <v>750</v>
      </c>
      <c r="F164" s="303">
        <f t="shared" si="80"/>
        <v>776</v>
      </c>
      <c r="G164" s="303">
        <f t="shared" si="80"/>
        <v>803</v>
      </c>
      <c r="H164" s="303">
        <f t="shared" si="80"/>
        <v>897</v>
      </c>
      <c r="I164" s="303">
        <f t="shared" si="80"/>
        <v>870</v>
      </c>
      <c r="J164" s="303">
        <f t="shared" si="80"/>
        <v>880</v>
      </c>
      <c r="K164" s="303">
        <f t="shared" si="80"/>
        <v>926</v>
      </c>
      <c r="L164" s="303">
        <f t="shared" si="80"/>
        <v>906</v>
      </c>
      <c r="M164" s="303">
        <f t="shared" si="80"/>
        <v>851</v>
      </c>
      <c r="N164" s="303">
        <f t="shared" si="80"/>
        <v>878</v>
      </c>
      <c r="O164" s="303">
        <f t="shared" si="80"/>
        <v>874</v>
      </c>
      <c r="P164" s="303">
        <f t="shared" si="80"/>
        <v>872</v>
      </c>
      <c r="Q164" s="303">
        <f t="shared" si="80"/>
        <v>856</v>
      </c>
      <c r="R164" s="303">
        <f t="shared" si="80"/>
        <v>840</v>
      </c>
      <c r="S164" s="303">
        <f t="shared" si="80"/>
        <v>867</v>
      </c>
      <c r="T164" s="303">
        <f t="shared" si="80"/>
        <v>986</v>
      </c>
      <c r="U164" s="303">
        <f t="shared" si="80"/>
        <v>969</v>
      </c>
      <c r="V164" s="303">
        <f t="shared" si="80"/>
        <v>914</v>
      </c>
      <c r="W164" s="303">
        <f t="shared" si="80"/>
        <v>899</v>
      </c>
      <c r="X164" s="303">
        <f t="shared" si="80"/>
        <v>851</v>
      </c>
      <c r="Y164" s="304">
        <f t="shared" si="80"/>
        <v>859</v>
      </c>
      <c r="Z164" s="270"/>
      <c r="AA164" s="268"/>
    </row>
    <row r="165" spans="1:27" s="269" customFormat="1" ht="13.5" customHeight="1" thickBot="1" x14ac:dyDescent="0.3">
      <c r="A165" s="305" t="s">
        <v>183</v>
      </c>
      <c r="B165" s="306">
        <f t="shared" ref="B165:Y165" si="81">B161+B156+B151+B146+B141+B136+B131+B126+B121+B116+B111+B106+B102+B99+B96+B93+B90</f>
        <v>1025</v>
      </c>
      <c r="C165" s="306">
        <f t="shared" si="81"/>
        <v>924</v>
      </c>
      <c r="D165" s="306">
        <f t="shared" si="81"/>
        <v>894</v>
      </c>
      <c r="E165" s="306">
        <f t="shared" si="81"/>
        <v>892</v>
      </c>
      <c r="F165" s="306">
        <f t="shared" si="81"/>
        <v>899</v>
      </c>
      <c r="G165" s="306">
        <f t="shared" si="81"/>
        <v>909</v>
      </c>
      <c r="H165" s="306">
        <f t="shared" si="81"/>
        <v>964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-38114.347982730949</v>
      </c>
    </row>
    <row r="166" spans="1:27" x14ac:dyDescent="0.25">
      <c r="A166" s="330" t="s">
        <v>184</v>
      </c>
      <c r="B166" s="331">
        <f t="shared" ref="B166:Y166" si="82">B165-B164</f>
        <v>219</v>
      </c>
      <c r="C166" s="331">
        <f t="shared" si="82"/>
        <v>168</v>
      </c>
      <c r="D166" s="331">
        <f t="shared" si="82"/>
        <v>144</v>
      </c>
      <c r="E166" s="331">
        <f t="shared" si="82"/>
        <v>142</v>
      </c>
      <c r="F166" s="331">
        <f t="shared" si="82"/>
        <v>123</v>
      </c>
      <c r="G166" s="331">
        <f t="shared" si="82"/>
        <v>106</v>
      </c>
      <c r="H166" s="331">
        <f t="shared" si="82"/>
        <v>67</v>
      </c>
      <c r="I166" s="331">
        <f t="shared" si="82"/>
        <v>9</v>
      </c>
      <c r="J166" s="331">
        <f t="shared" si="82"/>
        <v>-1</v>
      </c>
      <c r="K166" s="331">
        <f t="shared" si="82"/>
        <v>-47</v>
      </c>
      <c r="L166" s="331">
        <f t="shared" si="82"/>
        <v>24</v>
      </c>
      <c r="M166" s="331">
        <f t="shared" si="82"/>
        <v>79</v>
      </c>
      <c r="N166" s="331">
        <f t="shared" si="82"/>
        <v>52</v>
      </c>
      <c r="O166" s="331">
        <f t="shared" si="82"/>
        <v>56</v>
      </c>
      <c r="P166" s="331">
        <f t="shared" si="82"/>
        <v>58</v>
      </c>
      <c r="Q166" s="331">
        <f t="shared" si="82"/>
        <v>74</v>
      </c>
      <c r="R166" s="331">
        <f t="shared" si="82"/>
        <v>90</v>
      </c>
      <c r="S166" s="331">
        <f t="shared" si="82"/>
        <v>63</v>
      </c>
      <c r="T166" s="331">
        <f t="shared" si="82"/>
        <v>43</v>
      </c>
      <c r="U166" s="331">
        <f t="shared" si="82"/>
        <v>85</v>
      </c>
      <c r="V166" s="331">
        <f t="shared" si="82"/>
        <v>54</v>
      </c>
      <c r="W166" s="331">
        <f t="shared" si="82"/>
        <v>39</v>
      </c>
      <c r="X166" s="331">
        <f t="shared" si="82"/>
        <v>58</v>
      </c>
      <c r="Y166" s="332">
        <f t="shared" si="82"/>
        <v>50</v>
      </c>
      <c r="Z166" s="336">
        <f>SUM(B166:Y166)</f>
        <v>1755</v>
      </c>
    </row>
    <row r="167" spans="1:27" s="325" customFormat="1" ht="32.25" customHeight="1" thickBot="1" x14ac:dyDescent="0.3">
      <c r="A167" s="333" t="s">
        <v>185</v>
      </c>
      <c r="B167" s="334">
        <f t="shared" ref="B167:Y167" ca="1" si="83">B58</f>
        <v>3</v>
      </c>
      <c r="C167" s="334">
        <f t="shared" ca="1" si="83"/>
        <v>3</v>
      </c>
      <c r="D167" s="334">
        <f t="shared" ca="1" si="83"/>
        <v>3</v>
      </c>
      <c r="E167" s="334">
        <f ca="1">E58</f>
        <v>-2</v>
      </c>
      <c r="F167" s="334">
        <f t="shared" ca="1" si="83"/>
        <v>-3</v>
      </c>
      <c r="G167" s="334">
        <f t="shared" ca="1" si="83"/>
        <v>6</v>
      </c>
      <c r="H167" s="334">
        <f t="shared" ca="1" si="83"/>
        <v>-22</v>
      </c>
      <c r="I167" s="334">
        <f t="shared" ca="1" si="83"/>
        <v>19</v>
      </c>
      <c r="J167" s="334">
        <f t="shared" ca="1" si="83"/>
        <v>-8</v>
      </c>
      <c r="K167" s="334">
        <f t="shared" ca="1" si="83"/>
        <v>1</v>
      </c>
      <c r="L167" s="334">
        <f t="shared" ca="1" si="83"/>
        <v>-22</v>
      </c>
      <c r="M167" s="334">
        <f t="shared" ca="1" si="83"/>
        <v>-20</v>
      </c>
      <c r="N167" s="334">
        <f t="shared" ca="1" si="83"/>
        <v>-24</v>
      </c>
      <c r="O167" s="334">
        <f t="shared" ca="1" si="83"/>
        <v>-25</v>
      </c>
      <c r="P167" s="334">
        <f t="shared" ca="1" si="83"/>
        <v>-22</v>
      </c>
      <c r="Q167" s="334">
        <f t="shared" ca="1" si="83"/>
        <v>-17</v>
      </c>
      <c r="R167" s="334">
        <f t="shared" ca="1" si="83"/>
        <v>-21</v>
      </c>
      <c r="S167" s="334">
        <f t="shared" ca="1" si="83"/>
        <v>-3</v>
      </c>
      <c r="T167" s="334">
        <f t="shared" ca="1" si="83"/>
        <v>-5</v>
      </c>
      <c r="U167" s="334">
        <f t="shared" ca="1" si="83"/>
        <v>9</v>
      </c>
      <c r="V167" s="334">
        <f t="shared" ca="1" si="83"/>
        <v>-18</v>
      </c>
      <c r="W167" s="334">
        <f t="shared" ca="1" si="83"/>
        <v>0</v>
      </c>
      <c r="X167" s="334">
        <f t="shared" ca="1" si="83"/>
        <v>3</v>
      </c>
      <c r="Y167" s="335">
        <f t="shared" ca="1" si="83"/>
        <v>5</v>
      </c>
      <c r="Z167" s="323">
        <f ca="1">SUM(B167:Y167)</f>
        <v>-160</v>
      </c>
      <c r="AA167" s="324"/>
    </row>
    <row r="168" spans="1:27" ht="13.8" hidden="1" thickBot="1" x14ac:dyDescent="0.3">
      <c r="A168" s="326" t="s">
        <v>186</v>
      </c>
      <c r="B168" s="327">
        <f t="shared" ref="B168:Y168" ca="1" si="84">B167+B166</f>
        <v>222</v>
      </c>
      <c r="C168" s="327">
        <f t="shared" ca="1" si="84"/>
        <v>171</v>
      </c>
      <c r="D168" s="327">
        <f t="shared" ca="1" si="84"/>
        <v>147</v>
      </c>
      <c r="E168" s="327">
        <f t="shared" ca="1" si="84"/>
        <v>140</v>
      </c>
      <c r="F168" s="327">
        <f t="shared" ca="1" si="84"/>
        <v>120</v>
      </c>
      <c r="G168" s="327">
        <f t="shared" ca="1" si="84"/>
        <v>112</v>
      </c>
      <c r="H168" s="327">
        <f t="shared" ca="1" si="84"/>
        <v>45</v>
      </c>
      <c r="I168" s="327">
        <f t="shared" ca="1" si="84"/>
        <v>28</v>
      </c>
      <c r="J168" s="327">
        <f t="shared" ca="1" si="84"/>
        <v>-9</v>
      </c>
      <c r="K168" s="327">
        <f t="shared" ca="1" si="84"/>
        <v>-46</v>
      </c>
      <c r="L168" s="327">
        <f t="shared" ca="1" si="84"/>
        <v>2</v>
      </c>
      <c r="M168" s="327">
        <f t="shared" ca="1" si="84"/>
        <v>59</v>
      </c>
      <c r="N168" s="327">
        <f t="shared" ca="1" si="84"/>
        <v>28</v>
      </c>
      <c r="O168" s="327">
        <f t="shared" ca="1" si="84"/>
        <v>31</v>
      </c>
      <c r="P168" s="327">
        <f t="shared" ca="1" si="84"/>
        <v>36</v>
      </c>
      <c r="Q168" s="327">
        <f t="shared" ca="1" si="84"/>
        <v>57</v>
      </c>
      <c r="R168" s="327">
        <f t="shared" ca="1" si="84"/>
        <v>69</v>
      </c>
      <c r="S168" s="327">
        <f t="shared" ca="1" si="84"/>
        <v>60</v>
      </c>
      <c r="T168" s="327">
        <f t="shared" ca="1" si="84"/>
        <v>38</v>
      </c>
      <c r="U168" s="327">
        <f t="shared" ca="1" si="84"/>
        <v>94</v>
      </c>
      <c r="V168" s="327">
        <f t="shared" ca="1" si="84"/>
        <v>36</v>
      </c>
      <c r="W168" s="327">
        <f t="shared" ca="1" si="84"/>
        <v>39</v>
      </c>
      <c r="X168" s="327">
        <f t="shared" ca="1" si="84"/>
        <v>61</v>
      </c>
      <c r="Y168" s="327">
        <f t="shared" ca="1" si="84"/>
        <v>55</v>
      </c>
      <c r="Z168" s="328">
        <f ca="1">SUM(B168:Y168)</f>
        <v>1595</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1595</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260</v>
      </c>
      <c r="C171" s="338">
        <f t="shared" si="85"/>
        <v>240</v>
      </c>
      <c r="D171" s="338">
        <f t="shared" si="85"/>
        <v>246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244</v>
      </c>
      <c r="F171" s="338">
        <f t="shared" si="85"/>
        <v>215</v>
      </c>
      <c r="G171" s="338">
        <f t="shared" si="85"/>
        <v>188</v>
      </c>
      <c r="H171" s="338">
        <f t="shared" si="85"/>
        <v>123</v>
      </c>
      <c r="I171" s="338">
        <f t="shared" si="85"/>
        <v>192</v>
      </c>
      <c r="J171" s="338">
        <f t="shared" si="85"/>
        <v>195</v>
      </c>
      <c r="K171" s="338">
        <f t="shared" si="85"/>
        <v>149</v>
      </c>
      <c r="L171" s="338">
        <f t="shared" si="85"/>
        <v>169</v>
      </c>
      <c r="M171" s="338">
        <f t="shared" si="85"/>
        <v>121</v>
      </c>
      <c r="N171" s="338">
        <f t="shared" si="85"/>
        <v>197</v>
      </c>
      <c r="O171" s="338">
        <f t="shared" si="85"/>
        <v>201</v>
      </c>
      <c r="P171" s="338">
        <f t="shared" si="85"/>
        <v>203</v>
      </c>
      <c r="Q171" s="338">
        <f t="shared" si="85"/>
        <v>219</v>
      </c>
      <c r="R171" s="338">
        <f t="shared" si="85"/>
        <v>220</v>
      </c>
      <c r="S171" s="338">
        <f t="shared" si="85"/>
        <v>258</v>
      </c>
      <c r="T171" s="338">
        <f t="shared" si="85"/>
        <v>159</v>
      </c>
      <c r="U171" s="338">
        <f t="shared" si="85"/>
        <v>176</v>
      </c>
      <c r="V171" s="338">
        <f t="shared" si="85"/>
        <v>229</v>
      </c>
      <c r="W171" s="338">
        <f t="shared" si="85"/>
        <v>176</v>
      </c>
      <c r="X171" s="338">
        <f t="shared" si="85"/>
        <v>222</v>
      </c>
      <c r="Y171" s="339">
        <f t="shared" si="85"/>
        <v>216</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143</v>
      </c>
      <c r="C172" s="341">
        <f t="shared" si="86"/>
        <v>194</v>
      </c>
      <c r="D172" s="341">
        <f t="shared" si="86"/>
        <v>224</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226</v>
      </c>
      <c r="F172" s="341">
        <f t="shared" si="86"/>
        <v>228</v>
      </c>
      <c r="G172" s="341">
        <f t="shared" si="86"/>
        <v>228</v>
      </c>
      <c r="H172" s="341">
        <f t="shared" si="86"/>
        <v>154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-38114.347982730949</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24985.957429846938</v>
      </c>
      <c r="F22" s="33">
        <f>IF($I$22=1,C22*$C$8,C22*$G$7)+IF($J$22=1,D22*$C$6,D22*$G$6)</f>
        <v>1.96</v>
      </c>
      <c r="G22" s="32">
        <f t="shared" ref="G22:G29" ca="1" si="0">F22*E22</f>
        <v>48972.4765625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12198.79225127551</v>
      </c>
      <c r="F25" s="33">
        <f t="shared" si="1"/>
        <v>1.96</v>
      </c>
      <c r="G25" s="32">
        <f t="shared" ca="1" si="0"/>
        <v>23909.6328125</v>
      </c>
      <c r="I25" s="31"/>
      <c r="J25" s="31"/>
      <c r="K25" s="31"/>
    </row>
    <row r="26" spans="1:12" x14ac:dyDescent="0.25">
      <c r="B26" s="234" t="s">
        <v>47</v>
      </c>
      <c r="C26" s="235">
        <v>1</v>
      </c>
      <c r="D26" s="235">
        <v>0</v>
      </c>
      <c r="E26" s="32">
        <f ca="1">-INDEX(Economics!$A$34:$D$45,MATCH(Fuel!B26,Economics!$A$34:$A$45,0),4)/Fuel!F26</f>
        <v>9636.1248405612241</v>
      </c>
      <c r="F26" s="33">
        <f t="shared" si="1"/>
        <v>1.96</v>
      </c>
      <c r="G26" s="32">
        <f t="shared" ca="1" si="0"/>
        <v>18886.8046875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2633.742227359694</v>
      </c>
      <c r="F28" s="33">
        <f t="shared" si="1"/>
        <v>1.96</v>
      </c>
      <c r="G28" s="32">
        <f t="shared" ca="1" si="0"/>
        <v>5162.134765625</v>
      </c>
      <c r="I28" s="31"/>
      <c r="J28" s="31"/>
      <c r="K28" s="31"/>
    </row>
    <row r="29" spans="1:12" x14ac:dyDescent="0.25">
      <c r="B29" s="234" t="s">
        <v>50</v>
      </c>
      <c r="C29" s="235">
        <v>1</v>
      </c>
      <c r="D29" s="235">
        <v>0</v>
      </c>
      <c r="E29" s="32">
        <f ca="1">-INDEX(Economics!$A$34:$D$45,MATCH(Fuel!B29,Economics!$A$34:$A$45,0),4)/Fuel!F29</f>
        <v>2779.430155851403</v>
      </c>
      <c r="F29" s="33">
        <f t="shared" si="1"/>
        <v>1.96</v>
      </c>
      <c r="G29" s="32">
        <f t="shared" ca="1" si="0"/>
        <v>5447.68310546875</v>
      </c>
      <c r="I29" s="31"/>
      <c r="J29" s="31"/>
      <c r="K29" s="31"/>
    </row>
    <row r="30" spans="1:12" x14ac:dyDescent="0.25">
      <c r="B30" s="236"/>
      <c r="C30" s="36"/>
      <c r="D30" s="36"/>
      <c r="E30" s="34">
        <f ca="1">SUM(E22:E29)</f>
        <v>52234.046904894771</v>
      </c>
      <c r="F30" s="35"/>
      <c r="G30" s="34">
        <f ca="1">SUM(G22:G29)</f>
        <v>102378.73193359375</v>
      </c>
      <c r="I30" s="31"/>
      <c r="J30" s="31"/>
      <c r="K30" s="31"/>
    </row>
    <row r="31" spans="1:12" x14ac:dyDescent="0.25">
      <c r="B31" s="236"/>
      <c r="I31" s="31"/>
      <c r="J31" s="31"/>
      <c r="K31" s="31"/>
    </row>
    <row r="32" spans="1:12" ht="13.8" thickBot="1" x14ac:dyDescent="0.3">
      <c r="B32" s="236" t="s">
        <v>18</v>
      </c>
      <c r="E32" s="7">
        <f ca="1">E15+E18+E30</f>
        <v>52234.046904894771</v>
      </c>
      <c r="F32" s="8"/>
      <c r="G32" s="7">
        <f ca="1">G15+G18+G30</f>
        <v>102378.73193359375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484131.6</v>
      </c>
      <c r="C3" s="117">
        <f ca="1">6.8*0.75*E3</f>
        <v>119278.79999999999</v>
      </c>
      <c r="D3" s="117">
        <f ca="1">C3+B3</f>
        <v>603410.39999999991</v>
      </c>
      <c r="E3" s="118">
        <f ca="1">SUM(Preschedule!B59:Y59)</f>
        <v>23388</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-800</v>
      </c>
      <c r="F5" s="121" t="e">
        <f ca="1">IF(E5=0,0,B5/E5)</f>
        <v>#N/A</v>
      </c>
      <c r="G5" s="123" t="e">
        <f ca="1">IF(E5=0,0,D5/E5)</f>
        <v>#N/A</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-75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-400</v>
      </c>
      <c r="F8" s="124" t="e">
        <f t="shared" ca="1" si="0"/>
        <v>#N/A</v>
      </c>
      <c r="G8" s="126" t="e">
        <f t="shared" ca="1" si="1"/>
        <v>#N/A</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-1492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390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Balancing!H30</f>
        <v>0</v>
      </c>
      <c r="C24" s="120"/>
      <c r="D24" s="120">
        <f t="shared"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-14421.592640000003</v>
      </c>
      <c r="C28" s="120"/>
      <c r="D28" s="120">
        <f>C28+B28</f>
        <v>-14421.592640000003</v>
      </c>
      <c r="E28" s="114">
        <f>SUM(Preschedule!B56:Y56)</f>
        <v>1103</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-29370.528000000002</v>
      </c>
      <c r="C30" s="120"/>
      <c r="D30" s="120">
        <f>C30+B30</f>
        <v>-29370.528000000002</v>
      </c>
      <c r="E30" s="114">
        <f>SUM(Preschedule!B53:Y53)</f>
        <v>4818</v>
      </c>
      <c r="F30" s="120">
        <f>H30*I30</f>
        <v>6.0960000000000001</v>
      </c>
      <c r="G30" s="79">
        <f>-IF(E30=0,0,D30/E30)</f>
        <v>6.0960000000000001</v>
      </c>
      <c r="H30" s="134">
        <v>10.16</v>
      </c>
      <c r="I30" s="135">
        <v>0.6</v>
      </c>
    </row>
    <row r="31" spans="1:9" ht="12" x14ac:dyDescent="0.25">
      <c r="A31" s="83" t="s">
        <v>44</v>
      </c>
      <c r="B31" s="120">
        <f>-F31*E31</f>
        <v>-29370.528000000002</v>
      </c>
      <c r="C31" s="120"/>
      <c r="D31" s="120">
        <f>C31+B31</f>
        <v>-29370.528000000002</v>
      </c>
      <c r="E31" s="114">
        <f>SUM(Preschedule!B54:Y54)</f>
        <v>4818</v>
      </c>
      <c r="F31" s="120">
        <f>H31*I31</f>
        <v>6.0960000000000001</v>
      </c>
      <c r="G31" s="79">
        <f>-IF(E31=0,0,D31/E31)</f>
        <v>6.0960000000000001</v>
      </c>
      <c r="H31" s="134">
        <v>10.16</v>
      </c>
      <c r="I31" s="135">
        <v>0.6</v>
      </c>
    </row>
    <row r="32" spans="1:9" ht="12" x14ac:dyDescent="0.25">
      <c r="A32" s="83" t="s">
        <v>45</v>
      </c>
      <c r="B32" s="120">
        <f>-F32*E32</f>
        <v>-29370.528000000002</v>
      </c>
      <c r="C32" s="120"/>
      <c r="D32" s="120">
        <f>C32+B32</f>
        <v>-29370.528000000002</v>
      </c>
      <c r="E32" s="114">
        <f>SUM(Preschedule!B55:Y55)</f>
        <v>4818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-18886.8046875</v>
      </c>
      <c r="C35" s="120"/>
      <c r="D35" s="120">
        <f t="shared" ref="D35:D45" ca="1" si="7">IF(ISTEXT(B35),0,C35+B35)</f>
        <v>-18886.8046875</v>
      </c>
      <c r="E35" s="114">
        <f>SUM(Preschedule!B42:Y42)</f>
        <v>892</v>
      </c>
      <c r="F35" s="120">
        <f t="shared" ref="F35:F45" ca="1" si="8">-IF(OR(ISTEXT(B35),E35=0),0,B35/E35)</f>
        <v>21.173547855941703</v>
      </c>
      <c r="G35" s="79">
        <f t="shared" ca="1" si="6"/>
        <v>21.173547855941703</v>
      </c>
      <c r="H35" s="136"/>
      <c r="I35" s="135">
        <v>1.96</v>
      </c>
    </row>
    <row r="36" spans="1:9" ht="12" x14ac:dyDescent="0.25">
      <c r="A36" s="83" t="s">
        <v>48</v>
      </c>
      <c r="B36" s="120">
        <f ca="1">Gencost(Preschedule!B43:Y43,OFFSET(HeatRateStart,1,MATCH(A36,HeatRateNames,0)-1,250,1),I36)</f>
        <v>-23909.6328125</v>
      </c>
      <c r="C36" s="120"/>
      <c r="D36" s="120">
        <f t="shared" ca="1" si="7"/>
        <v>-23909.6328125</v>
      </c>
      <c r="E36" s="114">
        <f>SUM(Preschedule!B43:Y43)</f>
        <v>1151</v>
      </c>
      <c r="F36" s="120">
        <f t="shared" ca="1" si="8"/>
        <v>20.772921644222414</v>
      </c>
      <c r="G36" s="79">
        <f t="shared" ca="1" si="6"/>
        <v>20.772921644222414</v>
      </c>
      <c r="H36" s="136"/>
      <c r="I36" s="135">
        <f>INDEX(FuelPriceTable,MATCH(A36,FuelNames,0),5)</f>
        <v>1.96</v>
      </c>
    </row>
    <row r="37" spans="1:9" ht="12" x14ac:dyDescent="0.25">
      <c r="A37" s="83" t="s">
        <v>49</v>
      </c>
      <c r="B37" s="120">
        <f ca="1">Gencost(Preschedule!B44:Y44,OFFSET(HeatRateStart,1,MATCH(A37,HeatRateNames,0)-1,250,1),I37)</f>
        <v>-5162.134765625</v>
      </c>
      <c r="C37" s="120"/>
      <c r="D37" s="120">
        <f t="shared" ca="1" si="7"/>
        <v>-5162.134765625</v>
      </c>
      <c r="E37" s="114">
        <f>SUM(Preschedule!B44:Y44)</f>
        <v>160</v>
      </c>
      <c r="F37" s="120">
        <f t="shared" ca="1" si="8"/>
        <v>32.263342285156249</v>
      </c>
      <c r="G37" s="79">
        <f t="shared" ca="1" si="6"/>
        <v>32.263342285156249</v>
      </c>
      <c r="H37" s="136"/>
      <c r="I37" s="135">
        <f t="shared" ref="I37:I45" si="9">INDEX(FuelPriceTable,MATCH(A37,FuelNames,0),5)</f>
        <v>1.96</v>
      </c>
    </row>
    <row r="38" spans="1:9" ht="12" x14ac:dyDescent="0.25">
      <c r="A38" s="83" t="s">
        <v>50</v>
      </c>
      <c r="B38" s="120">
        <f ca="1">Gencost(Preschedule!B45:Y45,OFFSET(HeatRateStart,1,MATCH(A38,HeatRateNames,0)-1,250,1),I38)</f>
        <v>-5447.68310546875</v>
      </c>
      <c r="C38" s="120"/>
      <c r="D38" s="120">
        <f t="shared" ca="1" si="7"/>
        <v>-5447.68310546875</v>
      </c>
      <c r="E38" s="114">
        <f>SUM(Preschedule!B45:Y45)</f>
        <v>174</v>
      </c>
      <c r="F38" s="120">
        <f t="shared" ca="1" si="8"/>
        <v>31.308523594647987</v>
      </c>
      <c r="G38" s="79">
        <f t="shared" ca="1" si="6"/>
        <v>31.308523594647987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-48972.4765625</v>
      </c>
      <c r="C41" s="120"/>
      <c r="D41" s="120">
        <f t="shared" ca="1" si="7"/>
        <v>-48972.4765625</v>
      </c>
      <c r="E41" s="114">
        <f>SUM(Preschedule!B48:Y48)</f>
        <v>2587</v>
      </c>
      <c r="F41" s="120">
        <f t="shared" ca="1" si="8"/>
        <v>18.930219003672207</v>
      </c>
      <c r="G41" s="79">
        <f t="shared" ca="1" si="6"/>
        <v>18.930219003672207</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99" t="s">
        <v>364</v>
      </c>
      <c r="B2" t="s">
        <v>46</v>
      </c>
      <c r="C2" t="s">
        <v>47</v>
      </c>
      <c r="D2" t="s">
        <v>48</v>
      </c>
      <c r="E2" t="s">
        <v>49</v>
      </c>
      <c r="F2" t="s">
        <v>50</v>
      </c>
      <c r="G2" t="s">
        <v>51</v>
      </c>
      <c r="H2" t="s">
        <v>52</v>
      </c>
      <c r="I2" t="s">
        <v>53</v>
      </c>
      <c r="J2" t="s">
        <v>54</v>
      </c>
      <c r="K2" t="s">
        <v>55</v>
      </c>
      <c r="L2" t="s">
        <v>56</v>
      </c>
      <c r="M2" t="s">
        <v>57</v>
      </c>
    </row>
    <row r="3" spans="1:13" x14ac:dyDescent="0.25">
      <c r="A3" s="69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37366.961111111108</v>
      </c>
    </row>
    <row r="2" spans="2:2" x14ac:dyDescent="0.25">
      <c r="B2" t="s">
        <v>367</v>
      </c>
    </row>
    <row r="3" spans="2:2" x14ac:dyDescent="0.25">
      <c r="B3" t="s">
        <v>389</v>
      </c>
    </row>
    <row r="4" spans="2:2" x14ac:dyDescent="0.25">
      <c r="B4" t="s">
        <v>372</v>
      </c>
    </row>
    <row r="5" spans="2:2" x14ac:dyDescent="0.25">
      <c r="B5" t="s">
        <v>368</v>
      </c>
    </row>
    <row r="6" spans="2:2" x14ac:dyDescent="0.25">
      <c r="B6" t="s">
        <v>369</v>
      </c>
    </row>
    <row r="7" spans="2:2" x14ac:dyDescent="0.25">
      <c r="B7" t="s">
        <v>350</v>
      </c>
    </row>
    <row r="8" spans="2:2" x14ac:dyDescent="0.25">
      <c r="B8" t="s">
        <v>352</v>
      </c>
    </row>
    <row r="9" spans="2:2" x14ac:dyDescent="0.25">
      <c r="B9" t="s">
        <v>390</v>
      </c>
    </row>
    <row r="10" spans="2:2" x14ac:dyDescent="0.25">
      <c r="B10" t="s">
        <v>391</v>
      </c>
    </row>
    <row r="11" spans="2:2" x14ac:dyDescent="0.25">
      <c r="B11" t="s">
        <v>353</v>
      </c>
    </row>
    <row r="12" spans="2:2" x14ac:dyDescent="0.25">
      <c r="B12" t="s">
        <v>355</v>
      </c>
    </row>
    <row r="13" spans="2:2" x14ac:dyDescent="0.25">
      <c r="B13" t="s">
        <v>354</v>
      </c>
    </row>
    <row r="14" spans="2:2" x14ac:dyDescent="0.25">
      <c r="B14" t="s">
        <v>366</v>
      </c>
    </row>
    <row r="15" spans="2:2" x14ac:dyDescent="0.25">
      <c r="B15" t="s">
        <v>356</v>
      </c>
    </row>
    <row r="16" spans="2:2" x14ac:dyDescent="0.25">
      <c r="B16" t="s">
        <v>370</v>
      </c>
    </row>
    <row r="17" spans="2:2" x14ac:dyDescent="0.25">
      <c r="B17" t="s">
        <v>384</v>
      </c>
    </row>
    <row r="18" spans="2:2" x14ac:dyDescent="0.25">
      <c r="B18" t="s">
        <v>392</v>
      </c>
    </row>
    <row r="19" spans="2:2" x14ac:dyDescent="0.25">
      <c r="B19" t="s">
        <v>393</v>
      </c>
    </row>
    <row r="20" spans="2:2" x14ac:dyDescent="0.25">
      <c r="B20" t="s">
        <v>394</v>
      </c>
    </row>
    <row r="21" spans="2:2" x14ac:dyDescent="0.25">
      <c r="B21" t="s">
        <v>395</v>
      </c>
    </row>
    <row r="22" spans="2:2" x14ac:dyDescent="0.25">
      <c r="B22" t="s">
        <v>377</v>
      </c>
    </row>
    <row r="23" spans="2:2" x14ac:dyDescent="0.25">
      <c r="B23" t="s">
        <v>378</v>
      </c>
    </row>
    <row r="24" spans="2:2" x14ac:dyDescent="0.25">
      <c r="B24" t="s">
        <v>396</v>
      </c>
    </row>
    <row r="25" spans="2:2" x14ac:dyDescent="0.25">
      <c r="B25" t="s">
        <v>379</v>
      </c>
    </row>
    <row r="26" spans="2:2" x14ac:dyDescent="0.25">
      <c r="B26" t="s">
        <v>378</v>
      </c>
    </row>
    <row r="27" spans="2:2" x14ac:dyDescent="0.25">
      <c r="B27" t="s">
        <v>379</v>
      </c>
    </row>
    <row r="28" spans="2:2" x14ac:dyDescent="0.25">
      <c r="B28" t="s">
        <v>380</v>
      </c>
    </row>
    <row r="29" spans="2:2" x14ac:dyDescent="0.25">
      <c r="B29" t="s">
        <v>379</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2023-09-10T15:03:34Z</dcterms:modified>
</cp:coreProperties>
</file>