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Deals!$A$1:$AF$109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9" i="1"/>
  <c r="AE69" i="1"/>
  <c r="AF69" i="1"/>
  <c r="AD70" i="1"/>
  <c r="AE70" i="1"/>
  <c r="AF70" i="1"/>
  <c r="AD71" i="1"/>
  <c r="AE71" i="1"/>
  <c r="AF71" i="1"/>
  <c r="AD72" i="1"/>
  <c r="AE72" i="1"/>
  <c r="AF72" i="1"/>
  <c r="AD73" i="1"/>
  <c r="AE73" i="1"/>
  <c r="AF73" i="1"/>
  <c r="AD75" i="1"/>
  <c r="AE75" i="1"/>
  <c r="AF75" i="1"/>
  <c r="AD76" i="1"/>
  <c r="AE76" i="1"/>
  <c r="AF76" i="1"/>
  <c r="AD78" i="1"/>
  <c r="AE78" i="1"/>
  <c r="AD79" i="1"/>
  <c r="AE79" i="1"/>
  <c r="AF79" i="1"/>
  <c r="AD80" i="1"/>
  <c r="AE80" i="1"/>
  <c r="AF80" i="1"/>
  <c r="AD81" i="1"/>
  <c r="AE81" i="1"/>
  <c r="AF81" i="1"/>
  <c r="AD82" i="1"/>
  <c r="AE82" i="1"/>
  <c r="AD84" i="1"/>
  <c r="AE84" i="1"/>
  <c r="AF84" i="1"/>
  <c r="AD85" i="1"/>
  <c r="AE85" i="1"/>
  <c r="AF85" i="1"/>
  <c r="AD86" i="1"/>
  <c r="AE86" i="1"/>
  <c r="AF86" i="1"/>
  <c r="AD87" i="1"/>
  <c r="AE87" i="1"/>
  <c r="AF87" i="1"/>
  <c r="AD95" i="1"/>
  <c r="AE95" i="1"/>
  <c r="AD96" i="1"/>
  <c r="AE96" i="1"/>
  <c r="AD100" i="1"/>
  <c r="AE10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cdean2</author>
    <author>Holden Salisbury</author>
    <author>s_mcrouch</author>
  </authors>
  <commentList>
    <comment ref="M7" authorId="0" shapeId="0">
      <text>
        <r>
          <rPr>
            <b/>
            <sz val="11"/>
            <color indexed="81"/>
            <rFont val="Tahoma"/>
            <family val="2"/>
          </rPr>
          <t>cdean2:</t>
        </r>
        <r>
          <rPr>
            <sz val="11"/>
            <color indexed="81"/>
            <rFont val="Tahoma"/>
            <family val="2"/>
          </rPr>
          <t xml:space="preserve">
Eddy Tie derated to a 0.</t>
        </r>
      </text>
    </comment>
    <comment ref="N7" authorId="0" shapeId="0">
      <text>
        <r>
          <rPr>
            <b/>
            <sz val="11"/>
            <color indexed="81"/>
            <rFont val="Tahoma"/>
            <family val="2"/>
          </rPr>
          <t>cdean2: Eddie Tie back up and scheduling full amount</t>
        </r>
        <r>
          <rPr>
            <sz val="11"/>
            <color indexed="81"/>
            <rFont val="Tahoma"/>
            <family val="2"/>
          </rPr>
          <t xml:space="preserve">
</t>
        </r>
      </text>
    </comment>
    <comment ref="C13" authorId="1" shapeId="0">
      <text>
        <r>
          <rPr>
            <sz val="10"/>
            <color indexed="81"/>
            <rFont val="Tahoma"/>
            <family val="2"/>
          </rPr>
          <t>NOTE TO SELF.
The CALPX lines are hidden.  They are rows 14-61.</t>
        </r>
      </text>
    </comment>
    <comment ref="G71" authorId="2" shapeId="0">
      <text>
        <r>
          <rPr>
            <b/>
            <sz val="12"/>
            <color indexed="81"/>
            <rFont val="Tahoma"/>
            <family val="2"/>
          </rPr>
          <t>meyers:</t>
        </r>
        <r>
          <rPr>
            <sz val="12"/>
            <color indexed="81"/>
            <rFont val="Tahoma"/>
            <family val="2"/>
          </rPr>
          <t xml:space="preserve">
I already had a 20mw sale into PNM for the whole hour.  They called @ 12:40PST and needed an additional 25mw because they lost a unit.  We agreed to a 6mw for the integration of the additional 25mw for a total of 26mw for the hour.</t>
        </r>
      </text>
    </comment>
  </commentList>
</comments>
</file>

<file path=xl/comments2.xml><?xml version="1.0" encoding="utf-8"?>
<comments xmlns="http://schemas.openxmlformats.org/spreadsheetml/2006/main">
  <authors>
    <author>cdean2</author>
    <author>A satisfied Microsoft Office user</author>
  </authors>
  <commentList>
    <comment ref="L58" authorId="0" shapeId="0">
      <text>
        <r>
          <rPr>
            <b/>
            <sz val="11"/>
            <color indexed="81"/>
            <rFont val="Tahoma"/>
            <family val="2"/>
          </rPr>
          <t xml:space="preserve">cdean2: Inadvertant schedule w/LA 25mw </t>
        </r>
        <r>
          <rPr>
            <sz val="8"/>
            <color indexed="81"/>
            <rFont val="Tahoma"/>
          </rPr>
          <t xml:space="preserve">
</t>
        </r>
      </text>
    </comment>
    <comment ref="M58" authorId="0" shapeId="0">
      <text>
        <r>
          <rPr>
            <b/>
            <sz val="11"/>
            <color indexed="81"/>
            <rFont val="Tahoma"/>
            <family val="2"/>
          </rPr>
          <t xml:space="preserve">cdean2: Inadvertant schedule w/LA 25mw </t>
        </r>
        <r>
          <rPr>
            <sz val="8"/>
            <color indexed="81"/>
            <rFont val="Tahoma"/>
          </rPr>
          <t xml:space="preserve">
</t>
        </r>
      </text>
    </comment>
    <comment ref="N58" authorId="0" shapeId="0">
      <text>
        <r>
          <rPr>
            <b/>
            <sz val="11"/>
            <color indexed="81"/>
            <rFont val="Tahoma"/>
            <family val="2"/>
          </rPr>
          <t xml:space="preserve">cdean2: Inadvertant schedule w/LA 25mw </t>
        </r>
        <r>
          <rPr>
            <sz val="8"/>
            <color indexed="81"/>
            <rFont val="Tahoma"/>
          </rPr>
          <t xml:space="preserve">
</t>
        </r>
      </text>
    </comment>
    <comment ref="O58" authorId="0" shapeId="0">
      <text>
        <r>
          <rPr>
            <b/>
            <sz val="11"/>
            <color indexed="81"/>
            <rFont val="Tahoma"/>
            <family val="2"/>
          </rPr>
          <t xml:space="preserve">cdean2: Inadvertant schedule w/LA 25mw </t>
        </r>
        <r>
          <rPr>
            <sz val="8"/>
            <color indexed="81"/>
            <rFont val="Tahoma"/>
          </rPr>
          <t xml:space="preserve">
</t>
        </r>
      </text>
    </comment>
    <comment ref="P58" authorId="0" shapeId="0">
      <text>
        <r>
          <rPr>
            <b/>
            <sz val="11"/>
            <color indexed="81"/>
            <rFont val="Tahoma"/>
            <family val="2"/>
          </rPr>
          <t xml:space="preserve">cdean2: Inadvertant schedule w/LA 25mw </t>
        </r>
        <r>
          <rPr>
            <sz val="8"/>
            <color indexed="81"/>
            <rFont val="Tahoma"/>
          </rPr>
          <t xml:space="preserve">
</t>
        </r>
      </text>
    </comment>
    <comment ref="Q58" authorId="0" shapeId="0">
      <text>
        <r>
          <rPr>
            <b/>
            <sz val="11"/>
            <color indexed="81"/>
            <rFont val="Tahoma"/>
            <family val="2"/>
          </rPr>
          <t xml:space="preserve">cdean2: Inadvertant schedule w/LA 25mw </t>
        </r>
        <r>
          <rPr>
            <sz val="8"/>
            <color indexed="81"/>
            <rFont val="Tahoma"/>
          </rPr>
          <t xml:space="preserve">
</t>
        </r>
      </text>
    </comment>
    <comment ref="R58" authorId="0" shapeId="0">
      <text>
        <r>
          <rPr>
            <b/>
            <sz val="11"/>
            <color indexed="81"/>
            <rFont val="Tahoma"/>
            <family val="2"/>
          </rPr>
          <t xml:space="preserve">cdean2: Inadvertant schedule w/LA 25mw </t>
        </r>
        <r>
          <rPr>
            <sz val="8"/>
            <color indexed="81"/>
            <rFont val="Tahoma"/>
          </rPr>
          <t xml:space="preserve">
</t>
        </r>
      </text>
    </comment>
    <comment ref="S58" authorId="0" shapeId="0">
      <text>
        <r>
          <rPr>
            <b/>
            <sz val="11"/>
            <color indexed="81"/>
            <rFont val="Tahoma"/>
            <family val="2"/>
          </rPr>
          <t xml:space="preserve">cdean2: Inadvertant schedule w/LA 25mw </t>
        </r>
        <r>
          <rPr>
            <sz val="8"/>
            <color indexed="81"/>
            <rFont val="Tahoma"/>
          </rPr>
          <t xml:space="preserve">
</t>
        </r>
      </text>
    </comment>
    <comment ref="T58" authorId="0" shapeId="0">
      <text>
        <r>
          <rPr>
            <b/>
            <sz val="11"/>
            <color indexed="81"/>
            <rFont val="Tahoma"/>
            <family val="2"/>
          </rPr>
          <t xml:space="preserve">cdean2: Inadvertant schedule w/LA 25mw </t>
        </r>
        <r>
          <rPr>
            <sz val="8"/>
            <color indexed="81"/>
            <rFont val="Tahoma"/>
          </rPr>
          <t xml:space="preserve">
</t>
        </r>
      </text>
    </comment>
    <comment ref="U58" authorId="0" shapeId="0">
      <text>
        <r>
          <rPr>
            <b/>
            <sz val="11"/>
            <color indexed="81"/>
            <rFont val="Tahoma"/>
            <family val="2"/>
          </rPr>
          <t xml:space="preserve">cdean2: Inadvertant schedule w/LA 25mw </t>
        </r>
        <r>
          <rPr>
            <sz val="8"/>
            <color indexed="81"/>
            <rFont val="Tahoma"/>
          </rPr>
          <t xml:space="preserve">
</t>
        </r>
      </text>
    </comment>
    <comment ref="V58" authorId="0" shapeId="0">
      <text>
        <r>
          <rPr>
            <b/>
            <sz val="11"/>
            <color indexed="81"/>
            <rFont val="Tahoma"/>
            <family val="2"/>
          </rPr>
          <t xml:space="preserve">cdean2: Inadvertant schedule w/LA 25mw </t>
        </r>
        <r>
          <rPr>
            <sz val="8"/>
            <color indexed="81"/>
            <rFont val="Tahoma"/>
          </rPr>
          <t xml:space="preserve">
</t>
        </r>
      </text>
    </comment>
    <comment ref="W58" authorId="0" shapeId="0">
      <text>
        <r>
          <rPr>
            <b/>
            <sz val="11"/>
            <color indexed="81"/>
            <rFont val="Tahoma"/>
            <family val="2"/>
          </rPr>
          <t xml:space="preserve">cdean2: Inadvertant schedule w/LA 25mw </t>
        </r>
        <r>
          <rPr>
            <sz val="8"/>
            <color indexed="81"/>
            <rFont val="Tahoma"/>
          </rPr>
          <t xml:space="preserve">
</t>
        </r>
      </text>
    </comment>
    <comment ref="X58" authorId="0" shapeId="0">
      <text>
        <r>
          <rPr>
            <b/>
            <sz val="11"/>
            <color indexed="81"/>
            <rFont val="Tahoma"/>
            <family val="2"/>
          </rPr>
          <t xml:space="preserve">cdean2: Inadvertant schedule w/LA 25mw </t>
        </r>
        <r>
          <rPr>
            <sz val="8"/>
            <color indexed="81"/>
            <rFont val="Tahoma"/>
          </rPr>
          <t xml:space="preserve">
</t>
        </r>
      </text>
    </comment>
    <comment ref="Y58" authorId="0" shapeId="0">
      <text>
        <r>
          <rPr>
            <b/>
            <sz val="11"/>
            <color indexed="81"/>
            <rFont val="Tahoma"/>
            <family val="2"/>
          </rPr>
          <t xml:space="preserve">cdean2: Inadvertant schedule w/LA 25mw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<sst xmlns="http://schemas.openxmlformats.org/spreadsheetml/2006/main" count="748" uniqueCount="397">
  <si>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</si>
  <si>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</si>
  <si>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</si>
  <si>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</si>
  <si>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</si>
  <si>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</si>
  <si>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</si>
  <si>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</si>
  <si>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</si>
  <si>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</si>
  <si>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</si>
  <si>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</si>
  <si>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</si>
  <si>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</si>
  <si>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</si>
  <si>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</si>
  <si>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</si>
  <si>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</si>
  <si>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</si>
  <si>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</si>
  <si>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</si>
  <si>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</si>
  <si>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</si>
  <si>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</si>
  <si>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</si>
  <si>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</si>
  <si>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</si>
  <si>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</si>
  <si>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</si>
  <si>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</si>
  <si>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</si>
  <si>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</si>
  <si>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</si>
  <si>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</si>
  <si>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</si>
  <si>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</si>
  <si>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</si>
  <si>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</si>
  <si>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</si>
  <si>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</si>
  <si>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</si>
  <si>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</si>
  <si>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</si>
  <si>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</si>
  <si>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</si>
  <si>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</si>
  <si>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</si>
  <si>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</si>
  <si>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</si>
  <si>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</si>
  <si>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</si>
  <si>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</si>
  <si>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</si>
  <si>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</si>
  <si>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</si>
  <si>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</si>
  <si>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</si>
  <si>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</si>
  <si>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</si>
  <si>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</si>
  <si>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</si>
  <si>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</si>
  <si>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</si>
  <si>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</si>
  <si>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</si>
  <si>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</si>
  <si>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</si>
  <si>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</si>
  <si>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</si>
  <si>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</si>
  <si>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</si>
  <si>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</si>
  <si>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</si>
  <si>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</si>
  <si>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</si>
  <si>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</si>
  <si>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</si>
  <si>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</si>
  <si>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</si>
  <si>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</si>
  <si>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</si>
  <si>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</si>
  <si>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</si>
  <si>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</si>
  <si>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</si>
  <si>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</si>
  <si>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</si>
  <si>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</si>
  <si>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</si>
  <si>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</si>
  <si>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</si>
  <si>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</si>
  <si>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</si>
  <si>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</si>
  <si>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</si>
  <si>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</si>
  <si>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</si>
  <si>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</si>
  <si>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</si>
  <si>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</si>
  <si>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</si>
  <si>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</si>
  <si>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</si>
  <si>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</si>
  <si>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</si>
  <si>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</si>
  <si>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</si>
  <si>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</si>
  <si>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</si>
  <si>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</si>
  <si>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</si>
  <si>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</si>
  <si>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</si>
  <si>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</si>
  <si>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</si>
  <si>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</si>
  <si>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</si>
  <si>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</si>
  <si>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</si>
  <si>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</si>
  <si>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</si>
  <si>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</si>
  <si>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</si>
  <si>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</si>
  <si>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</si>
  <si>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</si>
  <si>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</si>
  <si>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</si>
  <si>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</si>
  <si>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</si>
  <si>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</si>
  <si>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</si>
  <si>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</si>
  <si>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</si>
  <si>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</si>
  <si>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</si>
  <si>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</si>
  <si>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</si>
  <si>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</si>
  <si>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</si>
  <si>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</si>
  <si>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</si>
  <si>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</si>
  <si>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</si>
  <si>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</si>
  <si>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</si>
  <si>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</si>
  <si>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</si>
  <si>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</si>
  <si>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</si>
  <si>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</si>
  <si>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</si>
  <si>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</si>
  <si>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</si>
  <si>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</si>
  <si>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</si>
  <si>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</si>
  <si>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</si>
  <si>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</si>
  <si>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</si>
  <si>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</si>
  <si>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</si>
  <si>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</si>
  <si>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</si>
  <si>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</si>
  <si>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</si>
  <si>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</si>
  <si>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</si>
  <si>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</si>
  <si>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</si>
  <si>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</si>
  <si>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</si>
  <si>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</si>
  <si>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</si>
  <si>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</si>
  <si>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</si>
  <si>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</si>
  <si>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</si>
  <si>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</si>
  <si>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</si>
  <si>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</si>
  <si>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</si>
  <si>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</si>
  <si>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</si>
  <si>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</si>
  <si>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</si>
  <si>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</si>
  <si>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</si>
  <si>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</si>
  <si>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</si>
  <si>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</si>
  <si>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</si>
  <si>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</si>
  <si>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</si>
  <si>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</si>
  <si>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</si>
  <si>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</si>
  <si>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</si>
  <si>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</si>
  <si>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</si>
  <si>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</si>
  <si>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</si>
  <si>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</si>
  <si>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</si>
  <si>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</si>
  <si>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</si>
  <si>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</si>
  <si>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</si>
  <si>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</si>
  <si>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</si>
  <si>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</si>
  <si>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</si>
  <si>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</si>
  <si>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</si>
  <si>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</si>
  <si>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</si>
  <si>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</si>
  <si>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</si>
  <si>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</si>
  <si>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</si>
  <si>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</si>
  <si>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</si>
  <si>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</si>
  <si>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</si>
  <si>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</si>
  <si>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</si>
  <si>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</si>
  <si>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</si>
  <si>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</si>
  <si>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</si>
  <si>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</si>
  <si>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</si>
  <si>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</si>
  <si>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</si>
  <si>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</si>
  <si>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</si>
  <si>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</si>
  <si>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</si>
  <si>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</si>
  <si>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</si>
  <si>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</si>
  <si>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</si>
  <si>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</si>
  <si>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</si>
  <si>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</si>
  <si>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</si>
  <si>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</si>
  <si>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</si>
  <si>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</si>
  <si>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</si>
  <si>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</si>
  <si>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</si>
  <si>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</si>
  <si>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</si>
  <si>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</si>
  <si>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</si>
  <si>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</si>
  <si>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</si>
  <si>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</si>
  <si>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</si>
  <si>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</si>
  <si>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</si>
  <si>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</si>
  <si>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</si>
  <si>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</si>
  <si>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</si>
  <si>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</si>
  <si>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</si>
  <si>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</si>
  <si>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</si>
  <si>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</si>
  <si>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</si>
  <si>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</si>
  <si>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</si>
  <si>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</si>
  <si>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</si>
  <si>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</si>
  <si>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</si>
  <si>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</si>
  <si>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</si>
  <si>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</si>
  <si>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</si>
  <si>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</si>
  <si>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</si>
  <si>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</si>
  <si>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</si>
  <si>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</si>
  <si>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</si>
  <si>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</si>
  <si>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</si>
  <si>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</si>
  <si>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</si>
  <si>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</si>
  <si>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</si>
  <si>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</si>
  <si>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</si>
  <si>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</si>
  <si>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</si>
  <si>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</si>
  <si>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</si>
  <si>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</si>
  <si>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</si>
  <si>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</si>
  <si>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</si>
  <si>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</si>
  <si>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</si>
  <si>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</si>
  <si>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</si>
  <si>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</si>
  <si>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</si>
  <si>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</si>
  <si>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</si>
  <si>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</si>
  <si>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</si>
  <si>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</si>
  <si>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</si>
  <si>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</si>
  <si>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</si>
  <si>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</si>
  <si>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</si>
  <si>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</si>
  <si>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</si>
  <si>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</si>
  <si>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</si>
  <si>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</si>
  <si>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</si>
  <si>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</si>
  <si>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</si>
  <si>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</si>
  <si>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</si>
  <si>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</si>
  <si>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</si>
  <si>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</si>
  <si>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</si>
  <si>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</si>
  <si>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</si>
  <si>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</si>
  <si>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</si>
  <si>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</si>
  <si>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</si>
  <si>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</si>
  <si>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</si>
  <si>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</si>
  <si>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</si>
  <si>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</si>
  <si>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</si>
  <si>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</si>
  <si>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</si>
  <si>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</si>
  <si>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</si>
  <si>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</si>
  <si>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</si>
  <si>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</si>
  <si>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</si>
  <si>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</si>
  <si>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</si>
  <si>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</si>
  <si>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</si>
  <si>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</si>
  <si>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</si>
  <si>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</si>
  <si>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</si>
  <si>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</si>
  <si>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</si>
  <si>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</si>
  <si>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</si>
  <si>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</si>
  <si>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</si>
  <si>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</si>
  <si>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</si>
  <si>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</si>
  <si>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</si>
  <si>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</si>
  <si>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</si>
  <si>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</si>
  <si>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</si>
  <si>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</si>
  <si>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</si>
  <si>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</si>
  <si>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</si>
  <si>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</si>
  <si>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</si>
  <si>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NEWMN/GT1,MANL, 21  , 60  , 18  , 60  ,  0  ,1</t>
  </si>
  <si>
    <t>NEWMAN 4 ,UNAV,  0  ,215  , 86  ,214  ,  0  ,1</t>
  </si>
  <si>
    <t>APS     ,FIRM    ,FC,  ,  25,  25</t>
  </si>
  <si>
    <t>x</t>
  </si>
  <si>
    <t>Econ</t>
  </si>
  <si>
    <t>SPS (PSCO)</t>
  </si>
  <si>
    <t>IPC</t>
  </si>
  <si>
    <t>FOURCRNRS,MANL, 52  , 52  , 52  ,104  ,  0  ,1</t>
  </si>
  <si>
    <t>NEWMAN 2 ,MANL, 41  , 75  , 34  , 83  ,  0  ,1</t>
  </si>
  <si>
    <t>NEWMN/GT2,MANL, 25  , 60  , 18  , 60  ,  0  ,1</t>
  </si>
  <si>
    <t xml:space="preserve">NEWMAN   ,, 125 ,  295,  105, 306 ,  40 , </t>
  </si>
  <si>
    <t>LAMBDA, 28.57,  607,  607,  150,   16,    0, 8947,7</t>
  </si>
  <si>
    <t>IID     ,FIRM    ,PV,  ,  70,  60</t>
  </si>
  <si>
    <t>PGT     ,LOSS    ,LC,  ,  -1,  -2</t>
  </si>
  <si>
    <t>TNP     ,FIRM    ,HI,  ,  60,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</si>
</sst>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2"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90</xdr:row>
      <xdr:rowOff>76200</xdr:rowOff>
    </xdr:from>
    <xdr:to>
      <xdr:col>22</xdr:col>
      <xdr:colOff>129540</xdr:colOff>
      <xdr:row>101</xdr:row>
      <xdr:rowOff>0</xdr:rowOff>
    </xdr:to>
    <xdr:sp macro="" textlink="">
      <xdr:nvSpPr>
        <xdr:cNvPr id="2303" name="Text Box 255"/>
        <xdr:cNvSpPr txBox="1">
          <a:spLocks noChangeArrowheads="1"/>
        </xdr:cNvSpPr>
      </xdr:nvSpPr>
      <xdr:spPr bwMode="auto">
        <a:xfrm>
          <a:off x="175260" y="71704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106</xdr:row>
      <xdr:rowOff>0</xdr:rowOff>
    </xdr:from>
    <xdr:to>
      <xdr:col>22</xdr:col>
      <xdr:colOff>68580</xdr:colOff>
      <xdr:row>112</xdr:row>
      <xdr:rowOff>45720</xdr:rowOff>
    </xdr:to>
    <xdr:sp macro="" textlink="">
      <xdr:nvSpPr>
        <xdr:cNvPr id="10463" name="Text Box 1247"/>
        <xdr:cNvSpPr txBox="1">
          <a:spLocks noChangeArrowheads="1"/>
        </xdr:cNvSpPr>
      </xdr:nvSpPr>
      <xdr:spPr bwMode="auto">
        <a:xfrm>
          <a:off x="213360" y="99364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zoomScale="60" zoomScaleNormal="65" workbookViewId="0">
      <selection activeCell="V80" sqref="V80"/>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5">
      <c r="A3" s="620" t="s">
        <v>62</v>
      </c>
      <c r="B3" s="626" t="s">
        <v>61</v>
      </c>
      <c r="C3" s="627" t="s">
        <v>151</v>
      </c>
      <c r="D3" s="627"/>
      <c r="E3" s="623"/>
      <c r="F3" s="673">
        <v>65</v>
      </c>
      <c r="G3" s="673">
        <v>50</v>
      </c>
      <c r="H3" s="673">
        <v>50</v>
      </c>
      <c r="I3" s="673">
        <v>50</v>
      </c>
      <c r="J3" s="673">
        <v>50</v>
      </c>
      <c r="K3" s="673">
        <v>50</v>
      </c>
      <c r="L3" s="673">
        <v>50</v>
      </c>
      <c r="M3" s="673">
        <v>70</v>
      </c>
      <c r="N3" s="673">
        <v>70</v>
      </c>
      <c r="O3" s="673">
        <v>70</v>
      </c>
      <c r="P3" s="673">
        <v>90</v>
      </c>
      <c r="Q3" s="673">
        <v>90</v>
      </c>
      <c r="R3" s="673">
        <v>90</v>
      </c>
      <c r="S3" s="673">
        <v>90</v>
      </c>
      <c r="T3" s="673">
        <v>90</v>
      </c>
      <c r="U3" s="673">
        <v>90</v>
      </c>
      <c r="V3" s="673">
        <v>90</v>
      </c>
      <c r="W3" s="673">
        <v>90</v>
      </c>
      <c r="X3" s="673">
        <v>110</v>
      </c>
      <c r="Y3" s="673">
        <v>110</v>
      </c>
      <c r="Z3" s="673">
        <v>110</v>
      </c>
      <c r="AA3" s="673">
        <v>110</v>
      </c>
      <c r="AB3" s="673">
        <v>90</v>
      </c>
      <c r="AC3" s="720">
        <v>70</v>
      </c>
      <c r="AD3" s="612">
        <f>SUM(F3:AC3)</f>
        <v>1895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21" t="s">
        <v>64</v>
      </c>
      <c r="B4" s="628" t="s">
        <v>61</v>
      </c>
      <c r="C4" s="629"/>
      <c r="D4" s="629"/>
      <c r="E4" s="624"/>
      <c r="F4" s="608">
        <v>55</v>
      </c>
      <c r="G4" s="608">
        <v>55</v>
      </c>
      <c r="H4" s="608">
        <v>50</v>
      </c>
      <c r="I4" s="608">
        <v>50</v>
      </c>
      <c r="J4" s="608">
        <v>50</v>
      </c>
      <c r="K4" s="608">
        <v>50</v>
      </c>
      <c r="L4" s="608">
        <v>60</v>
      </c>
      <c r="M4" s="608">
        <v>60</v>
      </c>
      <c r="N4" s="608">
        <v>60</v>
      </c>
      <c r="O4" s="608">
        <v>65</v>
      </c>
      <c r="P4" s="608">
        <v>65</v>
      </c>
      <c r="Q4" s="608">
        <v>60</v>
      </c>
      <c r="R4" s="608">
        <v>60</v>
      </c>
      <c r="S4" s="608">
        <v>60</v>
      </c>
      <c r="T4" s="608">
        <v>60</v>
      </c>
      <c r="U4" s="608">
        <v>60</v>
      </c>
      <c r="V4" s="608">
        <v>60</v>
      </c>
      <c r="W4" s="608">
        <v>70</v>
      </c>
      <c r="X4" s="608">
        <v>70</v>
      </c>
      <c r="Y4" s="608">
        <v>75</v>
      </c>
      <c r="Z4" s="608">
        <v>75</v>
      </c>
      <c r="AA4" s="608">
        <v>70</v>
      </c>
      <c r="AB4" s="608">
        <v>65</v>
      </c>
      <c r="AC4" s="721">
        <v>60</v>
      </c>
      <c r="AD4" s="574">
        <f>SUM(F4:AC4)</f>
        <v>1465</v>
      </c>
      <c r="AE4" s="575">
        <f>AD4*D4</f>
        <v>0</v>
      </c>
      <c r="AF4" s="527" t="str">
        <f>IF(AD4&lt;0,"buy","sell")</f>
        <v>sell</v>
      </c>
    </row>
    <row r="5" spans="1:75" s="356" customFormat="1" x14ac:dyDescent="0.25">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5">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5">
      <c r="A7" s="622" t="s">
        <v>3</v>
      </c>
      <c r="B7" s="630"/>
      <c r="C7" s="630" t="s">
        <v>351</v>
      </c>
      <c r="D7" s="630"/>
      <c r="E7" s="649"/>
      <c r="F7" s="689"/>
      <c r="G7" s="689"/>
      <c r="H7" s="689"/>
      <c r="I7" s="689"/>
      <c r="J7" s="689"/>
      <c r="K7" s="689"/>
      <c r="L7" s="689"/>
      <c r="M7" s="689"/>
      <c r="N7" s="689">
        <v>-80</v>
      </c>
      <c r="O7" s="689">
        <v>-80</v>
      </c>
      <c r="P7" s="689">
        <v>-80</v>
      </c>
      <c r="Q7" s="689">
        <v>-80</v>
      </c>
      <c r="R7" s="689">
        <v>-80</v>
      </c>
      <c r="S7" s="689">
        <v>-80</v>
      </c>
      <c r="T7" s="689">
        <v>-80</v>
      </c>
      <c r="U7" s="689">
        <v>-80</v>
      </c>
      <c r="V7" s="689">
        <v>-80</v>
      </c>
      <c r="W7" s="689">
        <v>-133</v>
      </c>
      <c r="X7" s="689">
        <v>-133</v>
      </c>
      <c r="Y7" s="689">
        <v>-133</v>
      </c>
      <c r="Z7" s="689">
        <v>-133</v>
      </c>
      <c r="AA7" s="689">
        <v>-133</v>
      </c>
      <c r="AB7" s="689">
        <v>-80</v>
      </c>
      <c r="AC7" s="689"/>
      <c r="AD7" s="609"/>
      <c r="AE7" s="650"/>
      <c r="AF7" s="651"/>
    </row>
    <row r="8" spans="1:75" s="356" customFormat="1" x14ac:dyDescent="0.25">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5">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5">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5">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5">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5">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3.8"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5">
      <c r="A15" s="591" t="s">
        <v>267</v>
      </c>
      <c r="B15" s="471" t="s">
        <v>240</v>
      </c>
      <c r="C15" s="471" t="s">
        <v>151</v>
      </c>
      <c r="D15" s="472">
        <f>F94</f>
        <v>0</v>
      </c>
      <c r="E15" s="472"/>
      <c r="F15" s="475">
        <v>0</v>
      </c>
      <c r="G15" s="636"/>
      <c r="H15" s="475"/>
      <c r="I15" s="472">
        <f>K94</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5">
      <c r="A16" s="591" t="s">
        <v>267</v>
      </c>
      <c r="B16" s="471" t="s">
        <v>240</v>
      </c>
      <c r="C16" s="471" t="s">
        <v>151</v>
      </c>
      <c r="D16" s="472">
        <f>F95</f>
        <v>0</v>
      </c>
      <c r="E16" s="472"/>
      <c r="F16" s="475"/>
      <c r="G16" s="475"/>
      <c r="H16" s="475"/>
      <c r="I16" s="472">
        <f>K95</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5">
      <c r="A17" s="591" t="s">
        <v>267</v>
      </c>
      <c r="B17" s="471" t="s">
        <v>240</v>
      </c>
      <c r="C17" s="471" t="s">
        <v>151</v>
      </c>
      <c r="D17" s="472">
        <f>F96</f>
        <v>0</v>
      </c>
      <c r="E17" s="472"/>
      <c r="F17" s="475"/>
      <c r="G17" s="636"/>
      <c r="H17" s="475"/>
      <c r="I17" s="472">
        <f>K96</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5">
      <c r="A18" s="591" t="s">
        <v>267</v>
      </c>
      <c r="B18" s="471" t="s">
        <v>240</v>
      </c>
      <c r="C18" s="471" t="s">
        <v>151</v>
      </c>
      <c r="D18" s="472">
        <f>F97</f>
        <v>0</v>
      </c>
      <c r="E18" s="472"/>
      <c r="F18" s="475"/>
      <c r="G18" s="636"/>
      <c r="H18" s="475"/>
      <c r="I18" s="472">
        <f>K97</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5">
      <c r="A19" s="591" t="s">
        <v>267</v>
      </c>
      <c r="B19" s="471" t="s">
        <v>240</v>
      </c>
      <c r="C19" s="471" t="s">
        <v>151</v>
      </c>
      <c r="D19" s="472">
        <f t="shared" ref="D19:D38" si="3">F98</f>
        <v>0</v>
      </c>
      <c r="E19" s="472"/>
      <c r="F19" s="475"/>
      <c r="G19" s="636"/>
      <c r="H19" s="475"/>
      <c r="I19" s="472">
        <f t="shared" ref="I19:I38" si="4">K98</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5">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5">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5">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5">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5">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5">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5">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5">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5">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5">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5">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5">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5">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5">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5">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5">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5">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5">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5">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5">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5">
      <c r="A40" s="591" t="s">
        <v>267</v>
      </c>
      <c r="B40" s="471" t="s">
        <v>240</v>
      </c>
      <c r="C40" s="471" t="s">
        <v>268</v>
      </c>
      <c r="D40" s="472">
        <f t="shared" ref="D40:D62" si="5">F124</f>
        <v>0</v>
      </c>
      <c r="E40" s="472"/>
      <c r="F40" s="475">
        <v>0</v>
      </c>
      <c r="G40" s="475"/>
      <c r="H40" s="475"/>
      <c r="I40" s="472">
        <f t="shared" ref="I40:I62" si="6">K124</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5">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5">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5">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5">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5">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5">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5">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5">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5">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5">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5">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5">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5">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5">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5">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5">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5">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5">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5">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5">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5">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5">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5">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5">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5">
      <c r="A65" s="595" t="s">
        <v>224</v>
      </c>
      <c r="B65" s="597" t="s">
        <v>240</v>
      </c>
      <c r="C65" s="597" t="s">
        <v>268</v>
      </c>
      <c r="D65" s="668">
        <v>22.25</v>
      </c>
      <c r="E65" s="667"/>
      <c r="F65" s="475">
        <v>25</v>
      </c>
      <c r="G65" s="475">
        <v>25</v>
      </c>
      <c r="H65" s="475">
        <v>25</v>
      </c>
      <c r="I65" s="475">
        <v>25</v>
      </c>
      <c r="J65" s="475">
        <v>25</v>
      </c>
      <c r="K65" s="475">
        <v>25</v>
      </c>
      <c r="L65" s="475">
        <v>25</v>
      </c>
      <c r="M65" s="475">
        <v>25</v>
      </c>
      <c r="N65" s="475">
        <v>25</v>
      </c>
      <c r="O65" s="475">
        <v>25</v>
      </c>
      <c r="P65" s="475">
        <v>25</v>
      </c>
      <c r="Q65" s="475">
        <v>25</v>
      </c>
      <c r="R65" s="475">
        <v>25</v>
      </c>
      <c r="S65" s="702">
        <v>25</v>
      </c>
      <c r="T65" s="475">
        <v>25</v>
      </c>
      <c r="U65" s="475">
        <v>25</v>
      </c>
      <c r="V65" s="475">
        <v>25</v>
      </c>
      <c r="W65" s="475">
        <v>25</v>
      </c>
      <c r="X65" s="475">
        <v>25</v>
      </c>
      <c r="Y65" s="475">
        <v>25</v>
      </c>
      <c r="Z65" s="475">
        <v>25</v>
      </c>
      <c r="AA65" s="475">
        <v>25</v>
      </c>
      <c r="AB65" s="475">
        <v>25</v>
      </c>
      <c r="AC65" s="719">
        <v>25</v>
      </c>
      <c r="AD65" s="571">
        <f>SUM(E65:AC65)</f>
        <v>600</v>
      </c>
      <c r="AE65" s="662">
        <f>AD65*D65</f>
        <v>13350</v>
      </c>
      <c r="AF65" s="663" t="str">
        <f>IF(AD65&lt;0,"buy","sell")</f>
        <v>sell</v>
      </c>
    </row>
    <row r="66" spans="1:33" s="356" customFormat="1" ht="12.75" customHeight="1" x14ac:dyDescent="0.25">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5">
      <c r="A67" s="595"/>
      <c r="B67" s="594"/>
      <c r="C67" s="594"/>
      <c r="D67" s="668"/>
      <c r="E67" s="667"/>
      <c r="F67" s="475"/>
      <c r="G67" s="475"/>
      <c r="H67" s="475"/>
      <c r="I67" s="475"/>
      <c r="J67" s="475"/>
      <c r="K67" s="475"/>
      <c r="L67" s="475"/>
      <c r="M67" s="475"/>
      <c r="N67" s="475"/>
      <c r="O67" s="475"/>
      <c r="P67" s="475"/>
      <c r="Q67" s="475"/>
      <c r="R67" s="475"/>
      <c r="S67" s="702"/>
      <c r="T67" s="702"/>
      <c r="U67" s="702"/>
      <c r="V67" s="702"/>
      <c r="W67" s="702"/>
      <c r="X67" s="702"/>
      <c r="Y67" s="702"/>
      <c r="Z67" s="702"/>
      <c r="AA67" s="702"/>
      <c r="AB67" s="702"/>
      <c r="AC67" s="475"/>
      <c r="AD67" s="571">
        <f>SUM(E67:AC67)</f>
        <v>0</v>
      </c>
      <c r="AE67" s="662">
        <f>AD67*D67</f>
        <v>0</v>
      </c>
      <c r="AF67" s="663" t="str">
        <f>IF(AD67&lt;0,"buy","sell")</f>
        <v>sell</v>
      </c>
    </row>
    <row r="68" spans="1:33" s="356" customFormat="1" ht="13.8" x14ac:dyDescent="0.25">
      <c r="A68" s="706" t="s">
        <v>361</v>
      </c>
      <c r="B68" s="654"/>
      <c r="C68" s="588"/>
      <c r="D68" s="654"/>
      <c r="E68" s="363"/>
      <c r="F68" s="635"/>
      <c r="G68" s="635"/>
      <c r="H68" s="635"/>
      <c r="I68" s="635"/>
      <c r="J68" s="635"/>
      <c r="K68" s="635"/>
      <c r="L68" s="635"/>
      <c r="M68" s="635"/>
      <c r="N68" s="635"/>
      <c r="O68" s="635"/>
      <c r="P68" s="635"/>
      <c r="Q68" s="635"/>
      <c r="R68" s="635"/>
      <c r="S68" s="701"/>
      <c r="T68" s="635"/>
      <c r="U68" s="635"/>
      <c r="V68" s="635"/>
      <c r="W68" s="635"/>
      <c r="X68" s="635"/>
      <c r="Y68" s="635"/>
      <c r="Z68" s="635"/>
      <c r="AA68" s="635"/>
      <c r="AB68" s="635"/>
      <c r="AC68" s="635"/>
      <c r="AD68" s="654"/>
      <c r="AE68" s="659"/>
      <c r="AF68" s="659"/>
    </row>
    <row r="69" spans="1:33" s="356" customFormat="1" x14ac:dyDescent="0.25">
      <c r="A69" s="596"/>
      <c r="B69" s="599"/>
      <c r="C69" s="599"/>
      <c r="D69" s="598"/>
      <c r="E69" s="593"/>
      <c r="F69" s="669"/>
      <c r="G69" s="669"/>
      <c r="H69" s="669"/>
      <c r="I69" s="669"/>
      <c r="J69" s="669"/>
      <c r="K69" s="669"/>
      <c r="L69" s="669"/>
      <c r="M69" s="669"/>
      <c r="N69" s="669"/>
      <c r="O69" s="669"/>
      <c r="P69" s="669"/>
      <c r="Q69" s="669"/>
      <c r="R69" s="669"/>
      <c r="S69" s="703"/>
      <c r="T69" s="669"/>
      <c r="U69" s="669"/>
      <c r="V69" s="669"/>
      <c r="W69" s="669"/>
      <c r="X69" s="669"/>
      <c r="Y69" s="669"/>
      <c r="Z69" s="669"/>
      <c r="AA69" s="669"/>
      <c r="AB69" s="669"/>
      <c r="AC69" s="669"/>
      <c r="AD69" s="571">
        <f>SUM(E69:AC69)</f>
        <v>0</v>
      </c>
      <c r="AE69" s="662">
        <f>AD69*D69</f>
        <v>0</v>
      </c>
      <c r="AF69" s="663" t="str">
        <f>IF(AD69&lt;0,"buy","sell")</f>
        <v>sell</v>
      </c>
    </row>
    <row r="70" spans="1:33" s="356" customFormat="1" x14ac:dyDescent="0.25">
      <c r="A70" s="596" t="s">
        <v>387</v>
      </c>
      <c r="B70" s="599" t="s">
        <v>381</v>
      </c>
      <c r="C70" s="599" t="s">
        <v>151</v>
      </c>
      <c r="D70" s="598">
        <v>11</v>
      </c>
      <c r="E70" s="593"/>
      <c r="F70" s="669"/>
      <c r="G70" s="669"/>
      <c r="H70" s="669"/>
      <c r="I70" s="669"/>
      <c r="J70" s="669"/>
      <c r="K70" s="669"/>
      <c r="L70" s="669"/>
      <c r="M70" s="669">
        <v>50</v>
      </c>
      <c r="N70" s="669">
        <v>50</v>
      </c>
      <c r="O70" s="669">
        <v>50</v>
      </c>
      <c r="P70" s="669">
        <v>50</v>
      </c>
      <c r="Q70" s="669">
        <v>50</v>
      </c>
      <c r="R70" s="669">
        <v>50</v>
      </c>
      <c r="S70" s="703">
        <v>50</v>
      </c>
      <c r="T70" s="669">
        <v>50</v>
      </c>
      <c r="U70" s="669">
        <v>50</v>
      </c>
      <c r="V70" s="669">
        <v>50</v>
      </c>
      <c r="W70" s="669">
        <v>50</v>
      </c>
      <c r="X70" s="669">
        <v>50</v>
      </c>
      <c r="Y70" s="669">
        <v>50</v>
      </c>
      <c r="Z70" s="669">
        <v>50</v>
      </c>
      <c r="AA70" s="669">
        <v>50</v>
      </c>
      <c r="AB70" s="669">
        <v>50</v>
      </c>
      <c r="AC70" s="669"/>
      <c r="AD70" s="571">
        <f>SUM(E70:AC70)</f>
        <v>800</v>
      </c>
      <c r="AE70" s="662">
        <f>AD70*D70</f>
        <v>8800</v>
      </c>
      <c r="AF70" s="663" t="str">
        <f>IF(AD70&lt;0,"buy","sell")</f>
        <v>sell</v>
      </c>
    </row>
    <row r="71" spans="1:33" s="356" customFormat="1" x14ac:dyDescent="0.25">
      <c r="A71" s="596" t="s">
        <v>63</v>
      </c>
      <c r="B71" s="599" t="s">
        <v>386</v>
      </c>
      <c r="C71" s="599" t="s">
        <v>151</v>
      </c>
      <c r="D71" s="598">
        <v>10</v>
      </c>
      <c r="E71" s="593"/>
      <c r="F71" s="669"/>
      <c r="G71" s="669">
        <v>26</v>
      </c>
      <c r="H71" s="669">
        <v>45</v>
      </c>
      <c r="I71" s="669">
        <v>25</v>
      </c>
      <c r="J71" s="669">
        <v>40</v>
      </c>
      <c r="K71" s="669">
        <v>40</v>
      </c>
      <c r="L71" s="669"/>
      <c r="M71" s="669"/>
      <c r="N71" s="669"/>
      <c r="O71" s="669"/>
      <c r="P71" s="669"/>
      <c r="Q71" s="669"/>
      <c r="R71" s="669"/>
      <c r="S71" s="703"/>
      <c r="T71" s="669"/>
      <c r="U71" s="669"/>
      <c r="V71" s="669"/>
      <c r="W71" s="669"/>
      <c r="X71" s="669"/>
      <c r="Y71" s="669"/>
      <c r="Z71" s="669"/>
      <c r="AA71" s="669"/>
      <c r="AB71" s="669"/>
      <c r="AC71" s="669"/>
      <c r="AD71" s="571">
        <f>SUM(E71:AC71)</f>
        <v>176</v>
      </c>
      <c r="AE71" s="662">
        <f>AD71*D71</f>
        <v>1760</v>
      </c>
      <c r="AF71" s="663" t="str">
        <f>IF(AD71&lt;0,"buy","sell")</f>
        <v>sell</v>
      </c>
    </row>
    <row r="72" spans="1:33" s="356" customFormat="1" x14ac:dyDescent="0.25">
      <c r="A72" s="596" t="s">
        <v>63</v>
      </c>
      <c r="B72" s="599" t="s">
        <v>386</v>
      </c>
      <c r="C72" s="599" t="s">
        <v>151</v>
      </c>
      <c r="D72" s="598">
        <v>12</v>
      </c>
      <c r="E72" s="593"/>
      <c r="F72" s="669"/>
      <c r="G72" s="669"/>
      <c r="H72" s="669"/>
      <c r="I72" s="669"/>
      <c r="J72" s="669"/>
      <c r="K72" s="669"/>
      <c r="L72" s="669">
        <v>40</v>
      </c>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5">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3.8"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5">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x14ac:dyDescent="0.25">
      <c r="A76" s="595"/>
      <c r="B76" s="597"/>
      <c r="C76" s="597"/>
      <c r="D76" s="668"/>
      <c r="E76" s="667"/>
      <c r="F76" s="475"/>
      <c r="G76" s="475"/>
      <c r="H76" s="475"/>
      <c r="I76" s="475"/>
      <c r="J76" s="475"/>
      <c r="K76" s="475"/>
      <c r="L76" s="475"/>
      <c r="M76" s="475"/>
      <c r="N76" s="475"/>
      <c r="O76" s="475"/>
      <c r="P76" s="475"/>
      <c r="Q76" s="475"/>
      <c r="R76" s="475"/>
      <c r="S76" s="702"/>
      <c r="T76" s="475"/>
      <c r="U76" s="475"/>
      <c r="V76" s="475"/>
      <c r="W76" s="475"/>
      <c r="X76" s="475"/>
      <c r="Y76" s="475"/>
      <c r="Z76" s="475"/>
      <c r="AA76" s="475"/>
      <c r="AB76" s="475"/>
      <c r="AC76" s="475"/>
      <c r="AD76" s="571">
        <f>SUM(E76:AC76)</f>
        <v>0</v>
      </c>
      <c r="AE76" s="662">
        <f>AD76*D76</f>
        <v>0</v>
      </c>
      <c r="AF76" s="663" t="str">
        <f>IF(AD76&lt;0,"buy","sell")</f>
        <v>sell</v>
      </c>
    </row>
    <row r="77" spans="1:33" s="356" customFormat="1" ht="13.8" x14ac:dyDescent="0.25">
      <c r="A77" s="707" t="s">
        <v>359</v>
      </c>
      <c r="B77" s="538"/>
      <c r="C77" s="538"/>
      <c r="D77" s="538"/>
      <c r="E77" s="589"/>
      <c r="F77" s="538"/>
      <c r="G77" s="538"/>
      <c r="H77" s="538"/>
      <c r="I77" s="538"/>
      <c r="J77" s="538"/>
      <c r="K77" s="538"/>
      <c r="L77" s="538"/>
      <c r="M77" s="538"/>
      <c r="N77" s="538"/>
      <c r="O77" s="538"/>
      <c r="P77" s="538"/>
      <c r="Q77" s="538"/>
      <c r="R77" s="538"/>
      <c r="S77" s="704"/>
      <c r="T77" s="538"/>
      <c r="U77" s="538"/>
      <c r="V77" s="538"/>
      <c r="W77" s="538"/>
      <c r="X77" s="538"/>
      <c r="Y77" s="538"/>
      <c r="Z77" s="538"/>
      <c r="AA77" s="538"/>
      <c r="AB77" s="538"/>
      <c r="AC77" s="538"/>
      <c r="AD77" s="538"/>
      <c r="AE77" s="538"/>
      <c r="AF77" s="538"/>
      <c r="AG77" s="466"/>
    </row>
    <row r="78" spans="1:33" s="356" customFormat="1" x14ac:dyDescent="0.25">
      <c r="A78" s="695"/>
      <c r="B78" s="599"/>
      <c r="C78" s="696"/>
      <c r="D78" s="598"/>
      <c r="E78" s="697"/>
      <c r="F78" s="669"/>
      <c r="G78" s="698"/>
      <c r="H78" s="698"/>
      <c r="I78" s="698"/>
      <c r="J78" s="698"/>
      <c r="K78" s="698"/>
      <c r="L78" s="698"/>
      <c r="M78" s="698"/>
      <c r="N78" s="698"/>
      <c r="O78" s="698"/>
      <c r="P78" s="698"/>
      <c r="Q78" s="698"/>
      <c r="R78" s="698"/>
      <c r="S78" s="705"/>
      <c r="T78" s="698"/>
      <c r="U78" s="698"/>
      <c r="V78" s="698"/>
      <c r="W78" s="698"/>
      <c r="X78" s="698"/>
      <c r="Y78" s="698"/>
      <c r="Z78" s="698"/>
      <c r="AA78" s="698"/>
      <c r="AB78" s="698"/>
      <c r="AC78" s="698"/>
      <c r="AD78" s="571">
        <f>SUM(AA78:AC78)</f>
        <v>0</v>
      </c>
      <c r="AE78" s="662">
        <f>AD78*D78</f>
        <v>0</v>
      </c>
      <c r="AF78" s="663"/>
    </row>
    <row r="79" spans="1:33" s="356" customFormat="1" x14ac:dyDescent="0.25">
      <c r="A79" s="695" t="s">
        <v>63</v>
      </c>
      <c r="B79" s="599" t="s">
        <v>386</v>
      </c>
      <c r="C79" s="696" t="s">
        <v>151</v>
      </c>
      <c r="D79" s="598">
        <v>11</v>
      </c>
      <c r="E79" s="697"/>
      <c r="F79" s="669"/>
      <c r="G79" s="698"/>
      <c r="H79" s="698"/>
      <c r="I79" s="698"/>
      <c r="J79" s="698"/>
      <c r="K79" s="698"/>
      <c r="L79" s="698"/>
      <c r="M79" s="698"/>
      <c r="N79" s="698"/>
      <c r="O79" s="698"/>
      <c r="P79" s="698"/>
      <c r="Q79" s="698"/>
      <c r="R79" s="698"/>
      <c r="S79" s="705"/>
      <c r="T79" s="698"/>
      <c r="U79" s="698">
        <v>-25</v>
      </c>
      <c r="V79" s="698"/>
      <c r="W79" s="698"/>
      <c r="X79" s="698"/>
      <c r="Y79" s="698"/>
      <c r="Z79" s="698"/>
      <c r="AA79" s="698"/>
      <c r="AB79" s="698"/>
      <c r="AC79" s="698"/>
      <c r="AD79" s="571">
        <f>SUM(E79:AC79)</f>
        <v>-25</v>
      </c>
      <c r="AE79" s="662">
        <f>AD79*D79</f>
        <v>-275</v>
      </c>
      <c r="AF79" s="663" t="str">
        <f>IF(AD79&lt;0,"buy","sell")</f>
        <v>buy</v>
      </c>
    </row>
    <row r="80" spans="1:33" s="356" customFormat="1" x14ac:dyDescent="0.25">
      <c r="A80" s="695" t="s">
        <v>63</v>
      </c>
      <c r="B80" s="599" t="s">
        <v>386</v>
      </c>
      <c r="C80" s="696" t="s">
        <v>151</v>
      </c>
      <c r="D80" s="598">
        <v>14</v>
      </c>
      <c r="E80" s="697"/>
      <c r="F80" s="669"/>
      <c r="G80" s="698"/>
      <c r="H80" s="698"/>
      <c r="I80" s="698"/>
      <c r="J80" s="698"/>
      <c r="K80" s="698"/>
      <c r="L80" s="698"/>
      <c r="M80" s="698"/>
      <c r="N80" s="698"/>
      <c r="O80" s="698"/>
      <c r="P80" s="698"/>
      <c r="Q80" s="698"/>
      <c r="R80" s="698"/>
      <c r="S80" s="705"/>
      <c r="T80" s="698"/>
      <c r="U80" s="698"/>
      <c r="V80" s="698">
        <v>-25</v>
      </c>
      <c r="W80" s="698"/>
      <c r="X80" s="698"/>
      <c r="Y80" s="698"/>
      <c r="Z80" s="698"/>
      <c r="AA80" s="698"/>
      <c r="AB80" s="698"/>
      <c r="AC80" s="698"/>
      <c r="AD80" s="571">
        <f>SUM(E80:AC80)</f>
        <v>-25</v>
      </c>
      <c r="AE80" s="662">
        <f>AD80*D80</f>
        <v>-350</v>
      </c>
      <c r="AF80" s="663" t="str">
        <f>IF(AD80&lt;0,"buy","sell")</f>
        <v>buy</v>
      </c>
    </row>
    <row r="81" spans="1:33" s="356" customFormat="1" x14ac:dyDescent="0.25">
      <c r="A81" s="695" t="s">
        <v>388</v>
      </c>
      <c r="B81" s="599" t="s">
        <v>381</v>
      </c>
      <c r="C81" s="696" t="s">
        <v>268</v>
      </c>
      <c r="D81" s="598">
        <v>22</v>
      </c>
      <c r="E81" s="697"/>
      <c r="F81" s="669"/>
      <c r="G81" s="698"/>
      <c r="H81" s="698"/>
      <c r="I81" s="698"/>
      <c r="J81" s="698"/>
      <c r="K81" s="698"/>
      <c r="L81" s="698"/>
      <c r="M81" s="698"/>
      <c r="N81" s="698"/>
      <c r="O81" s="698"/>
      <c r="P81" s="698"/>
      <c r="Q81" s="698"/>
      <c r="R81" s="698"/>
      <c r="S81" s="705"/>
      <c r="T81" s="698"/>
      <c r="U81" s="698"/>
      <c r="V81" s="698"/>
      <c r="W81" s="698"/>
      <c r="X81" s="698">
        <v>-25</v>
      </c>
      <c r="Y81" s="698">
        <v>-50</v>
      </c>
      <c r="Z81" s="698">
        <v>-50</v>
      </c>
      <c r="AA81" s="698">
        <v>-25</v>
      </c>
      <c r="AB81" s="698"/>
      <c r="AC81" s="698"/>
      <c r="AD81" s="571">
        <f>SUM(E81:AC81)</f>
        <v>-150</v>
      </c>
      <c r="AE81" s="662">
        <f>AD81*D81</f>
        <v>-3300</v>
      </c>
      <c r="AF81" s="663" t="str">
        <f>IF(AD81&lt;0,"buy","sell")</f>
        <v>buy</v>
      </c>
    </row>
    <row r="82" spans="1:33" s="356" customFormat="1" x14ac:dyDescent="0.25">
      <c r="A82" s="695"/>
      <c r="B82" s="599"/>
      <c r="C82" s="696"/>
      <c r="D82" s="598"/>
      <c r="E82" s="697"/>
      <c r="F82" s="669"/>
      <c r="G82" s="698"/>
      <c r="H82" s="698"/>
      <c r="I82" s="698"/>
      <c r="J82" s="698"/>
      <c r="K82" s="698"/>
      <c r="L82" s="698"/>
      <c r="M82" s="698"/>
      <c r="N82" s="698"/>
      <c r="O82" s="698"/>
      <c r="P82" s="698"/>
      <c r="Q82" s="698"/>
      <c r="R82" s="698"/>
      <c r="S82" s="698"/>
      <c r="T82" s="698"/>
      <c r="U82" s="698"/>
      <c r="V82" s="698"/>
      <c r="W82" s="698"/>
      <c r="X82" s="698"/>
      <c r="Y82" s="698"/>
      <c r="Z82" s="698"/>
      <c r="AA82" s="698"/>
      <c r="AB82" s="698"/>
      <c r="AC82" s="698"/>
      <c r="AD82" s="571">
        <f>SUM(AA82:AC82)</f>
        <v>0</v>
      </c>
      <c r="AE82" s="662">
        <f>AD82*D82</f>
        <v>0</v>
      </c>
      <c r="AF82" s="663"/>
    </row>
    <row r="83" spans="1:33" s="356" customFormat="1" ht="13.8" x14ac:dyDescent="0.25">
      <c r="A83" s="707" t="s">
        <v>362</v>
      </c>
      <c r="B83" s="538"/>
      <c r="C83" s="538"/>
      <c r="D83" s="538"/>
      <c r="E83" s="589"/>
      <c r="F83" s="538"/>
      <c r="G83" s="538"/>
      <c r="H83" s="538"/>
      <c r="I83" s="538"/>
      <c r="J83" s="538"/>
      <c r="K83" s="538"/>
      <c r="L83" s="538"/>
      <c r="M83" s="538"/>
      <c r="N83" s="538"/>
      <c r="O83" s="538"/>
      <c r="P83" s="538"/>
      <c r="Q83" s="538"/>
      <c r="R83" s="538"/>
      <c r="S83" s="538"/>
      <c r="T83" s="538"/>
      <c r="U83" s="538"/>
      <c r="V83" s="538"/>
      <c r="W83" s="538"/>
      <c r="X83" s="538"/>
      <c r="Y83" s="538"/>
      <c r="Z83" s="538"/>
      <c r="AA83" s="538"/>
      <c r="AB83" s="538"/>
      <c r="AC83" s="538"/>
      <c r="AD83" s="538"/>
      <c r="AE83" s="538"/>
      <c r="AF83" s="538"/>
      <c r="AG83" s="466"/>
    </row>
    <row r="84" spans="1:33" s="356" customFormat="1" x14ac:dyDescent="0.25">
      <c r="A84" s="543"/>
      <c r="B84" s="551"/>
      <c r="C84" s="551"/>
      <c r="D84" s="674"/>
      <c r="E84" s="544"/>
      <c r="F84" s="545"/>
      <c r="G84" s="546"/>
      <c r="H84" s="545"/>
      <c r="I84" s="545"/>
      <c r="J84" s="545"/>
      <c r="K84" s="545"/>
      <c r="L84" s="545"/>
      <c r="M84" s="545"/>
      <c r="N84" s="545"/>
      <c r="O84" s="545"/>
      <c r="P84" s="545"/>
      <c r="Q84" s="545"/>
      <c r="R84" s="545"/>
      <c r="S84" s="545"/>
      <c r="T84" s="545"/>
      <c r="U84" s="545"/>
      <c r="V84" s="545"/>
      <c r="W84" s="545"/>
      <c r="X84" s="545"/>
      <c r="Y84" s="545"/>
      <c r="Z84" s="545"/>
      <c r="AA84" s="545"/>
      <c r="AB84" s="545"/>
      <c r="AC84" s="547"/>
      <c r="AD84" s="571">
        <f>SUM(AA84:AC84)</f>
        <v>0</v>
      </c>
      <c r="AE84" s="662">
        <f>AD84*D84</f>
        <v>0</v>
      </c>
      <c r="AF84" s="663" t="str">
        <f>IF(AD84&lt;0,"buy","sell")</f>
        <v>sell</v>
      </c>
    </row>
    <row r="85" spans="1:33" s="356" customFormat="1" x14ac:dyDescent="0.25">
      <c r="A85" s="543"/>
      <c r="B85" s="551"/>
      <c r="C85" s="551"/>
      <c r="D85" s="674"/>
      <c r="E85" s="544"/>
      <c r="F85" s="545"/>
      <c r="G85" s="546"/>
      <c r="H85" s="545"/>
      <c r="I85" s="545"/>
      <c r="J85" s="545"/>
      <c r="K85" s="545"/>
      <c r="L85" s="545"/>
      <c r="M85" s="545"/>
      <c r="N85" s="545"/>
      <c r="O85" s="545"/>
      <c r="P85" s="545"/>
      <c r="Q85" s="545"/>
      <c r="R85" s="545"/>
      <c r="S85" s="545"/>
      <c r="T85" s="545"/>
      <c r="U85" s="545"/>
      <c r="V85" s="545"/>
      <c r="W85" s="545"/>
      <c r="X85" s="545"/>
      <c r="Y85" s="545"/>
      <c r="Z85" s="545"/>
      <c r="AA85" s="545"/>
      <c r="AB85" s="545"/>
      <c r="AC85" s="547"/>
      <c r="AD85" s="571">
        <f>SUM(E85:AC85)</f>
        <v>0</v>
      </c>
      <c r="AE85" s="662">
        <f>AD85*D85</f>
        <v>0</v>
      </c>
      <c r="AF85" s="663" t="str">
        <f>IF(AD85&lt;0,"buy","sell")</f>
        <v>sell</v>
      </c>
    </row>
    <row r="86" spans="1:33" s="356" customFormat="1" x14ac:dyDescent="0.25">
      <c r="A86" s="543"/>
      <c r="B86" s="551"/>
      <c r="C86" s="551"/>
      <c r="D86" s="674"/>
      <c r="E86" s="544"/>
      <c r="F86" s="545"/>
      <c r="G86" s="546"/>
      <c r="H86" s="545"/>
      <c r="I86" s="545"/>
      <c r="J86" s="545"/>
      <c r="K86" s="545"/>
      <c r="L86" s="545"/>
      <c r="M86" s="545"/>
      <c r="N86" s="545"/>
      <c r="O86" s="545"/>
      <c r="P86" s="545"/>
      <c r="Q86" s="545"/>
      <c r="R86" s="545"/>
      <c r="S86" s="545"/>
      <c r="T86" s="545"/>
      <c r="U86" s="545"/>
      <c r="V86" s="545"/>
      <c r="W86" s="545"/>
      <c r="X86" s="545"/>
      <c r="Y86" s="545"/>
      <c r="Z86" s="545"/>
      <c r="AA86" s="545"/>
      <c r="AB86" s="545"/>
      <c r="AC86" s="547"/>
      <c r="AD86" s="571">
        <f>SUM(AA86:AC86)</f>
        <v>0</v>
      </c>
      <c r="AE86" s="662">
        <f>AD86*D86</f>
        <v>0</v>
      </c>
      <c r="AF86" s="663" t="str">
        <f>IF(AD86&lt;0,"buy","sell")</f>
        <v>sell</v>
      </c>
    </row>
    <row r="87" spans="1:33" s="356" customFormat="1" x14ac:dyDescent="0.25">
      <c r="A87" s="543"/>
      <c r="B87" s="551"/>
      <c r="C87" s="551"/>
      <c r="D87" s="544"/>
      <c r="E87" s="544"/>
      <c r="F87" s="545"/>
      <c r="G87" s="546"/>
      <c r="H87" s="545"/>
      <c r="I87" s="545"/>
      <c r="J87" s="545"/>
      <c r="K87" s="545"/>
      <c r="L87" s="545"/>
      <c r="M87" s="545"/>
      <c r="N87" s="545"/>
      <c r="O87" s="545"/>
      <c r="P87" s="545"/>
      <c r="Q87" s="545"/>
      <c r="R87" s="545"/>
      <c r="S87" s="545"/>
      <c r="T87" s="545"/>
      <c r="U87" s="548"/>
      <c r="V87" s="545"/>
      <c r="W87" s="545"/>
      <c r="X87" s="545"/>
      <c r="Y87" s="545"/>
      <c r="Z87" s="545"/>
      <c r="AA87" s="545"/>
      <c r="AB87" s="545"/>
      <c r="AC87" s="547"/>
      <c r="AD87" s="561">
        <f>SUM(F92:AC92)</f>
        <v>0</v>
      </c>
      <c r="AE87" s="562">
        <f>AD87*D87</f>
        <v>0</v>
      </c>
      <c r="AF87" s="526" t="str">
        <f>IF(AD87&lt;0,"buy","sell")</f>
        <v>sell</v>
      </c>
    </row>
    <row r="88" spans="1:33" s="356" customFormat="1" x14ac:dyDescent="0.25">
      <c r="A88" s="549"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5">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9"/>
      <c r="AD89" s="457"/>
      <c r="AE89" s="458"/>
      <c r="AF89" s="440"/>
    </row>
    <row r="90" spans="1:33" s="356" customFormat="1" ht="17.399999999999999" x14ac:dyDescent="0.3">
      <c r="A90" s="693" t="s">
        <v>363</v>
      </c>
      <c r="B90" s="431"/>
      <c r="C90" s="539"/>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30"/>
      <c r="AD90" s="457"/>
      <c r="AE90" s="458"/>
      <c r="AF90" s="372"/>
    </row>
    <row r="91" spans="1:33" s="356" customFormat="1" x14ac:dyDescent="0.25">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30"/>
      <c r="AD91" s="457"/>
      <c r="AE91" s="458"/>
      <c r="AF91" s="372"/>
    </row>
    <row r="92" spans="1:33" s="356" customFormat="1" ht="17.399999999999999" x14ac:dyDescent="0.3">
      <c r="A92" s="438"/>
      <c r="B92" s="439"/>
      <c r="C92" s="439"/>
      <c r="D92" s="439"/>
      <c r="E92" s="439"/>
      <c r="F92" s="691"/>
      <c r="G92" s="692"/>
      <c r="H92" s="370"/>
      <c r="I92" s="370"/>
      <c r="J92" s="370"/>
      <c r="K92" s="373"/>
      <c r="L92" s="371"/>
      <c r="M92" s="370"/>
      <c r="N92" s="370"/>
      <c r="O92" s="370"/>
      <c r="P92" s="370"/>
      <c r="Q92" s="370"/>
      <c r="R92" s="370"/>
      <c r="S92" s="370"/>
      <c r="T92" s="370"/>
      <c r="U92" s="370"/>
      <c r="V92" s="370"/>
      <c r="W92" s="370"/>
      <c r="X92" s="370"/>
      <c r="Y92" s="370"/>
      <c r="AA92" s="372"/>
      <c r="AB92" s="372"/>
      <c r="AC92" s="530"/>
      <c r="AD92" s="457"/>
      <c r="AE92" s="458"/>
      <c r="AF92" s="372"/>
    </row>
    <row r="93" spans="1:33" s="356" customFormat="1" ht="17.399999999999999" x14ac:dyDescent="0.3">
      <c r="A93" s="438"/>
      <c r="B93" s="439"/>
      <c r="C93" s="439"/>
      <c r="D93" s="559"/>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1"/>
      <c r="AD93" s="453"/>
      <c r="AE93" s="454"/>
      <c r="AF93" s="372"/>
    </row>
    <row r="94" spans="1:33" x14ac:dyDescent="0.25">
      <c r="A94" s="436"/>
      <c r="B94" s="436"/>
      <c r="C94" s="440"/>
      <c r="D94" s="563"/>
      <c r="E94" s="528"/>
      <c r="F94" s="569"/>
      <c r="G94" s="550"/>
      <c r="K94" s="373"/>
      <c r="M94" s="370"/>
      <c r="N94" s="370"/>
      <c r="Z94" s="372"/>
      <c r="AA94" s="532"/>
      <c r="AB94" s="532"/>
      <c r="AC94" s="531"/>
      <c r="AD94" s="402"/>
      <c r="AE94" s="402"/>
      <c r="AF94" s="532"/>
      <c r="AG94" s="356"/>
    </row>
    <row r="95" spans="1:33" s="356" customFormat="1" x14ac:dyDescent="0.25">
      <c r="A95" s="434"/>
      <c r="B95" s="434"/>
      <c r="C95" s="440"/>
      <c r="D95" s="563"/>
      <c r="E95" s="485"/>
      <c r="F95" s="569"/>
      <c r="G95" s="550"/>
      <c r="H95" s="370"/>
      <c r="I95" s="370"/>
      <c r="J95" s="370"/>
      <c r="K95" s="373"/>
      <c r="L95" s="370"/>
      <c r="M95" s="370"/>
      <c r="N95" s="370"/>
      <c r="O95" s="370"/>
      <c r="P95" s="370"/>
      <c r="Q95" s="370"/>
      <c r="R95" s="370"/>
      <c r="S95" s="370"/>
      <c r="T95" s="370"/>
      <c r="U95" s="370"/>
      <c r="V95" s="370"/>
      <c r="W95" s="370"/>
      <c r="X95" s="370"/>
      <c r="Y95" s="370"/>
      <c r="Z95" s="532" t="s">
        <v>261</v>
      </c>
      <c r="AA95" s="532"/>
      <c r="AB95" s="532"/>
      <c r="AC95" s="531"/>
      <c r="AD95" s="473">
        <f>SUM(AD14:AD64)+SUM(AD68:AD74)</f>
        <v>1016</v>
      </c>
      <c r="AE95" s="473">
        <f>SUM(AE14:AE64)+SUM(AE68:AE74)</f>
        <v>11040</v>
      </c>
      <c r="AF95" s="532"/>
    </row>
    <row r="96" spans="1:33" s="356" customFormat="1" x14ac:dyDescent="0.25">
      <c r="A96" s="436"/>
      <c r="B96" s="436"/>
      <c r="C96" s="440"/>
      <c r="D96" s="563"/>
      <c r="E96" s="485"/>
      <c r="F96" s="569"/>
      <c r="G96" s="550"/>
      <c r="H96" s="370"/>
      <c r="I96" s="370"/>
      <c r="J96" s="370"/>
      <c r="K96" s="373"/>
      <c r="L96" s="370"/>
      <c r="M96" s="370"/>
      <c r="N96" s="370"/>
      <c r="O96" s="370"/>
      <c r="P96" s="370"/>
      <c r="Q96" s="370"/>
      <c r="R96" s="370"/>
      <c r="S96" s="370"/>
      <c r="T96" s="370"/>
      <c r="U96" s="370"/>
      <c r="V96" s="370"/>
      <c r="W96" s="370"/>
      <c r="X96" s="370"/>
      <c r="Y96" s="370"/>
      <c r="Z96" s="532" t="s">
        <v>262</v>
      </c>
      <c r="AA96" s="532"/>
      <c r="AB96" s="532"/>
      <c r="AC96" s="533"/>
      <c r="AD96" s="473">
        <f>SUM(AD74:AD76)+SUM(AD77:AD83)</f>
        <v>-200</v>
      </c>
      <c r="AE96" s="473">
        <f>SUM(AE74:AE76)+SUM(AE77:AE83)</f>
        <v>-3925</v>
      </c>
      <c r="AF96" s="532"/>
    </row>
    <row r="97" spans="1:33" s="356" customFormat="1" x14ac:dyDescent="0.25">
      <c r="A97" s="434"/>
      <c r="B97" s="434"/>
      <c r="C97" s="440"/>
      <c r="D97" s="563"/>
      <c r="E97" s="485"/>
      <c r="F97" s="569"/>
      <c r="G97" s="550"/>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5">
      <c r="A98" s="436"/>
      <c r="B98" s="436"/>
      <c r="C98" s="440"/>
      <c r="D98" s="563"/>
      <c r="E98" s="485"/>
      <c r="F98" s="569"/>
      <c r="G98" s="550"/>
      <c r="H98" s="377"/>
      <c r="O98" s="370"/>
      <c r="P98" s="370"/>
      <c r="Q98" s="381"/>
      <c r="R98" s="381"/>
      <c r="S98" s="381"/>
      <c r="T98" s="381"/>
      <c r="U98" s="381"/>
      <c r="V98" s="381"/>
      <c r="W98" s="381"/>
      <c r="X98" s="381"/>
      <c r="Y98" s="381"/>
      <c r="Z98" s="534" t="s">
        <v>269</v>
      </c>
      <c r="AA98" s="534"/>
      <c r="AB98" s="534"/>
      <c r="AC98" s="535"/>
      <c r="AD98" s="477"/>
      <c r="AE98" s="478"/>
      <c r="AF98" s="402"/>
    </row>
    <row r="99" spans="1:33" s="356" customFormat="1" x14ac:dyDescent="0.25">
      <c r="A99" s="434"/>
      <c r="B99" s="434"/>
      <c r="C99" s="440"/>
      <c r="D99" s="563"/>
      <c r="E99" s="485"/>
      <c r="F99" s="569"/>
      <c r="G99" s="550"/>
      <c r="H99" s="370"/>
      <c r="O99" s="370"/>
      <c r="P99" s="370"/>
      <c r="Q99" s="370"/>
      <c r="R99" s="370"/>
      <c r="S99" s="370"/>
      <c r="T99" s="370"/>
      <c r="U99" s="370"/>
      <c r="V99" s="370"/>
      <c r="W99" s="370"/>
      <c r="X99" s="370"/>
      <c r="Y99" s="370"/>
      <c r="Z99" s="534"/>
      <c r="AA99" s="534"/>
      <c r="AB99" s="534"/>
      <c r="AC99" s="535"/>
      <c r="AD99" s="477"/>
      <c r="AE99" s="478"/>
      <c r="AF99" s="402"/>
    </row>
    <row r="100" spans="1:33" s="356" customFormat="1" x14ac:dyDescent="0.25">
      <c r="A100" s="436"/>
      <c r="B100" s="436"/>
      <c r="C100" s="440"/>
      <c r="D100" s="563"/>
      <c r="E100" s="485"/>
      <c r="F100" s="569"/>
      <c r="G100" s="550"/>
      <c r="H100" s="382"/>
      <c r="O100" s="370"/>
      <c r="P100" s="370"/>
      <c r="Q100" s="382"/>
      <c r="R100" s="382"/>
      <c r="S100" s="382"/>
      <c r="T100" s="382"/>
      <c r="U100" s="382"/>
      <c r="V100" s="382"/>
      <c r="W100" s="382"/>
      <c r="X100" s="382"/>
      <c r="Y100" s="382"/>
      <c r="Z100" s="534" t="s">
        <v>262</v>
      </c>
      <c r="AA100" s="534"/>
      <c r="AB100" s="534"/>
      <c r="AC100" s="535"/>
      <c r="AD100" s="479">
        <f>SUM(AD86:AD88)</f>
        <v>0</v>
      </c>
      <c r="AE100" s="479">
        <f>SUM(AE86:AE88)</f>
        <v>0</v>
      </c>
      <c r="AF100" s="402"/>
    </row>
    <row r="101" spans="1:33" s="356" customFormat="1" x14ac:dyDescent="0.25">
      <c r="A101" s="434"/>
      <c r="B101" s="434"/>
      <c r="C101" s="440"/>
      <c r="D101" s="563"/>
      <c r="E101" s="485"/>
      <c r="F101" s="569"/>
      <c r="G101" s="550"/>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5">
      <c r="A102" s="436"/>
      <c r="B102" s="436"/>
      <c r="C102" s="440"/>
      <c r="D102" s="563"/>
      <c r="E102" s="485"/>
      <c r="F102" s="569"/>
      <c r="G102" s="550"/>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5">
      <c r="A103" s="434"/>
      <c r="B103" s="434"/>
      <c r="C103" s="440"/>
      <c r="D103" s="563"/>
      <c r="E103" s="485"/>
      <c r="F103" s="569"/>
      <c r="G103" s="550"/>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7.399999999999999" x14ac:dyDescent="0.3">
      <c r="A104" s="693" t="s">
        <v>357</v>
      </c>
      <c r="B104" s="436"/>
      <c r="C104" s="440"/>
      <c r="D104" s="563"/>
      <c r="E104" s="485"/>
      <c r="F104" s="569"/>
      <c r="G104" s="550"/>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5">
      <c r="A105" s="434"/>
      <c r="B105" s="434"/>
      <c r="C105" s="440"/>
      <c r="D105" s="563"/>
      <c r="E105" s="485"/>
      <c r="F105" s="569"/>
      <c r="G105" s="550"/>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5">
      <c r="A106" s="436"/>
      <c r="B106" s="436"/>
      <c r="C106" s="440"/>
      <c r="D106" s="563"/>
      <c r="E106" s="485"/>
      <c r="F106" s="569"/>
      <c r="G106" s="550"/>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5">
      <c r="A107" s="434"/>
      <c r="B107" s="434"/>
      <c r="C107" s="440"/>
      <c r="D107" s="563"/>
      <c r="E107" s="485"/>
      <c r="F107" s="569"/>
      <c r="G107" s="550"/>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6" x14ac:dyDescent="0.3">
      <c r="A108" s="694"/>
      <c r="B108" s="436"/>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5">
      <c r="A109" s="434"/>
      <c r="B109" s="434"/>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5">
      <c r="A110" s="436"/>
      <c r="B110" s="436"/>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5">
      <c r="A111" s="434"/>
      <c r="B111" s="434"/>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6"/>
      <c r="AG111" s="356"/>
    </row>
    <row r="112" spans="1:33" s="402" customFormat="1" x14ac:dyDescent="0.25">
      <c r="A112" s="436"/>
      <c r="B112" s="436"/>
      <c r="C112" s="440"/>
      <c r="D112" s="563"/>
      <c r="E112" s="485"/>
      <c r="F112" s="569"/>
      <c r="G112" s="550"/>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5">
      <c r="A113" s="434"/>
      <c r="B113" s="434"/>
      <c r="C113" s="440"/>
      <c r="D113" s="563"/>
      <c r="E113" s="485"/>
      <c r="F113" s="569"/>
      <c r="G113" s="550"/>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7"/>
      <c r="AE113" s="461"/>
    </row>
    <row r="114" spans="1:33" s="460" customFormat="1" ht="13.8" thickBot="1" x14ac:dyDescent="0.3">
      <c r="A114" s="436"/>
      <c r="B114" s="436"/>
      <c r="C114" s="440"/>
      <c r="D114" s="563"/>
      <c r="E114" s="485"/>
      <c r="F114" s="569"/>
      <c r="G114" s="550"/>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5">
      <c r="A115" s="434"/>
      <c r="B115" s="434"/>
      <c r="C115" s="440"/>
      <c r="D115" s="563"/>
      <c r="E115" s="485"/>
      <c r="F115" s="569"/>
      <c r="G115" s="550"/>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5">
      <c r="A116" s="436"/>
      <c r="B116" s="436"/>
      <c r="C116" s="440"/>
      <c r="D116" s="563"/>
      <c r="E116" s="485"/>
      <c r="F116" s="569"/>
      <c r="G116" s="550"/>
      <c r="H116" s="388"/>
      <c r="O116" s="411"/>
      <c r="P116" s="411"/>
      <c r="Q116" s="388"/>
      <c r="R116" s="388"/>
      <c r="S116" s="388"/>
      <c r="T116" s="388"/>
      <c r="U116" s="388"/>
      <c r="V116" s="388"/>
      <c r="W116" s="388"/>
      <c r="X116" s="388"/>
      <c r="Y116" s="388"/>
      <c r="Z116" s="388"/>
      <c r="AA116" s="388"/>
      <c r="AB116" s="388"/>
      <c r="AC116" s="469"/>
      <c r="AD116" s="457"/>
      <c r="AE116" s="536"/>
      <c r="AF116" s="538"/>
      <c r="AG116" s="402"/>
    </row>
    <row r="117" spans="1:33" s="356" customFormat="1" x14ac:dyDescent="0.25">
      <c r="A117" s="436"/>
      <c r="B117" s="434"/>
      <c r="C117" s="440"/>
      <c r="D117" s="563"/>
      <c r="E117" s="528"/>
      <c r="F117" s="569"/>
      <c r="G117" s="550"/>
      <c r="H117" s="391"/>
      <c r="O117" s="412"/>
      <c r="P117" s="412"/>
      <c r="Q117" s="391"/>
      <c r="R117" s="391"/>
      <c r="S117" s="391"/>
      <c r="T117" s="391"/>
      <c r="U117" s="391"/>
      <c r="V117" s="391"/>
      <c r="W117" s="391"/>
      <c r="X117" s="391"/>
      <c r="Y117" s="391"/>
      <c r="Z117" s="388"/>
      <c r="AA117" s="388"/>
      <c r="AB117" s="388"/>
      <c r="AC117" s="469"/>
      <c r="AD117" s="457"/>
      <c r="AE117" s="536"/>
      <c r="AF117" s="538"/>
      <c r="AG117" s="402"/>
    </row>
    <row r="118" spans="1:33" s="356" customFormat="1" x14ac:dyDescent="0.25">
      <c r="A118" s="558"/>
      <c r="B118" s="436"/>
      <c r="C118" s="440"/>
      <c r="D118" s="564"/>
      <c r="E118" s="481"/>
      <c r="F118" s="569"/>
      <c r="G118" s="550"/>
      <c r="H118" s="391"/>
      <c r="O118" s="412"/>
      <c r="P118" s="412"/>
      <c r="Q118" s="391"/>
      <c r="R118" s="391"/>
      <c r="S118" s="391"/>
      <c r="T118" s="391"/>
      <c r="U118" s="391"/>
      <c r="V118" s="391"/>
      <c r="W118" s="391"/>
      <c r="X118" s="391"/>
      <c r="Y118" s="391"/>
      <c r="Z118" s="388"/>
      <c r="AA118" s="388"/>
      <c r="AB118" s="388"/>
      <c r="AC118" s="469"/>
      <c r="AD118" s="461"/>
      <c r="AE118" s="461"/>
      <c r="AF118" s="538"/>
      <c r="AG118" s="402"/>
    </row>
    <row r="119" spans="1:33" s="402" customFormat="1" x14ac:dyDescent="0.25">
      <c r="A119" s="356"/>
      <c r="B119" s="356"/>
      <c r="C119" s="356"/>
      <c r="D119" s="563"/>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7.399999999999999" x14ac:dyDescent="0.3">
      <c r="A120" s="433"/>
      <c r="B120" s="442"/>
      <c r="C120" s="443"/>
      <c r="D120" s="565"/>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5">
      <c r="A121" s="434"/>
      <c r="B121" s="434"/>
      <c r="C121" s="434"/>
      <c r="D121" s="566"/>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7.399999999999999" x14ac:dyDescent="0.3">
      <c r="A122" s="438"/>
      <c r="B122" s="439"/>
      <c r="C122" s="439"/>
      <c r="D122" s="690"/>
      <c r="E122" s="439"/>
      <c r="F122" s="691"/>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7.399999999999999" x14ac:dyDescent="0.3">
      <c r="A123" s="438"/>
      <c r="B123" s="439"/>
      <c r="C123" s="439"/>
      <c r="D123" s="567"/>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8" thickBot="1" x14ac:dyDescent="0.3">
      <c r="A124" s="436"/>
      <c r="B124" s="434"/>
      <c r="C124" s="440"/>
      <c r="D124" s="563"/>
      <c r="E124" s="528"/>
      <c r="F124" s="569"/>
      <c r="G124" s="550"/>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5">
      <c r="A125" s="434"/>
      <c r="B125" s="434"/>
      <c r="C125" s="440"/>
      <c r="D125" s="568"/>
      <c r="E125" s="485"/>
      <c r="F125" s="569"/>
      <c r="G125" s="550"/>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5">
      <c r="A126" s="436"/>
      <c r="B126" s="434"/>
      <c r="C126" s="440"/>
      <c r="D126" s="564"/>
      <c r="E126" s="485"/>
      <c r="F126" s="569"/>
      <c r="G126" s="550"/>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5">
      <c r="A127" s="434"/>
      <c r="B127" s="434"/>
      <c r="C127" s="440"/>
      <c r="D127" s="564"/>
      <c r="E127" s="485"/>
      <c r="F127" s="569"/>
      <c r="G127" s="550"/>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5">
      <c r="A128" s="436"/>
      <c r="B128" s="434"/>
      <c r="C128" s="440"/>
      <c r="D128" s="564"/>
      <c r="E128" s="485"/>
      <c r="F128" s="569"/>
      <c r="G128" s="550"/>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5">
      <c r="A129" s="434"/>
      <c r="B129" s="434"/>
      <c r="C129" s="440"/>
      <c r="D129" s="564"/>
      <c r="E129" s="485"/>
      <c r="F129" s="569"/>
      <c r="G129" s="550"/>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5">
      <c r="A130" s="436"/>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5">
      <c r="A131" s="434"/>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5">
      <c r="A132" s="436"/>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5">
      <c r="A133" s="434"/>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5">
      <c r="A134" s="436"/>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5">
      <c r="A135" s="434"/>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5">
      <c r="A136" s="436"/>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5">
      <c r="A137" s="434"/>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5">
      <c r="A138" s="436"/>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5">
      <c r="A139" s="434"/>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5">
      <c r="A140" s="436"/>
      <c r="B140" s="434"/>
      <c r="C140" s="440"/>
      <c r="D140" s="564"/>
      <c r="E140" s="485"/>
      <c r="F140" s="569"/>
      <c r="G140" s="550"/>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5">
      <c r="A141" s="434"/>
      <c r="B141" s="434"/>
      <c r="C141" s="440"/>
      <c r="D141" s="564"/>
      <c r="E141" s="485"/>
      <c r="F141" s="569"/>
      <c r="G141" s="550"/>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5">
      <c r="A142" s="436"/>
      <c r="B142" s="434"/>
      <c r="C142" s="440"/>
      <c r="D142" s="564"/>
      <c r="E142" s="485"/>
      <c r="F142" s="569"/>
      <c r="G142" s="550"/>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5">
      <c r="A143" s="434"/>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5">
      <c r="A144" s="436"/>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5">
      <c r="A145" s="434"/>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5">
      <c r="A146" s="436"/>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5">
      <c r="A147" s="436"/>
      <c r="B147" s="434"/>
      <c r="C147" s="440"/>
      <c r="D147" s="564"/>
      <c r="E147" s="528"/>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5">
      <c r="A148" s="370"/>
      <c r="B148" s="434"/>
      <c r="C148" s="440"/>
      <c r="D148" s="564"/>
      <c r="E148" s="481"/>
      <c r="F148" s="569"/>
      <c r="G148" s="550"/>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5">
      <c r="A149" s="370"/>
      <c r="B149" s="370"/>
      <c r="C149" s="370"/>
      <c r="D149" s="560"/>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5">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5">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5">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5">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5">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5">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5">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5">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5">
      <c r="AG271" s="386"/>
    </row>
    <row r="272" spans="1:34" s="382"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5">
      <c r="AG274" s="388"/>
    </row>
    <row r="275" spans="1:33" x14ac:dyDescent="0.25">
      <c r="AG275" s="388"/>
    </row>
    <row r="276" spans="1:33" s="385" customFormat="1" x14ac:dyDescent="0.25">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5">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5">
      <c r="AG311" s="388"/>
    </row>
    <row r="312" spans="1:33" x14ac:dyDescent="0.25">
      <c r="AG312" s="388"/>
    </row>
    <row r="313" spans="1:33" x14ac:dyDescent="0.25">
      <c r="AG313" s="391"/>
    </row>
    <row r="314" spans="1:33" x14ac:dyDescent="0.25">
      <c r="AG314" s="391"/>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9" activePane="bottomLeft" state="frozen"/>
      <selection pane="bottomLeft" activeCell="U3" sqref="U3"/>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39">
        <v>37269</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385</v>
      </c>
      <c r="C2" s="492" t="s">
        <v>385</v>
      </c>
      <c r="D2" s="492" t="s">
        <v>385</v>
      </c>
      <c r="E2" s="492" t="s">
        <v>385</v>
      </c>
      <c r="F2" s="492" t="s">
        <v>385</v>
      </c>
      <c r="G2" s="492" t="s">
        <v>385</v>
      </c>
      <c r="H2" s="492" t="s">
        <v>385</v>
      </c>
      <c r="I2" s="492" t="s">
        <v>385</v>
      </c>
      <c r="J2" s="492" t="s">
        <v>385</v>
      </c>
      <c r="K2" s="492" t="s">
        <v>385</v>
      </c>
      <c r="L2" s="492" t="s">
        <v>385</v>
      </c>
      <c r="M2" s="492" t="s">
        <v>385</v>
      </c>
      <c r="N2" s="492" t="s">
        <v>385</v>
      </c>
      <c r="O2" s="492" t="s">
        <v>385</v>
      </c>
      <c r="P2" s="492" t="s">
        <v>385</v>
      </c>
      <c r="Q2" s="492" t="s">
        <v>385</v>
      </c>
      <c r="R2" s="492" t="s">
        <v>385</v>
      </c>
      <c r="S2" s="492" t="s">
        <v>385</v>
      </c>
      <c r="T2" s="492" t="s">
        <v>385</v>
      </c>
      <c r="U2" s="492" t="s">
        <v>385</v>
      </c>
      <c r="V2" s="492" t="s">
        <v>385</v>
      </c>
      <c r="W2" s="492" t="s">
        <v>385</v>
      </c>
      <c r="X2" s="492" t="s">
        <v>385</v>
      </c>
      <c r="Y2" s="492" t="s">
        <v>385</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18" t="s">
        <v>294</v>
      </c>
      <c r="B4" s="518">
        <v>594</v>
      </c>
      <c r="C4" s="518">
        <v>572</v>
      </c>
      <c r="D4" s="518">
        <v>559</v>
      </c>
      <c r="E4" s="518">
        <v>557</v>
      </c>
      <c r="F4" s="518">
        <v>556</v>
      </c>
      <c r="G4" s="518">
        <v>565</v>
      </c>
      <c r="H4" s="518">
        <v>590</v>
      </c>
      <c r="I4" s="518">
        <v>597</v>
      </c>
      <c r="J4" s="518">
        <v>622</v>
      </c>
      <c r="K4" s="518">
        <v>635</v>
      </c>
      <c r="L4" s="518">
        <v>642</v>
      </c>
      <c r="M4" s="518">
        <v>644</v>
      </c>
      <c r="N4" s="518">
        <v>651</v>
      </c>
      <c r="O4" s="518">
        <v>633</v>
      </c>
      <c r="P4" s="518">
        <v>628</v>
      </c>
      <c r="Q4" s="518">
        <v>621</v>
      </c>
      <c r="R4" s="518">
        <v>623</v>
      </c>
      <c r="S4" s="518">
        <v>658</v>
      </c>
      <c r="T4" s="518">
        <v>763</v>
      </c>
      <c r="U4" s="518">
        <v>745</v>
      </c>
      <c r="V4" s="518">
        <v>750</v>
      </c>
      <c r="W4" s="518">
        <v>721</v>
      </c>
      <c r="X4" s="519">
        <v>677</v>
      </c>
      <c r="Y4" s="519">
        <v>607</v>
      </c>
      <c r="Z4" s="354"/>
      <c r="AA4" s="354"/>
      <c r="AB4" s="354"/>
      <c r="AC4" s="354"/>
      <c r="AD4" s="354"/>
    </row>
    <row r="5" spans="1:213" s="161" customFormat="1" ht="12.6" thickBot="1" x14ac:dyDescent="0.3">
      <c r="A5" s="579" t="s">
        <v>64</v>
      </c>
      <c r="B5" s="520">
        <f>Deals!F4</f>
        <v>55</v>
      </c>
      <c r="C5" s="520">
        <f>Deals!G4</f>
        <v>55</v>
      </c>
      <c r="D5" s="520">
        <f>Deals!H4</f>
        <v>50</v>
      </c>
      <c r="E5" s="520">
        <f>Deals!I4</f>
        <v>50</v>
      </c>
      <c r="F5" s="520">
        <f>Deals!J4</f>
        <v>50</v>
      </c>
      <c r="G5" s="520">
        <f>Deals!K4</f>
        <v>50</v>
      </c>
      <c r="H5" s="520">
        <f>Deals!L4</f>
        <v>60</v>
      </c>
      <c r="I5" s="520">
        <f>Deals!M4</f>
        <v>60</v>
      </c>
      <c r="J5" s="520">
        <f>Deals!N4</f>
        <v>60</v>
      </c>
      <c r="K5" s="520">
        <f>Deals!O4</f>
        <v>65</v>
      </c>
      <c r="L5" s="520">
        <f>Deals!P4</f>
        <v>65</v>
      </c>
      <c r="M5" s="520">
        <f>Deals!Q4</f>
        <v>60</v>
      </c>
      <c r="N5" s="520">
        <f>Deals!R4</f>
        <v>60</v>
      </c>
      <c r="O5" s="520">
        <f>Deals!S4</f>
        <v>60</v>
      </c>
      <c r="P5" s="520">
        <f>Deals!T4</f>
        <v>60</v>
      </c>
      <c r="Q5" s="520">
        <f>Deals!U4</f>
        <v>60</v>
      </c>
      <c r="R5" s="520">
        <f>Deals!V4</f>
        <v>60</v>
      </c>
      <c r="S5" s="520">
        <f>Deals!W4</f>
        <v>70</v>
      </c>
      <c r="T5" s="520">
        <f>Deals!X4</f>
        <v>70</v>
      </c>
      <c r="U5" s="520">
        <f>Deals!Y4</f>
        <v>75</v>
      </c>
      <c r="V5" s="520">
        <f>Deals!Z4</f>
        <v>75</v>
      </c>
      <c r="W5" s="520">
        <f>Deals!AA4</f>
        <v>70</v>
      </c>
      <c r="X5" s="520">
        <f>Deals!AB4</f>
        <v>65</v>
      </c>
      <c r="Y5" s="507">
        <f>Deals!AC4</f>
        <v>60</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75">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1.4"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78">
        <f t="array" aca="1" ref="Y11" ca="1">SUM(IF((DelPoint= "PV")*(DType = "pre")*(OFFSET(DelPoint,0,Y3+2)&lt;0),OFFSET(DelPoint,0,Y3+2),0))</f>
        <v>0</v>
      </c>
      <c r="Z11" s="160"/>
      <c r="AA11" s="162"/>
    </row>
    <row r="12" spans="1:213" s="161" customFormat="1" ht="11.4"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1.4"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1.4"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1.4"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86" t="s">
        <v>247</v>
      </c>
      <c r="B18" s="483">
        <f>Deals!F7</f>
        <v>0</v>
      </c>
      <c r="C18" s="483">
        <f>Deals!G7</f>
        <v>0</v>
      </c>
      <c r="D18" s="483">
        <f>Deals!H7</f>
        <v>0</v>
      </c>
      <c r="E18" s="483">
        <f>Deals!I7</f>
        <v>0</v>
      </c>
      <c r="F18" s="483">
        <f>Deals!J7</f>
        <v>0</v>
      </c>
      <c r="G18" s="483">
        <f>Deals!K7</f>
        <v>0</v>
      </c>
      <c r="H18" s="483">
        <f>Deals!L7</f>
        <v>0</v>
      </c>
      <c r="I18" s="483">
        <f>Deals!M7</f>
        <v>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0</v>
      </c>
      <c r="Z18" s="160"/>
      <c r="AA18" s="162"/>
    </row>
    <row r="19" spans="1:27" s="161" customFormat="1" ht="11.4"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65</v>
      </c>
      <c r="C22" s="418">
        <f>Deals!G3</f>
        <v>50</v>
      </c>
      <c r="D22" s="418">
        <f>Deals!H3</f>
        <v>50</v>
      </c>
      <c r="E22" s="418">
        <f>Deals!I3</f>
        <v>50</v>
      </c>
      <c r="F22" s="418">
        <f>Deals!J3</f>
        <v>50</v>
      </c>
      <c r="G22" s="418">
        <f>Deals!K3</f>
        <v>50</v>
      </c>
      <c r="H22" s="418">
        <f>Deals!L3</f>
        <v>50</v>
      </c>
      <c r="I22" s="418">
        <f>Deals!M3</f>
        <v>70</v>
      </c>
      <c r="J22" s="418">
        <f>Deals!N3</f>
        <v>70</v>
      </c>
      <c r="K22" s="418">
        <f>Deals!O3</f>
        <v>70</v>
      </c>
      <c r="L22" s="418">
        <f>Deals!P3</f>
        <v>90</v>
      </c>
      <c r="M22" s="418">
        <f>Deals!Q3</f>
        <v>90</v>
      </c>
      <c r="N22" s="418">
        <f>Deals!R3</f>
        <v>90</v>
      </c>
      <c r="O22" s="418">
        <f>Deals!S3</f>
        <v>90</v>
      </c>
      <c r="P22" s="418">
        <f>Deals!T3</f>
        <v>90</v>
      </c>
      <c r="Q22" s="418">
        <f>Deals!U3</f>
        <v>90</v>
      </c>
      <c r="R22" s="418">
        <f>Deals!V3</f>
        <v>90</v>
      </c>
      <c r="S22" s="418">
        <f>Deals!W3</f>
        <v>90</v>
      </c>
      <c r="T22" s="418">
        <f>Deals!X3</f>
        <v>110</v>
      </c>
      <c r="U22" s="418">
        <f>Deals!Y3</f>
        <v>110</v>
      </c>
      <c r="V22" s="418">
        <f>Deals!Z3</f>
        <v>110</v>
      </c>
      <c r="W22" s="418">
        <f>Deals!AA3</f>
        <v>110</v>
      </c>
      <c r="X22" s="418">
        <f>Deals!AB3</f>
        <v>90</v>
      </c>
      <c r="Y22" s="507">
        <f>Deals!AC3</f>
        <v>70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55</v>
      </c>
      <c r="J25" s="671">
        <f t="array" aca="1" ref="J25" ca="1">SUM(IF((DelPoint= "4C")*(DType = "pre")*(OFFSET(DelPoint,0,J3+2)&gt;0),OFFSET(DelPoint,0,J3+2),0))</f>
        <v>55</v>
      </c>
      <c r="K25" s="671">
        <f t="array" aca="1" ref="K25" ca="1">SUM(IF((DelPoint= "4C")*(DType = "pre")*(OFFSET(DelPoint,0,K3+2)&gt;0),OFFSET(DelPoint,0,K3+2),0))</f>
        <v>55</v>
      </c>
      <c r="L25" s="671">
        <f t="array" aca="1" ref="L25" ca="1">SUM(IF((DelPoint= "4C")*(DType = "pre")*(OFFSET(DelPoint,0,L3+2)&gt;0),OFFSET(DelPoint,0,L3+2),0))</f>
        <v>55</v>
      </c>
      <c r="M25" s="671">
        <f t="array" aca="1" ref="M25" ca="1">SUM(IF((DelPoint= "4C")*(DType = "pre")*(OFFSET(DelPoint,0,M3+2)&gt;0),OFFSET(DelPoint,0,M3+2),0))</f>
        <v>55</v>
      </c>
      <c r="N25" s="671">
        <f t="array" aca="1" ref="N25" ca="1">SUM(IF((DelPoint= "4C")*(DType = "pre")*(OFFSET(DelPoint,0,N3+2)&gt;0),OFFSET(DelPoint,0,N3+2),0))</f>
        <v>55</v>
      </c>
      <c r="O25" s="671">
        <f t="array" aca="1" ref="O25" ca="1">SUM(IF((DelPoint= "4C")*(DType = "pre")*(OFFSET(DelPoint,0,O3+2)&gt;0),OFFSET(DelPoint,0,O3+2),0))</f>
        <v>55</v>
      </c>
      <c r="P25" s="671">
        <f t="array" aca="1" ref="P25" ca="1">SUM(IF((DelPoint= "4C")*(DType = "pre")*(OFFSET(DelPoint,0,P3+2)&gt;0),OFFSET(DelPoint,0,P3+2),0))</f>
        <v>55</v>
      </c>
      <c r="Q25" s="671">
        <f t="array" aca="1" ref="Q25" ca="1">SUM(IF((DelPoint= "4C")*(DType = "pre")*(OFFSET(DelPoint,0,Q3+2)&gt;0),OFFSET(DelPoint,0,Q3+2),0))</f>
        <v>55</v>
      </c>
      <c r="R25" s="671">
        <f t="array" aca="1" ref="R25" ca="1">SUM(IF((DelPoint= "4C")*(DType = "pre")*(OFFSET(DelPoint,0,R3+2)&gt;0),OFFSET(DelPoint,0,R3+2),0))</f>
        <v>55</v>
      </c>
      <c r="S25" s="671">
        <f t="array" aca="1" ref="S25" ca="1">SUM(IF((DelPoint= "4C")*(DType = "pre")*(OFFSET(DelPoint,0,S3+2)&gt;0),OFFSET(DelPoint,0,S3+2),0))</f>
        <v>55</v>
      </c>
      <c r="T25" s="671">
        <f t="array" aca="1" ref="T25" ca="1">SUM(IF((DelPoint= "4C")*(DType = "pre")*(OFFSET(DelPoint,0,T3+2)&gt;0),OFFSET(DelPoint,0,T3+2),0))</f>
        <v>55</v>
      </c>
      <c r="U25" s="671">
        <f t="array" aca="1" ref="U25" ca="1">SUM(IF((DelPoint= "4C")*(DType = "pre")*(OFFSET(DelPoint,0,U3+2)&gt;0),OFFSET(DelPoint,0,U3+2),0))</f>
        <v>55</v>
      </c>
      <c r="V25" s="671">
        <f t="array" aca="1" ref="V25" ca="1">SUM(IF((DelPoint= "4C")*(DType = "pre")*(OFFSET(DelPoint,0,V3+2)&gt;0),OFFSET(DelPoint,0,V3+2),0))</f>
        <v>55</v>
      </c>
      <c r="W25" s="671">
        <f t="array" aca="1" ref="W25" ca="1">SUM(IF((DelPoint= "4C")*(DType = "pre")*(OFFSET(DelPoint,0,W3+2)&gt;0),OFFSET(DelPoint,0,W3+2),0))</f>
        <v>55</v>
      </c>
      <c r="X25" s="671">
        <f t="array" aca="1" ref="X25" ca="1">SUM(IF((DelPoint= "4C")*(DType = "pre")*(OFFSET(DelPoint,0,X3+2)&gt;0),OFFSET(DelPoint,0,X3+2),0))</f>
        <v>55</v>
      </c>
      <c r="Y25" s="682">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1.4"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0</v>
      </c>
      <c r="J29" s="648">
        <f t="array" aca="1" ref="J29" ca="1">SUM(IF((DelPoint= "pv")*(DType = "pre")*(OFFSET(DelPoint,0,J3+2)&gt;0),OFFSET(DelPoint,0,J3+2),0))</f>
        <v>0</v>
      </c>
      <c r="K29" s="648">
        <f t="array" aca="1" ref="K29" ca="1">SUM(IF((DelPoint= "pv")*(DType = "pre")*(OFFSET(DelPoint,0,K3+2)&gt;0),OFFSET(DelPoint,0,K3+2),0))</f>
        <v>0</v>
      </c>
      <c r="L29" s="648">
        <f t="array" aca="1" ref="L29" ca="1">SUM(IF((DelPoint= "pv")*(DType = "pre")*(OFFSET(DelPoint,0,L3+2)&gt;0),OFFSET(DelPoint,0,L3+2),0))</f>
        <v>0</v>
      </c>
      <c r="M29" s="648">
        <f t="array" aca="1" ref="M29" ca="1">SUM(IF((DelPoint= "pv")*(DType = "pre")*(OFFSET(DelPoint,0,M3+2)&gt;0),OFFSET(DelPoint,0,M3+2),0))</f>
        <v>0</v>
      </c>
      <c r="N29" s="648">
        <f t="array" aca="1" ref="N29" ca="1">SUM(IF((DelPoint= "pv")*(DType = "pre")*(OFFSET(DelPoint,0,N3+2)&gt;0),OFFSET(DelPoint,0,N3+2),0))</f>
        <v>0</v>
      </c>
      <c r="O29" s="648">
        <f t="array" aca="1" ref="O29" ca="1">SUM(IF((DelPoint= "pv")*(DType = "pre")*(OFFSET(DelPoint,0,O3+2)&gt;0),OFFSET(DelPoint,0,O3+2),0))</f>
        <v>0</v>
      </c>
      <c r="P29" s="648">
        <f t="array" aca="1" ref="P29" ca="1">SUM(IF((DelPoint= "pv")*(DType = "pre")*(OFFSET(DelPoint,0,P3+2)&gt;0),OFFSET(DelPoint,0,P3+2),0))</f>
        <v>0</v>
      </c>
      <c r="Q29" s="648">
        <f t="array" aca="1" ref="Q29" ca="1">SUM(IF((DelPoint= "pv")*(DType = "pre")*(OFFSET(DelPoint,0,Q3+2)&gt;0),OFFSET(DelPoint,0,Q3+2),0))</f>
        <v>0</v>
      </c>
      <c r="R29" s="648">
        <f t="array" aca="1" ref="R29" ca="1">SUM(IF((DelPoint= "pv")*(DType = "pre")*(OFFSET(DelPoint,0,R3+2)&gt;0),OFFSET(DelPoint,0,R3+2),0))</f>
        <v>0</v>
      </c>
      <c r="S29" s="648">
        <f t="array" aca="1" ref="S29" ca="1">SUM(IF((DelPoint= "pv")*(DType = "pre")*(OFFSET(DelPoint,0,S3+2)&gt;0),OFFSET(DelPoint,0,S3+2),0))</f>
        <v>0</v>
      </c>
      <c r="T29" s="648">
        <f t="array" aca="1" ref="T29" ca="1">SUM(IF((DelPoint= "pv")*(DType = "pre")*(OFFSET(DelPoint,0,T3+2)&gt;0),OFFSET(DelPoint,0,T3+2),0))</f>
        <v>0</v>
      </c>
      <c r="U29" s="648">
        <f t="array" aca="1" ref="U29" ca="1">SUM(IF((DelPoint= "pv")*(DType = "pre")*(OFFSET(DelPoint,0,U3+2)&gt;0),OFFSET(DelPoint,0,U3+2),0))</f>
        <v>0</v>
      </c>
      <c r="V29" s="648">
        <f t="array" aca="1" ref="V29" ca="1">SUM(IF((DelPoint= "pv")*(DType = "pre")*(OFFSET(DelPoint,0,V3+2)&gt;0),OFFSET(DelPoint,0,V3+2),0))</f>
        <v>0</v>
      </c>
      <c r="W29" s="648">
        <f t="array" aca="1" ref="W29" ca="1">SUM(IF((DelPoint= "pv")*(DType = "pre")*(OFFSET(DelPoint,0,W3+2)&gt;0),OFFSET(DelPoint,0,W3+2),0))</f>
        <v>0</v>
      </c>
      <c r="X29" s="648">
        <f t="array" aca="1" ref="X29" ca="1">SUM(IF((DelPoint= "pv")*(DType = "pre")*(OFFSET(DelPoint,0,X3+2)&gt;0),OFFSET(DelPoint,0,X3+2),0))</f>
        <v>0</v>
      </c>
      <c r="Y29" s="683">
        <f t="array" aca="1" ref="Y29" ca="1">SUM(IF((DelPoint= "pv")*(DType = "pre")*(OFFSET(DelPoint,0,Y3+2)&gt;0),OFFSET(DelPoint,0,Y3+2),0))</f>
        <v>0</v>
      </c>
      <c r="Z29" s="160"/>
      <c r="AA29" s="162"/>
    </row>
    <row r="30" spans="1:27" s="161" customFormat="1" ht="11.4"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1.4"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26</v>
      </c>
      <c r="D32" s="592">
        <f t="array" aca="1" ref="D32" ca="1">SUM(IF((DelPoint= "PV")*IF((DType = "firm")+(DType = "econ")&gt;0,1,0)*(OFFSET(DelPoint,0,D3+2)&gt;0),OFFSET(DelPoint,0,D3+2),0))</f>
        <v>45</v>
      </c>
      <c r="E32" s="592">
        <f t="array" aca="1" ref="E32" ca="1">SUM(IF((DelPoint= "PV")*IF((DType = "firm")+(DType = "econ")&gt;0,1,0)*(OFFSET(DelPoint,0,E3+2)&gt;0),OFFSET(DelPoint,0,E3+2),0))</f>
        <v>25</v>
      </c>
      <c r="F32" s="592">
        <f t="array" aca="1" ref="F32" ca="1">SUM(IF((DelPoint= "PV")*IF((DType = "firm")+(DType = "econ")&gt;0,1,0)*(OFFSET(DelPoint,0,F3+2)&gt;0),OFFSET(DelPoint,0,F3+2),0))</f>
        <v>40</v>
      </c>
      <c r="G32" s="592">
        <f t="array" aca="1" ref="G32" ca="1">SUM(IF((DelPoint= "PV")*IF((DType = "firm")+(DType = "econ")&gt;0,1,0)*(OFFSET(DelPoint,0,G3+2)&gt;0),OFFSET(DelPoint,0,G3+2),0))</f>
        <v>40</v>
      </c>
      <c r="H32" s="592">
        <f t="array" aca="1" ref="H32" ca="1">SUM(IF((DelPoint= "PV")*IF((DType = "firm")+(DType = "econ")&gt;0,1,0)*(OFFSET(DelPoint,0,H3+2)&gt;0),OFFSET(DelPoint,0,H3+2),0))</f>
        <v>40</v>
      </c>
      <c r="I32" s="592">
        <f t="array" aca="1" ref="I32" ca="1">SUM(IF((DelPoint= "PV")*IF((DType = "firm")+(DType = "econ")&gt;0,1,0)*(OFFSET(DelPoint,0,I3+2)&gt;0),OFFSET(DelPoint,0,I3+2),0))</f>
        <v>50</v>
      </c>
      <c r="J32" s="592">
        <f t="array" aca="1" ref="J32" ca="1">SUM(IF((DelPoint= "PV")*IF((DType = "firm")+(DType = "econ")&gt;0,1,0)*(OFFSET(DelPoint,0,J3+2)&gt;0),OFFSET(DelPoint,0,J3+2),0))</f>
        <v>50</v>
      </c>
      <c r="K32" s="592">
        <f t="array" aca="1" ref="K32" ca="1">SUM(IF((DelPoint= "PV")*IF((DType = "firm")+(DType = "econ")&gt;0,1,0)*(OFFSET(DelPoint,0,K3+2)&gt;0),OFFSET(DelPoint,0,K3+2),0))</f>
        <v>50</v>
      </c>
      <c r="L32" s="592">
        <f t="array" aca="1" ref="L32" ca="1">SUM(IF((DelPoint= "PV")*IF((DType = "firm")+(DType = "econ")&gt;0,1,0)*(OFFSET(DelPoint,0,L3+2)&gt;0),OFFSET(DelPoint,0,L3+2),0))</f>
        <v>50</v>
      </c>
      <c r="M32" s="592">
        <f t="array" aca="1" ref="M32" ca="1">SUM(IF((DelPoint= "PV")*IF((DType = "firm")+(DType = "econ")&gt;0,1,0)*(OFFSET(DelPoint,0,M3+2)&gt;0),OFFSET(DelPoint,0,M3+2),0))</f>
        <v>50</v>
      </c>
      <c r="N32" s="592">
        <f t="array" aca="1" ref="N32" ca="1">SUM(IF((DelPoint= "PV")*IF((DType = "firm")+(DType = "econ")&gt;0,1,0)*(OFFSET(DelPoint,0,N3+2)&gt;0),OFFSET(DelPoint,0,N3+2),0))</f>
        <v>50</v>
      </c>
      <c r="O32" s="592">
        <f t="array" aca="1" ref="O32" ca="1">SUM(IF((DelPoint= "PV")*IF((DType = "firm")+(DType = "econ")&gt;0,1,0)*(OFFSET(DelPoint,0,O3+2)&gt;0),OFFSET(DelPoint,0,O3+2),0))</f>
        <v>50</v>
      </c>
      <c r="P32" s="592">
        <f t="array" aca="1" ref="P32" ca="1">SUM(IF((DelPoint= "PV")*IF((DType = "firm")+(DType = "econ")&gt;0,1,0)*(OFFSET(DelPoint,0,P3+2)&gt;0),OFFSET(DelPoint,0,P3+2),0))</f>
        <v>50</v>
      </c>
      <c r="Q32" s="592">
        <f t="array" aca="1" ref="Q32" ca="1">SUM(IF((DelPoint= "PV")*IF((DType = "firm")+(DType = "econ")&gt;0,1,0)*(OFFSET(DelPoint,0,Q3+2)&gt;0),OFFSET(DelPoint,0,Q3+2),0))</f>
        <v>50</v>
      </c>
      <c r="R32" s="592">
        <f t="array" aca="1" ref="R32" ca="1">SUM(IF((DelPoint= "PV")*IF((DType = "firm")+(DType = "econ")&gt;0,1,0)*(OFFSET(DelPoint,0,R3+2)&gt;0),OFFSET(DelPoint,0,R3+2),0))</f>
        <v>50</v>
      </c>
      <c r="S32" s="592">
        <f t="array" aca="1" ref="S32" ca="1">SUM(IF((DelPoint= "PV")*IF((DType = "firm")+(DType = "econ")&gt;0,1,0)*(OFFSET(DelPoint,0,S3+2)&gt;0),OFFSET(DelPoint,0,S3+2),0))</f>
        <v>50</v>
      </c>
      <c r="T32" s="592">
        <f t="array" aca="1" ref="T32" ca="1">SUM(IF((DelPoint= "PV")*IF((DType = "firm")+(DType = "econ")&gt;0,1,0)*(OFFSET(DelPoint,0,T3+2)&gt;0),OFFSET(DelPoint,0,T3+2),0))</f>
        <v>50</v>
      </c>
      <c r="U32" s="592">
        <f t="array" aca="1" ref="U32" ca="1">SUM(IF((DelPoint= "PV")*IF((DType = "firm")+(DType = "econ")&gt;0,1,0)*(OFFSET(DelPoint,0,U3+2)&gt;0),OFFSET(DelPoint,0,U3+2),0))</f>
        <v>50</v>
      </c>
      <c r="V32" s="592">
        <f t="array" aca="1" ref="V32" ca="1">SUM(IF((DelPoint= "PV")*IF((DType = "firm")+(DType = "econ")&gt;0,1,0)*(OFFSET(DelPoint,0,V3+2)&gt;0),OFFSET(DelPoint,0,V3+2),0))</f>
        <v>50</v>
      </c>
      <c r="W32" s="592">
        <f t="array" aca="1" ref="W32" ca="1">SUM(IF((DelPoint= "PV")*IF((DType = "firm")+(DType = "econ")&gt;0,1,0)*(OFFSET(DelPoint,0,W3+2)&gt;0),OFFSET(DelPoint,0,W3+2),0))</f>
        <v>50</v>
      </c>
      <c r="X32" s="592">
        <f t="array" aca="1" ref="X32" ca="1">SUM(IF((DelPoint= "PV")*IF((DType = "firm")+(DType = "econ")&gt;0,1,0)*(OFFSET(DelPoint,0,X3+2)&gt;0),OFFSET(DelPoint,0,X3+2),0))</f>
        <v>50</v>
      </c>
      <c r="Y32" s="685">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86" t="s">
        <v>121</v>
      </c>
      <c r="B38" s="687">
        <f t="shared" ref="B38:Y38" ca="1" si="4">SUM(B22:B37)+B4+B5</f>
        <v>739</v>
      </c>
      <c r="C38" s="687">
        <f t="shared" ca="1" si="4"/>
        <v>728</v>
      </c>
      <c r="D38" s="687">
        <f t="shared" ca="1" si="4"/>
        <v>729</v>
      </c>
      <c r="E38" s="687">
        <f t="shared" ca="1" si="4"/>
        <v>707</v>
      </c>
      <c r="F38" s="687">
        <f t="shared" ca="1" si="4"/>
        <v>721</v>
      </c>
      <c r="G38" s="687">
        <f t="shared" ca="1" si="4"/>
        <v>730</v>
      </c>
      <c r="H38" s="687">
        <f t="shared" ca="1" si="4"/>
        <v>765</v>
      </c>
      <c r="I38" s="687">
        <f t="shared" ca="1" si="4"/>
        <v>832</v>
      </c>
      <c r="J38" s="687">
        <f t="shared" ca="1" si="4"/>
        <v>857</v>
      </c>
      <c r="K38" s="687">
        <f t="shared" ca="1" si="4"/>
        <v>875</v>
      </c>
      <c r="L38" s="687">
        <f t="shared" ca="1" si="4"/>
        <v>902</v>
      </c>
      <c r="M38" s="687">
        <f t="shared" ca="1" si="4"/>
        <v>899</v>
      </c>
      <c r="N38" s="687">
        <f t="shared" ca="1" si="4"/>
        <v>906</v>
      </c>
      <c r="O38" s="687">
        <f t="shared" ca="1" si="4"/>
        <v>888</v>
      </c>
      <c r="P38" s="687">
        <f t="shared" ca="1" si="4"/>
        <v>883</v>
      </c>
      <c r="Q38" s="687">
        <f t="shared" ca="1" si="4"/>
        <v>876</v>
      </c>
      <c r="R38" s="687">
        <f t="shared" ca="1" si="4"/>
        <v>878</v>
      </c>
      <c r="S38" s="687">
        <f t="shared" ca="1" si="4"/>
        <v>923</v>
      </c>
      <c r="T38" s="687">
        <f t="shared" ca="1" si="4"/>
        <v>1048</v>
      </c>
      <c r="U38" s="687">
        <f t="shared" ca="1" si="4"/>
        <v>1035</v>
      </c>
      <c r="V38" s="687">
        <f t="shared" ca="1" si="4"/>
        <v>1040</v>
      </c>
      <c r="W38" s="687">
        <f t="shared" ca="1" si="4"/>
        <v>1006</v>
      </c>
      <c r="X38" s="687">
        <f t="shared" ca="1" si="4"/>
        <v>937</v>
      </c>
      <c r="Y38" s="688">
        <f t="shared" ca="1" si="4"/>
        <v>762</v>
      </c>
      <c r="Z38" s="348"/>
      <c r="AA38" s="162"/>
    </row>
    <row r="39" spans="1:33" s="161" customFormat="1" ht="16.2"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f ca="1">-Economics!D34/Economics!I34</f>
        <v>0</v>
      </c>
    </row>
    <row r="42" spans="1:33" s="161" customFormat="1" ht="15" customHeight="1" x14ac:dyDescent="0.2">
      <c r="A42" s="600" t="s">
        <v>130</v>
      </c>
      <c r="B42" s="602">
        <v>34</v>
      </c>
      <c r="C42" s="602">
        <v>28</v>
      </c>
      <c r="D42" s="602">
        <v>28</v>
      </c>
      <c r="E42" s="603">
        <v>28</v>
      </c>
      <c r="F42" s="602">
        <v>28</v>
      </c>
      <c r="G42" s="602">
        <v>28</v>
      </c>
      <c r="H42" s="602">
        <v>28</v>
      </c>
      <c r="I42" s="602">
        <v>70</v>
      </c>
      <c r="J42" s="602">
        <v>35</v>
      </c>
      <c r="K42" s="602">
        <v>35</v>
      </c>
      <c r="L42" s="602">
        <v>34</v>
      </c>
      <c r="M42" s="602">
        <v>35</v>
      </c>
      <c r="N42" s="602">
        <v>28</v>
      </c>
      <c r="O42" s="602">
        <v>34</v>
      </c>
      <c r="P42" s="602">
        <v>34</v>
      </c>
      <c r="Q42" s="602">
        <v>35</v>
      </c>
      <c r="R42" s="602">
        <v>34</v>
      </c>
      <c r="S42" s="602">
        <v>35</v>
      </c>
      <c r="T42" s="602">
        <v>79</v>
      </c>
      <c r="U42" s="602">
        <v>79</v>
      </c>
      <c r="V42" s="602">
        <v>79</v>
      </c>
      <c r="W42" s="602">
        <v>60</v>
      </c>
      <c r="X42" s="602">
        <v>59</v>
      </c>
      <c r="Y42" s="604">
        <v>41</v>
      </c>
      <c r="Z42" s="350">
        <v>78</v>
      </c>
      <c r="AA42" s="210">
        <f ca="1">-Economics!D35/Economics!I35</f>
        <v>10792.621970663266</v>
      </c>
    </row>
    <row r="43" spans="1:33" s="161" customFormat="1" ht="12.75" customHeight="1" x14ac:dyDescent="0.2">
      <c r="A43" s="601" t="s">
        <v>131</v>
      </c>
      <c r="B43" s="605">
        <v>62</v>
      </c>
      <c r="C43" s="605">
        <v>49</v>
      </c>
      <c r="D43" s="605">
        <v>64</v>
      </c>
      <c r="E43" s="606">
        <v>43</v>
      </c>
      <c r="F43" s="605">
        <v>53</v>
      </c>
      <c r="G43" s="605">
        <v>58</v>
      </c>
      <c r="H43" s="605">
        <v>91</v>
      </c>
      <c r="I43" s="605">
        <v>69</v>
      </c>
      <c r="J43" s="605">
        <v>43</v>
      </c>
      <c r="K43" s="605">
        <v>62</v>
      </c>
      <c r="L43" s="605">
        <v>68</v>
      </c>
      <c r="M43" s="605">
        <v>66</v>
      </c>
      <c r="N43" s="605">
        <v>72</v>
      </c>
      <c r="O43" s="605">
        <v>51</v>
      </c>
      <c r="P43" s="605">
        <v>49</v>
      </c>
      <c r="Q43" s="605">
        <v>45</v>
      </c>
      <c r="R43" s="605">
        <v>47</v>
      </c>
      <c r="S43" s="605">
        <v>41</v>
      </c>
      <c r="T43" s="605">
        <v>45</v>
      </c>
      <c r="U43" s="605">
        <v>65</v>
      </c>
      <c r="V43" s="605">
        <v>55</v>
      </c>
      <c r="W43" s="605">
        <v>68</v>
      </c>
      <c r="X43" s="605">
        <v>73</v>
      </c>
      <c r="Y43" s="607">
        <v>38</v>
      </c>
      <c r="Z43" s="352">
        <v>103</v>
      </c>
      <c r="AA43" s="211">
        <f ca="1">-Economics!D36/Economics!I36</f>
        <v>14206.200175382653</v>
      </c>
    </row>
    <row r="44" spans="1:33" s="161" customFormat="1" ht="12.75" customHeight="1" x14ac:dyDescent="0.2">
      <c r="A44" s="600" t="s">
        <v>49</v>
      </c>
      <c r="B44" s="602">
        <v>21</v>
      </c>
      <c r="C44" s="602">
        <v>21</v>
      </c>
      <c r="D44" s="602">
        <v>20</v>
      </c>
      <c r="E44" s="602">
        <v>21</v>
      </c>
      <c r="F44" s="602">
        <v>21</v>
      </c>
      <c r="G44" s="602">
        <v>20</v>
      </c>
      <c r="H44" s="602">
        <v>21</v>
      </c>
      <c r="I44" s="602">
        <v>21</v>
      </c>
      <c r="J44" s="602">
        <v>21</v>
      </c>
      <c r="K44" s="602">
        <v>21</v>
      </c>
      <c r="L44" s="602">
        <v>21</v>
      </c>
      <c r="M44" s="602">
        <v>21</v>
      </c>
      <c r="N44" s="602">
        <v>21</v>
      </c>
      <c r="O44" s="602">
        <v>21</v>
      </c>
      <c r="P44" s="602">
        <v>20</v>
      </c>
      <c r="Q44" s="602">
        <v>21</v>
      </c>
      <c r="R44" s="602">
        <v>21</v>
      </c>
      <c r="S44" s="602">
        <v>21</v>
      </c>
      <c r="T44" s="602">
        <v>45</v>
      </c>
      <c r="U44" s="602">
        <v>21</v>
      </c>
      <c r="V44" s="602">
        <v>21</v>
      </c>
      <c r="W44" s="602">
        <v>20</v>
      </c>
      <c r="X44" s="602">
        <v>21</v>
      </c>
      <c r="Y44" s="604">
        <v>21</v>
      </c>
      <c r="Z44" s="350">
        <v>40</v>
      </c>
      <c r="AA44" s="210">
        <f ca="1">-Economics!D37/Economics!I37</f>
        <v>8774.3941326530621</v>
      </c>
    </row>
    <row r="45" spans="1:33" s="161" customFormat="1" ht="12.75" customHeight="1" x14ac:dyDescent="0.2">
      <c r="A45" s="600" t="s">
        <v>50</v>
      </c>
      <c r="B45" s="602">
        <v>20</v>
      </c>
      <c r="C45" s="602">
        <v>20</v>
      </c>
      <c r="D45" s="602">
        <v>20</v>
      </c>
      <c r="E45" s="602">
        <v>20</v>
      </c>
      <c r="F45" s="602">
        <v>20</v>
      </c>
      <c r="G45" s="602">
        <v>20</v>
      </c>
      <c r="H45" s="602">
        <v>20</v>
      </c>
      <c r="I45" s="602">
        <v>20</v>
      </c>
      <c r="J45" s="602">
        <v>20</v>
      </c>
      <c r="K45" s="602">
        <v>20</v>
      </c>
      <c r="L45" s="602">
        <v>20</v>
      </c>
      <c r="M45" s="602">
        <v>20</v>
      </c>
      <c r="N45" s="602">
        <v>20</v>
      </c>
      <c r="O45" s="602">
        <v>20</v>
      </c>
      <c r="P45" s="602">
        <v>20</v>
      </c>
      <c r="Q45" s="602">
        <v>20</v>
      </c>
      <c r="R45" s="602">
        <v>20</v>
      </c>
      <c r="S45" s="602">
        <v>20</v>
      </c>
      <c r="T45" s="602">
        <v>39</v>
      </c>
      <c r="U45" s="602">
        <v>20</v>
      </c>
      <c r="V45" s="602">
        <v>20</v>
      </c>
      <c r="W45" s="602">
        <v>20</v>
      </c>
      <c r="X45" s="602">
        <v>24</v>
      </c>
      <c r="Y45" s="604">
        <v>25</v>
      </c>
      <c r="Z45" s="350">
        <v>40</v>
      </c>
      <c r="AA45" s="210">
        <f ca="1">-Economics!D38/Economics!I38</f>
        <v>8605.2196269132655</v>
      </c>
    </row>
    <row r="46" spans="1:33" s="161" customFormat="1" ht="12.75" customHeight="1" x14ac:dyDescent="0.25">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f ca="1">-Economics!D39/Economics!I39</f>
        <v>0</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f ca="1">-Economics!D40/Economics!I40</f>
        <v>0</v>
      </c>
    </row>
    <row r="48" spans="1:33" s="161" customFormat="1" ht="12.75" customHeight="1" x14ac:dyDescent="0.2">
      <c r="A48" s="601" t="s">
        <v>132</v>
      </c>
      <c r="B48" s="605">
        <v>0</v>
      </c>
      <c r="C48" s="605">
        <v>0</v>
      </c>
      <c r="D48" s="605">
        <v>0</v>
      </c>
      <c r="E48" s="605">
        <v>0</v>
      </c>
      <c r="F48" s="605">
        <v>0</v>
      </c>
      <c r="G48" s="605">
        <v>0</v>
      </c>
      <c r="H48" s="605">
        <v>0</v>
      </c>
      <c r="I48" s="605">
        <v>0</v>
      </c>
      <c r="J48" s="605">
        <v>0</v>
      </c>
      <c r="K48" s="605">
        <v>0</v>
      </c>
      <c r="L48" s="605">
        <v>0</v>
      </c>
      <c r="M48" s="605">
        <v>0</v>
      </c>
      <c r="N48" s="605">
        <v>0</v>
      </c>
      <c r="O48" s="605">
        <v>0</v>
      </c>
      <c r="P48" s="605">
        <v>0</v>
      </c>
      <c r="Q48" s="605">
        <v>0</v>
      </c>
      <c r="R48" s="605">
        <v>0</v>
      </c>
      <c r="S48" s="605">
        <v>0</v>
      </c>
      <c r="T48" s="605">
        <v>0</v>
      </c>
      <c r="U48" s="605"/>
      <c r="V48" s="605">
        <v>0</v>
      </c>
      <c r="W48" s="605">
        <v>0</v>
      </c>
      <c r="X48" s="605">
        <v>0</v>
      </c>
      <c r="Y48" s="607">
        <v>0</v>
      </c>
      <c r="Z48" s="352">
        <v>212</v>
      </c>
      <c r="AA48" s="211">
        <f ca="1">-Economics!D41/Economics!I41</f>
        <v>0</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f ca="1">-Economics!D42/Economics!I42</f>
        <v>0</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f ca="1">-Economics!D43/Economics!I43</f>
        <v>0</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f ca="1">-Economics!D44/Economics!I44</f>
        <v>0</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f ca="1">-Economics!D45/Economics!I45</f>
        <v>0</v>
      </c>
    </row>
    <row r="53" spans="1:27" s="161" customFormat="1" ht="12.75" customHeight="1" thickTop="1" x14ac:dyDescent="0.2">
      <c r="A53" s="600" t="s">
        <v>126</v>
      </c>
      <c r="B53" s="602">
        <v>201</v>
      </c>
      <c r="C53" s="602">
        <v>200</v>
      </c>
      <c r="D53" s="602">
        <v>200</v>
      </c>
      <c r="E53" s="602">
        <v>200</v>
      </c>
      <c r="F53" s="602">
        <v>201</v>
      </c>
      <c r="G53" s="602">
        <v>201</v>
      </c>
      <c r="H53" s="602">
        <v>201</v>
      </c>
      <c r="I53" s="602">
        <v>201</v>
      </c>
      <c r="J53" s="602">
        <v>201</v>
      </c>
      <c r="K53" s="602">
        <v>201</v>
      </c>
      <c r="L53" s="602">
        <v>201</v>
      </c>
      <c r="M53" s="602">
        <v>201</v>
      </c>
      <c r="N53" s="602">
        <v>201</v>
      </c>
      <c r="O53" s="602">
        <v>201</v>
      </c>
      <c r="P53" s="602">
        <v>201</v>
      </c>
      <c r="Q53" s="602">
        <v>201</v>
      </c>
      <c r="R53" s="602">
        <v>201</v>
      </c>
      <c r="S53" s="602">
        <v>200</v>
      </c>
      <c r="T53" s="602">
        <v>201</v>
      </c>
      <c r="U53" s="602">
        <v>200</v>
      </c>
      <c r="V53" s="602">
        <v>201</v>
      </c>
      <c r="W53" s="602">
        <v>201</v>
      </c>
      <c r="X53" s="602">
        <v>201</v>
      </c>
      <c r="Y53" s="604">
        <v>201</v>
      </c>
      <c r="Z53" s="350">
        <v>198</v>
      </c>
      <c r="AA53" s="208"/>
    </row>
    <row r="54" spans="1:27" s="161" customFormat="1" ht="12.75" customHeight="1" x14ac:dyDescent="0.2">
      <c r="A54" s="600" t="s">
        <v>127</v>
      </c>
      <c r="B54" s="602">
        <v>201</v>
      </c>
      <c r="C54" s="602">
        <v>200</v>
      </c>
      <c r="D54" s="602">
        <v>200</v>
      </c>
      <c r="E54" s="602">
        <v>200</v>
      </c>
      <c r="F54" s="602">
        <v>201</v>
      </c>
      <c r="G54" s="602">
        <v>201</v>
      </c>
      <c r="H54" s="602">
        <v>201</v>
      </c>
      <c r="I54" s="602">
        <v>201</v>
      </c>
      <c r="J54" s="602">
        <v>201</v>
      </c>
      <c r="K54" s="602">
        <v>201</v>
      </c>
      <c r="L54" s="602">
        <v>201</v>
      </c>
      <c r="M54" s="602">
        <v>201</v>
      </c>
      <c r="N54" s="602">
        <v>201</v>
      </c>
      <c r="O54" s="602">
        <v>201</v>
      </c>
      <c r="P54" s="602">
        <v>201</v>
      </c>
      <c r="Q54" s="602">
        <v>201</v>
      </c>
      <c r="R54" s="602">
        <v>201</v>
      </c>
      <c r="S54" s="602">
        <v>200</v>
      </c>
      <c r="T54" s="602">
        <v>201</v>
      </c>
      <c r="U54" s="602">
        <v>200</v>
      </c>
      <c r="V54" s="602">
        <v>201</v>
      </c>
      <c r="W54" s="602">
        <v>201</v>
      </c>
      <c r="X54" s="602">
        <v>201</v>
      </c>
      <c r="Y54" s="604">
        <v>201</v>
      </c>
      <c r="Z54" s="350">
        <v>198</v>
      </c>
      <c r="AA54" s="208"/>
    </row>
    <row r="55" spans="1:27" s="161" customFormat="1" ht="12.75" customHeight="1" x14ac:dyDescent="0.2">
      <c r="A55" s="600" t="s">
        <v>128</v>
      </c>
      <c r="B55" s="602">
        <v>201</v>
      </c>
      <c r="C55" s="602">
        <v>200</v>
      </c>
      <c r="D55" s="602">
        <v>200</v>
      </c>
      <c r="E55" s="602">
        <v>200</v>
      </c>
      <c r="F55" s="602">
        <v>201</v>
      </c>
      <c r="G55" s="602">
        <v>201</v>
      </c>
      <c r="H55" s="602">
        <v>201</v>
      </c>
      <c r="I55" s="602">
        <v>201</v>
      </c>
      <c r="J55" s="602">
        <v>201</v>
      </c>
      <c r="K55" s="602">
        <v>201</v>
      </c>
      <c r="L55" s="602">
        <v>201</v>
      </c>
      <c r="M55" s="602">
        <v>201</v>
      </c>
      <c r="N55" s="602">
        <v>201</v>
      </c>
      <c r="O55" s="602">
        <v>201</v>
      </c>
      <c r="P55" s="602">
        <v>201</v>
      </c>
      <c r="Q55" s="602">
        <v>201</v>
      </c>
      <c r="R55" s="602">
        <v>201</v>
      </c>
      <c r="S55" s="602">
        <v>200</v>
      </c>
      <c r="T55" s="602">
        <v>201</v>
      </c>
      <c r="U55" s="602">
        <v>200</v>
      </c>
      <c r="V55" s="602">
        <v>201</v>
      </c>
      <c r="W55" s="602">
        <v>201</v>
      </c>
      <c r="X55" s="602">
        <v>201</v>
      </c>
      <c r="Y55" s="604">
        <v>201</v>
      </c>
      <c r="Z55" s="350">
        <v>198</v>
      </c>
      <c r="AA55" s="208"/>
    </row>
    <row r="56" spans="1:27" s="161" customFormat="1" ht="12" customHeight="1" x14ac:dyDescent="0.2">
      <c r="A56" s="600" t="s">
        <v>124</v>
      </c>
      <c r="B56" s="602">
        <v>2</v>
      </c>
      <c r="C56" s="602">
        <v>2</v>
      </c>
      <c r="D56" s="602">
        <v>2</v>
      </c>
      <c r="E56" s="602">
        <v>2</v>
      </c>
      <c r="F56" s="602">
        <v>2</v>
      </c>
      <c r="G56" s="602">
        <v>2</v>
      </c>
      <c r="H56" s="602">
        <v>2</v>
      </c>
      <c r="I56" s="602">
        <v>52</v>
      </c>
      <c r="J56" s="602">
        <v>53</v>
      </c>
      <c r="K56" s="602">
        <v>53</v>
      </c>
      <c r="L56" s="602">
        <v>52</v>
      </c>
      <c r="M56" s="602">
        <v>52</v>
      </c>
      <c r="N56" s="602">
        <v>52</v>
      </c>
      <c r="O56" s="602">
        <v>52</v>
      </c>
      <c r="P56" s="602">
        <v>52</v>
      </c>
      <c r="Q56" s="602">
        <v>22</v>
      </c>
      <c r="R56" s="602">
        <v>22</v>
      </c>
      <c r="S56" s="602">
        <v>45</v>
      </c>
      <c r="T56" s="602">
        <v>52</v>
      </c>
      <c r="U56" s="602">
        <v>53</v>
      </c>
      <c r="V56" s="602">
        <v>53</v>
      </c>
      <c r="W56" s="602">
        <v>52</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3">
      <c r="A58" s="710" t="s">
        <v>10</v>
      </c>
      <c r="B58" s="711">
        <f ca="1">B59-B38</f>
        <v>3</v>
      </c>
      <c r="C58" s="711">
        <f t="shared" ref="C58:I58" ca="1" si="5">C59-C38</f>
        <v>-8</v>
      </c>
      <c r="D58" s="711">
        <f t="shared" ca="1" si="5"/>
        <v>5</v>
      </c>
      <c r="E58" s="711">
        <f t="shared" ca="1" si="5"/>
        <v>7</v>
      </c>
      <c r="F58" s="711">
        <f t="shared" ca="1" si="5"/>
        <v>6</v>
      </c>
      <c r="G58" s="711">
        <f ca="1">G59-G38</f>
        <v>1</v>
      </c>
      <c r="H58" s="711">
        <f t="shared" ca="1" si="5"/>
        <v>0</v>
      </c>
      <c r="I58" s="711">
        <f t="shared" ca="1" si="5"/>
        <v>3</v>
      </c>
      <c r="J58" s="711">
        <f t="shared" ref="J58:Y58" ca="1" si="6">J59-J38</f>
        <v>-2</v>
      </c>
      <c r="K58" s="711">
        <f t="shared" ca="1" si="6"/>
        <v>-1</v>
      </c>
      <c r="L58" s="711">
        <f t="shared" ca="1" si="6"/>
        <v>-24</v>
      </c>
      <c r="M58" s="711">
        <f t="shared" ca="1" si="6"/>
        <v>-22</v>
      </c>
      <c r="N58" s="711">
        <f t="shared" ca="1" si="6"/>
        <v>-30</v>
      </c>
      <c r="O58" s="711">
        <f t="shared" ca="1" si="6"/>
        <v>-27</v>
      </c>
      <c r="P58" s="711">
        <f t="shared" ca="1" si="6"/>
        <v>-25</v>
      </c>
      <c r="Q58" s="711">
        <f t="shared" ca="1" si="6"/>
        <v>-25</v>
      </c>
      <c r="R58" s="711">
        <f t="shared" ca="1" si="6"/>
        <v>-26</v>
      </c>
      <c r="S58" s="711">
        <f t="shared" ca="1" si="6"/>
        <v>-28</v>
      </c>
      <c r="T58" s="711">
        <f t="shared" ca="1" si="6"/>
        <v>-27</v>
      </c>
      <c r="U58" s="711">
        <f t="shared" ca="1" si="6"/>
        <v>-14</v>
      </c>
      <c r="V58" s="711">
        <f t="shared" ca="1" si="6"/>
        <v>-26</v>
      </c>
      <c r="W58" s="711">
        <f t="shared" ca="1" si="6"/>
        <v>-25</v>
      </c>
      <c r="X58" s="711">
        <f t="shared" ca="1" si="6"/>
        <v>-25</v>
      </c>
      <c r="Y58" s="712">
        <f t="shared" ca="1" si="6"/>
        <v>18</v>
      </c>
      <c r="Z58" s="351">
        <f>SUM(Z41:Z55)+Z41+Z42+Z43+Z48+Z49+Z50+Z51+Z52</f>
        <v>2416</v>
      </c>
      <c r="AA58" s="209">
        <f ca="1">SUM(AA41:AA55)</f>
        <v>42378.435905612248</v>
      </c>
    </row>
    <row r="59" spans="1:27" s="161" customFormat="1" ht="12" x14ac:dyDescent="0.2">
      <c r="A59" s="552">
        <v>0</v>
      </c>
      <c r="B59" s="553">
        <f t="shared" ref="B59:I59" ca="1" si="7">SUM(B41:B57)-SUM(B7:B20)</f>
        <v>742</v>
      </c>
      <c r="C59" s="553">
        <f t="shared" ca="1" si="7"/>
        <v>720</v>
      </c>
      <c r="D59" s="553">
        <f t="shared" ca="1" si="7"/>
        <v>734</v>
      </c>
      <c r="E59" s="553">
        <f t="shared" ca="1" si="7"/>
        <v>714</v>
      </c>
      <c r="F59" s="553">
        <f t="shared" ca="1" si="7"/>
        <v>727</v>
      </c>
      <c r="G59" s="553">
        <f t="shared" ca="1" si="7"/>
        <v>731</v>
      </c>
      <c r="H59" s="553">
        <f t="shared" ca="1" si="7"/>
        <v>765</v>
      </c>
      <c r="I59" s="553">
        <f t="shared" ca="1" si="7"/>
        <v>835</v>
      </c>
      <c r="J59" s="553">
        <f t="shared" ref="J59:Y59" ca="1" si="8">SUM(J41:J57)-SUM(J7:J20)</f>
        <v>855</v>
      </c>
      <c r="K59" s="553">
        <f t="shared" ca="1" si="8"/>
        <v>874</v>
      </c>
      <c r="L59" s="553">
        <f t="shared" ca="1" si="8"/>
        <v>878</v>
      </c>
      <c r="M59" s="553">
        <f t="shared" ca="1" si="8"/>
        <v>877</v>
      </c>
      <c r="N59" s="553">
        <f t="shared" ca="1" si="8"/>
        <v>876</v>
      </c>
      <c r="O59" s="553">
        <f t="shared" ca="1" si="8"/>
        <v>861</v>
      </c>
      <c r="P59" s="553">
        <f t="shared" ca="1" si="8"/>
        <v>858</v>
      </c>
      <c r="Q59" s="553">
        <f t="shared" ca="1" si="8"/>
        <v>851</v>
      </c>
      <c r="R59" s="553">
        <f t="shared" ca="1" si="8"/>
        <v>852</v>
      </c>
      <c r="S59" s="553">
        <f t="shared" ca="1" si="8"/>
        <v>895</v>
      </c>
      <c r="T59" s="553">
        <f t="shared" ca="1" si="8"/>
        <v>1021</v>
      </c>
      <c r="U59" s="553">
        <f ca="1">SUM(U41:U57)-SUM(U7:U20)</f>
        <v>1021</v>
      </c>
      <c r="V59" s="553">
        <f t="shared" ca="1" si="8"/>
        <v>1014</v>
      </c>
      <c r="W59" s="553">
        <f t="shared" ca="1" si="8"/>
        <v>981</v>
      </c>
      <c r="X59" s="553">
        <f t="shared" ca="1" si="8"/>
        <v>912</v>
      </c>
      <c r="Y59" s="553">
        <f t="shared" ca="1" si="8"/>
        <v>780</v>
      </c>
      <c r="Z59" s="213">
        <f ca="1">SUM(Economics!D28:D45)</f>
        <v>-182109.13117499999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538</v>
      </c>
      <c r="C62" s="169">
        <f t="shared" ca="1" si="10"/>
        <v>524</v>
      </c>
      <c r="D62" s="169">
        <f t="shared" ca="1" si="10"/>
        <v>505</v>
      </c>
      <c r="E62" s="169">
        <f t="shared" ca="1" si="10"/>
        <v>525</v>
      </c>
      <c r="F62" s="169">
        <f t="shared" ca="1" si="10"/>
        <v>513</v>
      </c>
      <c r="G62" s="169">
        <f t="shared" ca="1" si="10"/>
        <v>513</v>
      </c>
      <c r="H62" s="169">
        <f t="shared" ca="1" si="10"/>
        <v>513</v>
      </c>
      <c r="I62" s="169">
        <f t="shared" ca="1" si="10"/>
        <v>483</v>
      </c>
      <c r="J62" s="169">
        <f t="shared" ca="1" si="10"/>
        <v>483</v>
      </c>
      <c r="K62" s="169">
        <f t="shared" ca="1" si="10"/>
        <v>483</v>
      </c>
      <c r="L62" s="169">
        <f t="shared" ca="1" si="10"/>
        <v>463</v>
      </c>
      <c r="M62" s="169">
        <f t="shared" ca="1" si="10"/>
        <v>463</v>
      </c>
      <c r="N62" s="169">
        <f t="shared" ca="1" si="10"/>
        <v>463</v>
      </c>
      <c r="O62" s="169">
        <f t="shared" ca="1" si="10"/>
        <v>463</v>
      </c>
      <c r="P62" s="169">
        <f t="shared" ca="1" si="10"/>
        <v>463</v>
      </c>
      <c r="Q62" s="169">
        <f t="shared" ca="1" si="10"/>
        <v>488</v>
      </c>
      <c r="R62" s="169">
        <f t="shared" ca="1" si="10"/>
        <v>488</v>
      </c>
      <c r="S62" s="169">
        <f t="shared" ca="1" si="10"/>
        <v>460</v>
      </c>
      <c r="T62" s="169">
        <f t="shared" ca="1" si="10"/>
        <v>443</v>
      </c>
      <c r="U62" s="169">
        <f t="shared" ca="1" si="10"/>
        <v>440</v>
      </c>
      <c r="V62" s="169">
        <f t="shared" ca="1" si="10"/>
        <v>443</v>
      </c>
      <c r="W62" s="169">
        <f t="shared" ca="1" si="10"/>
        <v>443</v>
      </c>
      <c r="X62" s="169">
        <f t="shared" ca="1" si="10"/>
        <v>463</v>
      </c>
      <c r="Y62" s="170">
        <f t="shared" ca="1" si="10"/>
        <v>533</v>
      </c>
      <c r="Z62" s="191"/>
      <c r="AA62" s="162"/>
    </row>
    <row r="63" spans="1:27" s="161" customFormat="1" ht="12" x14ac:dyDescent="0.2">
      <c r="A63" s="193" t="s">
        <v>140</v>
      </c>
      <c r="B63" s="169">
        <f t="shared" ref="B63:L63" ca="1" si="11">-SUM(B8:B10,B25:B28) + SUM(B56:B57)</f>
        <v>-23</v>
      </c>
      <c r="C63" s="169">
        <f t="shared" ca="1" si="11"/>
        <v>-23</v>
      </c>
      <c r="D63" s="169">
        <f t="shared" ca="1" si="11"/>
        <v>-23</v>
      </c>
      <c r="E63" s="169">
        <f t="shared" ca="1" si="11"/>
        <v>-23</v>
      </c>
      <c r="F63" s="169">
        <f t="shared" ca="1" si="11"/>
        <v>-23</v>
      </c>
      <c r="G63" s="169">
        <f t="shared" ca="1" si="11"/>
        <v>-23</v>
      </c>
      <c r="H63" s="169">
        <f t="shared" ca="1" si="11"/>
        <v>-23</v>
      </c>
      <c r="I63" s="169">
        <f t="shared" ca="1" si="11"/>
        <v>-3</v>
      </c>
      <c r="J63" s="169">
        <f t="shared" ca="1" si="11"/>
        <v>-2</v>
      </c>
      <c r="K63" s="169">
        <f t="shared" ca="1" si="11"/>
        <v>-2</v>
      </c>
      <c r="L63" s="169">
        <f t="shared" ca="1" si="11"/>
        <v>-3</v>
      </c>
      <c r="M63" s="169">
        <f ca="1">-SUM(M8:M10,M25:M28) + SUM(M57:M57)</f>
        <v>-55</v>
      </c>
      <c r="N63" s="169">
        <f t="shared" ref="N63:Y63" ca="1" si="12">-SUM(N8:N10,N25:N28) + SUM(N56:N57)</f>
        <v>-3</v>
      </c>
      <c r="O63" s="169">
        <f t="shared" ca="1" si="12"/>
        <v>-3</v>
      </c>
      <c r="P63" s="169">
        <f t="shared" ca="1" si="12"/>
        <v>-3</v>
      </c>
      <c r="Q63" s="169">
        <f t="shared" ca="1" si="12"/>
        <v>-33</v>
      </c>
      <c r="R63" s="169">
        <f t="shared" ca="1" si="12"/>
        <v>-33</v>
      </c>
      <c r="S63" s="169">
        <f t="shared" ca="1" si="12"/>
        <v>-10</v>
      </c>
      <c r="T63" s="169">
        <f t="shared" ca="1" si="12"/>
        <v>22</v>
      </c>
      <c r="U63" s="169">
        <f t="shared" ca="1" si="12"/>
        <v>48</v>
      </c>
      <c r="V63" s="169">
        <f t="shared" ca="1" si="12"/>
        <v>48</v>
      </c>
      <c r="W63" s="169">
        <f t="shared" ca="1" si="12"/>
        <v>22</v>
      </c>
      <c r="X63" s="169">
        <f t="shared" ca="1" si="12"/>
        <v>-3</v>
      </c>
      <c r="Y63" s="170">
        <f t="shared" ca="1" si="12"/>
        <v>27</v>
      </c>
      <c r="Z63" s="191"/>
      <c r="AA63" s="162"/>
    </row>
    <row r="64" spans="1:27" s="161" customFormat="1" ht="12" x14ac:dyDescent="0.2">
      <c r="A64" s="193" t="s">
        <v>141</v>
      </c>
      <c r="B64" s="169">
        <f ca="1">IF(B62+B63&gt;645,"err",B62+B63)</f>
        <v>515</v>
      </c>
      <c r="C64" s="169">
        <f t="shared" ref="C64:Y64" ca="1" si="13">IF(C62+C63&gt;645,"err",C62+C63)</f>
        <v>501</v>
      </c>
      <c r="D64" s="169">
        <f t="shared" ca="1" si="13"/>
        <v>482</v>
      </c>
      <c r="E64" s="169">
        <f t="shared" ca="1" si="13"/>
        <v>502</v>
      </c>
      <c r="F64" s="169">
        <f t="shared" ca="1" si="13"/>
        <v>490</v>
      </c>
      <c r="G64" s="169">
        <f t="shared" ca="1" si="13"/>
        <v>490</v>
      </c>
      <c r="H64" s="169">
        <f t="shared" ca="1" si="13"/>
        <v>490</v>
      </c>
      <c r="I64" s="169">
        <f t="shared" ca="1" si="13"/>
        <v>480</v>
      </c>
      <c r="J64" s="169">
        <f t="shared" ca="1" si="13"/>
        <v>481</v>
      </c>
      <c r="K64" s="169">
        <f t="shared" ca="1" si="13"/>
        <v>481</v>
      </c>
      <c r="L64" s="169">
        <f t="shared" ca="1" si="13"/>
        <v>460</v>
      </c>
      <c r="M64" s="169">
        <f t="shared" ca="1" si="13"/>
        <v>408</v>
      </c>
      <c r="N64" s="169">
        <f t="shared" ca="1" si="13"/>
        <v>460</v>
      </c>
      <c r="O64" s="169">
        <f t="shared" ca="1" si="13"/>
        <v>460</v>
      </c>
      <c r="P64" s="169">
        <f t="shared" ca="1" si="13"/>
        <v>460</v>
      </c>
      <c r="Q64" s="169">
        <f t="shared" ca="1" si="13"/>
        <v>455</v>
      </c>
      <c r="R64" s="169">
        <f t="shared" ca="1" si="13"/>
        <v>455</v>
      </c>
      <c r="S64" s="169">
        <f t="shared" ca="1" si="13"/>
        <v>450</v>
      </c>
      <c r="T64" s="169">
        <f t="shared" ca="1" si="13"/>
        <v>465</v>
      </c>
      <c r="U64" s="169">
        <f t="shared" ca="1" si="13"/>
        <v>488</v>
      </c>
      <c r="V64" s="169">
        <f t="shared" ca="1" si="13"/>
        <v>491</v>
      </c>
      <c r="W64" s="169">
        <f t="shared" ca="1" si="13"/>
        <v>465</v>
      </c>
      <c r="X64" s="169">
        <f t="shared" ca="1" si="13"/>
        <v>460</v>
      </c>
      <c r="Y64" s="170">
        <f t="shared" ca="1" si="13"/>
        <v>560</v>
      </c>
      <c r="Z64" s="192"/>
      <c r="AA64" s="162"/>
    </row>
    <row r="65" spans="1:27" s="161" customFormat="1" ht="12" x14ac:dyDescent="0.2">
      <c r="A65" s="193" t="s">
        <v>18</v>
      </c>
      <c r="B65" s="169">
        <f ca="1">SUM(B61:B63)</f>
        <v>515</v>
      </c>
      <c r="C65" s="169">
        <f t="shared" ref="C65:Y65" ca="1" si="14">SUM(C61:C63)</f>
        <v>501</v>
      </c>
      <c r="D65" s="169">
        <f t="shared" ca="1" si="14"/>
        <v>482</v>
      </c>
      <c r="E65" s="169">
        <f t="shared" ca="1" si="14"/>
        <v>502</v>
      </c>
      <c r="F65" s="169">
        <f t="shared" ca="1" si="14"/>
        <v>490</v>
      </c>
      <c r="G65" s="169">
        <f t="shared" ca="1" si="14"/>
        <v>490</v>
      </c>
      <c r="H65" s="169">
        <f t="shared" ca="1" si="14"/>
        <v>490</v>
      </c>
      <c r="I65" s="169">
        <f t="shared" ca="1" si="14"/>
        <v>480</v>
      </c>
      <c r="J65" s="169">
        <f t="shared" ca="1" si="14"/>
        <v>561</v>
      </c>
      <c r="K65" s="169">
        <f t="shared" ca="1" si="14"/>
        <v>561</v>
      </c>
      <c r="L65" s="169">
        <f t="shared" ca="1" si="14"/>
        <v>540</v>
      </c>
      <c r="M65" s="169">
        <f t="shared" ca="1" si="14"/>
        <v>488</v>
      </c>
      <c r="N65" s="169">
        <f t="shared" ca="1" si="14"/>
        <v>540</v>
      </c>
      <c r="O65" s="169">
        <f t="shared" ca="1" si="14"/>
        <v>540</v>
      </c>
      <c r="P65" s="169">
        <f t="shared" ca="1" si="14"/>
        <v>540</v>
      </c>
      <c r="Q65" s="169">
        <f t="shared" ca="1" si="14"/>
        <v>535</v>
      </c>
      <c r="R65" s="169">
        <f t="shared" ca="1" si="14"/>
        <v>535</v>
      </c>
      <c r="S65" s="169">
        <f t="shared" ca="1" si="14"/>
        <v>583</v>
      </c>
      <c r="T65" s="169">
        <f t="shared" ca="1" si="14"/>
        <v>598</v>
      </c>
      <c r="U65" s="169">
        <f t="shared" ca="1" si="14"/>
        <v>621</v>
      </c>
      <c r="V65" s="169">
        <f t="shared" ca="1" si="14"/>
        <v>624</v>
      </c>
      <c r="W65" s="169">
        <f t="shared" ca="1" si="14"/>
        <v>598</v>
      </c>
      <c r="X65" s="169">
        <f t="shared" ca="1" si="14"/>
        <v>540</v>
      </c>
      <c r="Y65" s="170">
        <f t="shared" ca="1" si="14"/>
        <v>560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115</v>
      </c>
      <c r="C67" s="169">
        <f t="array" ref="C67">SUM(IF(C$41:C$55 = 0,0,$Z$41:$Z$55-C$41:C$55))-INDEX(Balancing!$R$4:$R$27,C$3)</f>
        <v>137</v>
      </c>
      <c r="D67" s="169">
        <f t="array" ref="D67">SUM(IF(D$41:D$55 = 0,0,$Z$41:$Z$55-D$41:D$55))-INDEX(Balancing!$R$4:$R$27,D$3)</f>
        <v>123</v>
      </c>
      <c r="E67" s="169">
        <f t="array" ref="E67">SUM(IF(E$41:E$55 = 0,0,$Z$41:$Z$55-E$41:E$55))-INDEX(Balancing!$R$4:$R$27,E$3)</f>
        <v>143</v>
      </c>
      <c r="F67" s="169">
        <f t="array" ref="F67">SUM(IF(F$41:F$55 = 0,0,$Z$41:$Z$55-F$41:F$55))-INDEX(Balancing!$R$4:$R$27,F$3)</f>
        <v>130</v>
      </c>
      <c r="G67" s="169">
        <f t="array" ref="G67">SUM(IF(G$41:G$55 = 0,0,$Z$41:$Z$55-G$41:G$55))-INDEX(Balancing!$R$4:$R$27,G$3)</f>
        <v>126</v>
      </c>
      <c r="H67" s="169">
        <f t="array" ref="H67">SUM(IF(H$41:H$55 = 0,0,$Z$41:$Z$55-H$41:H$55))-INDEX(Balancing!$R$4:$R$27,H$3)</f>
        <v>92</v>
      </c>
      <c r="I67" s="169">
        <f t="array" ref="I67">SUM(IF(I$41:I$55 = 0,0,$Z$41:$Z$55-I$41:I$55))-INDEX(Balancing!$R$4:$R$27,I$3)</f>
        <v>72</v>
      </c>
      <c r="J67" s="169">
        <f t="array" ref="J67">SUM(IF(J$41:J$55 = 0,0,$Z$41:$Z$55-J$41:J$55))-INDEX(Balancing!$R$4:$R$27,J$3)</f>
        <v>133</v>
      </c>
      <c r="K67" s="169">
        <f t="array" ref="K67">SUM(IF(K$41:K$55 = 0,0,$Z$41:$Z$55-K$41:K$55))-INDEX(Balancing!$R$4:$R$27,K$3)</f>
        <v>114</v>
      </c>
      <c r="L67" s="169">
        <f t="array" ref="L67">SUM(IF(L$41:L$55 = 0,0,$Z$41:$Z$55-L$41:L$55))-INDEX(Balancing!$R$4:$R$27,L$3)</f>
        <v>109</v>
      </c>
      <c r="M67" s="169">
        <f t="array" ref="M67">SUM(IF(M$41:M$55 = 0,0,$Z$41:$Z$55-M$41:M$55))-INDEX(Balancing!$R$4:$R$27,M$3)</f>
        <v>110</v>
      </c>
      <c r="N67" s="169">
        <v>179</v>
      </c>
      <c r="O67" s="169">
        <f t="array" ref="O67">SUM(IF(O$41:O$55 = 0,0,$Z$41:$Z$55-O$41:O$55))-INDEX(Balancing!$R$4:$R$27,O$3)</f>
        <v>126</v>
      </c>
      <c r="P67" s="169">
        <f t="array" ref="P67">SUM(IF(P$41:P$55 = 0,0,$Z$41:$Z$55-P$41:P$55))-INDEX(Balancing!$R$4:$R$27,P$3)</f>
        <v>129</v>
      </c>
      <c r="Q67" s="169">
        <f t="array" ref="Q67">SUM(IF(Q$41:Q$55 = 0,0,$Z$41:$Z$55-Q$41:Q$55))-INDEX(Balancing!$R$4:$R$27,Q$3)</f>
        <v>131</v>
      </c>
      <c r="R67" s="169">
        <f t="array" ref="R67">SUM(IF(R$41:R$55 = 0,0,$Z$41:$Z$55-R$41:R$55))-INDEX(Balancing!$R$4:$R$27,R$3)</f>
        <v>130</v>
      </c>
      <c r="S67" s="169">
        <f t="array" ref="S67">SUM(IF(S$41:S$55 = 0,0,$Z$41:$Z$55-S$41:S$55))-INDEX(Balancing!$R$4:$R$27,S$3)</f>
        <v>138</v>
      </c>
      <c r="T67" s="169">
        <f t="array" ref="T67">SUM(IF(T$41:T$55 = 0,0,$Z$41:$Z$55-T$41:T$55))-INDEX(Balancing!$R$4:$R$27,T$3)</f>
        <v>44</v>
      </c>
      <c r="U67" s="169">
        <f t="array" ref="U67">SUM(IF(U$41:U$55 = 0,0,$Z$41:$Z$55-U$41:U$55))-INDEX(Balancing!$R$4:$R$27,U$3)</f>
        <v>70</v>
      </c>
      <c r="V67" s="169">
        <f t="array" ref="V67">SUM(IF(V$41:V$55 = 0,0,$Z$41:$Z$55-V$41:V$55))-INDEX(Balancing!$R$4:$R$27,V$3)</f>
        <v>77</v>
      </c>
      <c r="W67" s="169">
        <f t="array" ref="W67">SUM(IF(W$41:W$55 = 0,0,$Z$41:$Z$55-W$41:W$55))-INDEX(Balancing!$R$4:$R$27,W$3)</f>
        <v>84</v>
      </c>
      <c r="X67" s="169">
        <f t="array" ref="X67">SUM(IF(X$41:X$55 = 0,0,$Z$41:$Z$55-X$41:X$55))-INDEX(Balancing!$R$4:$R$27,X$3)</f>
        <v>75</v>
      </c>
      <c r="Y67" s="170">
        <f t="array" ref="Y67">SUM(IF(Y$41:Y$55 = 0,0,$Z$41:$Z$55-Y$41:Y$55))-INDEX(Balancing!$R$4:$R$27,Y$3)</f>
        <v>127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42</v>
      </c>
      <c r="C69" s="171">
        <f t="shared" si="15"/>
        <v>40</v>
      </c>
      <c r="D69" s="171">
        <f t="shared" si="15"/>
        <v>39</v>
      </c>
      <c r="E69" s="171">
        <f t="shared" si="15"/>
        <v>39</v>
      </c>
      <c r="F69" s="171">
        <f t="shared" si="15"/>
        <v>39</v>
      </c>
      <c r="G69" s="171">
        <f t="shared" si="15"/>
        <v>40</v>
      </c>
      <c r="H69" s="171">
        <f t="shared" ref="H69:X69" si="16">IF(H67&lt;0.07*I4,"err",ROUND(I4*0.07,0))</f>
        <v>42</v>
      </c>
      <c r="I69" s="171">
        <f t="shared" si="16"/>
        <v>44</v>
      </c>
      <c r="J69" s="171">
        <f t="shared" si="16"/>
        <v>44</v>
      </c>
      <c r="K69" s="171">
        <f t="shared" si="16"/>
        <v>45</v>
      </c>
      <c r="L69" s="171">
        <f t="shared" si="16"/>
        <v>45</v>
      </c>
      <c r="M69" s="171">
        <f t="shared" si="16"/>
        <v>46</v>
      </c>
      <c r="N69" s="171">
        <f t="shared" si="16"/>
        <v>44</v>
      </c>
      <c r="O69" s="171">
        <f t="shared" si="16"/>
        <v>44</v>
      </c>
      <c r="P69" s="171">
        <f t="shared" si="16"/>
        <v>43</v>
      </c>
      <c r="Q69" s="171">
        <f t="shared" si="16"/>
        <v>44</v>
      </c>
      <c r="R69" s="171">
        <f t="shared" si="16"/>
        <v>46</v>
      </c>
      <c r="S69" s="171">
        <f t="shared" si="16"/>
        <v>53</v>
      </c>
      <c r="T69" s="171" t="str">
        <f t="shared" si="16"/>
        <v>err</v>
      </c>
      <c r="U69" s="171">
        <f t="shared" si="16"/>
        <v>53</v>
      </c>
      <c r="V69" s="171">
        <f t="shared" si="16"/>
        <v>50</v>
      </c>
      <c r="W69" s="171">
        <f t="shared" si="16"/>
        <v>47</v>
      </c>
      <c r="X69" s="171">
        <f t="shared" si="16"/>
        <v>42</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90</v>
      </c>
      <c r="C78" s="462">
        <f t="shared" ca="1" si="17"/>
        <v>75</v>
      </c>
      <c r="D78" s="462">
        <f t="shared" ca="1" si="17"/>
        <v>75</v>
      </c>
      <c r="E78" s="462">
        <f ca="1">(E22+E25+E29)</f>
        <v>75</v>
      </c>
      <c r="F78" s="462">
        <f t="shared" ca="1" si="17"/>
        <v>75</v>
      </c>
      <c r="G78" s="462">
        <f ca="1">(G22+G25+G29)</f>
        <v>75</v>
      </c>
      <c r="H78" s="462">
        <f ca="1">(H22+H25+H29)</f>
        <v>75</v>
      </c>
      <c r="I78" s="462">
        <f ca="1">(I22+I25+I29)</f>
        <v>125</v>
      </c>
      <c r="J78" s="462">
        <f ca="1">(J22+J25+J29)</f>
        <v>125</v>
      </c>
      <c r="K78" s="462">
        <f t="shared" ca="1" si="17"/>
        <v>125</v>
      </c>
      <c r="L78" s="462">
        <f t="shared" ca="1" si="17"/>
        <v>145</v>
      </c>
      <c r="M78" s="462">
        <f t="shared" ca="1" si="17"/>
        <v>145</v>
      </c>
      <c r="N78" s="462">
        <f t="shared" ca="1" si="17"/>
        <v>145</v>
      </c>
      <c r="O78" s="462">
        <f t="shared" ca="1" si="17"/>
        <v>145</v>
      </c>
      <c r="P78" s="462">
        <f t="shared" ca="1" si="17"/>
        <v>145</v>
      </c>
      <c r="Q78" s="462">
        <f t="shared" ca="1" si="17"/>
        <v>145</v>
      </c>
      <c r="R78" s="462">
        <f t="shared" ca="1" si="17"/>
        <v>145</v>
      </c>
      <c r="S78" s="462">
        <f t="shared" ca="1" si="17"/>
        <v>145</v>
      </c>
      <c r="T78" s="462">
        <f t="shared" ca="1" si="17"/>
        <v>165</v>
      </c>
      <c r="U78" s="462">
        <f t="shared" ca="1" si="17"/>
        <v>165</v>
      </c>
      <c r="V78" s="462">
        <f t="shared" ca="1" si="17"/>
        <v>165</v>
      </c>
      <c r="W78" s="462">
        <f t="shared" ca="1" si="17"/>
        <v>165</v>
      </c>
      <c r="X78" s="462">
        <f t="shared" ca="1" si="17"/>
        <v>145</v>
      </c>
      <c r="Y78" s="462">
        <f t="shared" ca="1" si="17"/>
        <v>95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2975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185330.62888086072</v>
      </c>
    </row>
    <row r="87" spans="1:27" x14ac:dyDescent="0.25">
      <c r="X87" s="223"/>
      <c r="Y87" s="224" t="s">
        <v>163</v>
      </c>
      <c r="Z87" s="255">
        <f ca="1">SUM(Z90,Z93,Z96,Z99,Z102,Z107,Z112,Z117,Z122,Z127,Z132,Z137,Z142,Z147,Z152,Z157,Z162)</f>
        <v>269701.97128685476</v>
      </c>
    </row>
    <row r="88" spans="1:27" ht="13.8" thickBot="1" x14ac:dyDescent="0.3">
      <c r="A88" s="173" t="s">
        <v>164</v>
      </c>
      <c r="X88" s="225"/>
      <c r="Y88" s="226" t="s">
        <v>165</v>
      </c>
      <c r="Z88" s="256">
        <f ca="1">Z86-Z87</f>
        <v>-84371.342405994044</v>
      </c>
    </row>
    <row r="89" spans="1:27" x14ac:dyDescent="0.25">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52</v>
      </c>
      <c r="J89" s="228">
        <f t="shared" si="18"/>
        <v>53</v>
      </c>
      <c r="K89" s="228">
        <f t="shared" si="18"/>
        <v>53</v>
      </c>
      <c r="L89" s="228">
        <f t="shared" si="18"/>
        <v>52</v>
      </c>
      <c r="M89" s="228">
        <f>M57</f>
        <v>0</v>
      </c>
      <c r="N89" s="228">
        <f t="shared" si="18"/>
        <v>52</v>
      </c>
      <c r="O89" s="228">
        <f t="shared" si="18"/>
        <v>52</v>
      </c>
      <c r="P89" s="228">
        <f t="shared" si="18"/>
        <v>52</v>
      </c>
      <c r="Q89" s="228">
        <f t="shared" si="18"/>
        <v>22</v>
      </c>
      <c r="R89" s="228">
        <f t="shared" si="18"/>
        <v>22</v>
      </c>
      <c r="S89" s="228">
        <f t="shared" si="18"/>
        <v>45</v>
      </c>
      <c r="T89" s="228">
        <f t="shared" si="18"/>
        <v>52</v>
      </c>
      <c r="U89" s="228">
        <f t="shared" si="18"/>
        <v>53</v>
      </c>
      <c r="V89" s="228">
        <f t="shared" si="18"/>
        <v>53</v>
      </c>
      <c r="W89" s="228">
        <f t="shared" si="18"/>
        <v>52</v>
      </c>
      <c r="X89" s="228">
        <f t="shared" si="18"/>
        <v>52</v>
      </c>
      <c r="Y89" s="228">
        <f t="shared" si="18"/>
        <v>52</v>
      </c>
      <c r="Z89" s="257">
        <f t="array" ref="Z89">SUM(B89:Y89*Economics!F$28)</f>
        <v>10237.631040000004</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101</v>
      </c>
      <c r="C91" s="206">
        <f t="shared" si="19"/>
        <v>50</v>
      </c>
      <c r="D91" s="206">
        <f t="shared" si="19"/>
        <v>0</v>
      </c>
      <c r="E91" s="206">
        <f t="shared" si="19"/>
        <v>0</v>
      </c>
      <c r="F91" s="206">
        <f t="shared" si="19"/>
        <v>0</v>
      </c>
      <c r="G91" s="206">
        <f t="shared" si="19"/>
        <v>0</v>
      </c>
      <c r="H91" s="206">
        <f t="shared" si="19"/>
        <v>50</v>
      </c>
      <c r="I91" s="206">
        <f t="shared" si="19"/>
        <v>0</v>
      </c>
      <c r="J91" s="206">
        <f t="shared" si="19"/>
        <v>-1</v>
      </c>
      <c r="K91" s="206">
        <f t="shared" si="19"/>
        <v>-1</v>
      </c>
      <c r="L91" s="206">
        <f t="shared" si="19"/>
        <v>51</v>
      </c>
      <c r="M91" s="206">
        <f t="shared" si="19"/>
        <v>103</v>
      </c>
      <c r="N91" s="206">
        <f t="shared" si="19"/>
        <v>51</v>
      </c>
      <c r="O91" s="206">
        <f t="shared" si="19"/>
        <v>51</v>
      </c>
      <c r="P91" s="206">
        <f t="shared" si="19"/>
        <v>51</v>
      </c>
      <c r="Q91" s="206">
        <f t="shared" si="19"/>
        <v>81</v>
      </c>
      <c r="R91" s="206">
        <f t="shared" si="19"/>
        <v>81</v>
      </c>
      <c r="S91" s="206">
        <f t="shared" si="19"/>
        <v>58</v>
      </c>
      <c r="T91" s="206">
        <f t="shared" si="19"/>
        <v>51</v>
      </c>
      <c r="U91" s="206">
        <f t="shared" si="19"/>
        <v>50</v>
      </c>
      <c r="V91" s="206">
        <f t="shared" si="19"/>
        <v>-1</v>
      </c>
      <c r="W91" s="206">
        <f t="shared" si="19"/>
        <v>0</v>
      </c>
      <c r="X91" s="206">
        <f t="shared" si="19"/>
        <v>0</v>
      </c>
      <c r="Y91" s="206">
        <f t="shared" si="19"/>
        <v>0</v>
      </c>
      <c r="Z91" s="260">
        <f>Z89-Z90</f>
        <v>-10799.850879999991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200</v>
      </c>
      <c r="D95" s="181">
        <f t="shared" si="22"/>
        <v>200</v>
      </c>
      <c r="E95" s="181">
        <f>E53</f>
        <v>200</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200</v>
      </c>
      <c r="V95" s="181">
        <f t="shared" si="22"/>
        <v>201</v>
      </c>
      <c r="W95" s="181">
        <f t="shared" si="22"/>
        <v>201</v>
      </c>
      <c r="X95" s="181">
        <f t="shared" si="22"/>
        <v>201</v>
      </c>
      <c r="Y95" s="181">
        <f t="shared" si="22"/>
        <v>201</v>
      </c>
      <c r="Z95" s="259">
        <f t="array" ref="Z95">SUM(B95:Y95*Economics!F$30)</f>
        <v>29376.623999999989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0</v>
      </c>
      <c r="D97" s="206">
        <f t="shared" si="23"/>
        <v>0</v>
      </c>
      <c r="E97" s="206">
        <f t="shared" si="23"/>
        <v>0</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0</v>
      </c>
      <c r="V97" s="206">
        <f t="shared" si="23"/>
        <v>-1</v>
      </c>
      <c r="W97" s="206">
        <f t="shared" si="23"/>
        <v>-1</v>
      </c>
      <c r="X97" s="206">
        <f t="shared" si="23"/>
        <v>-1</v>
      </c>
      <c r="Y97" s="206">
        <f t="shared" si="23"/>
        <v>-1</v>
      </c>
      <c r="Z97" s="260">
        <f>Z95-Z96</f>
        <v>115.8239999999787</v>
      </c>
    </row>
    <row r="98" spans="1:29" x14ac:dyDescent="0.25">
      <c r="A98" s="183" t="str">
        <f>Economics!A31</f>
        <v>PV Unit 2</v>
      </c>
      <c r="B98" s="181">
        <f t="shared" ref="B98:Y98" si="24">B54</f>
        <v>201</v>
      </c>
      <c r="C98" s="181">
        <f t="shared" si="24"/>
        <v>200</v>
      </c>
      <c r="D98" s="181">
        <f t="shared" si="24"/>
        <v>200</v>
      </c>
      <c r="E98" s="181">
        <f>E54</f>
        <v>200</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200</v>
      </c>
      <c r="V98" s="181">
        <f t="shared" si="24"/>
        <v>201</v>
      </c>
      <c r="W98" s="181">
        <f t="shared" si="24"/>
        <v>201</v>
      </c>
      <c r="X98" s="181">
        <f t="shared" si="24"/>
        <v>201</v>
      </c>
      <c r="Y98" s="181">
        <f t="shared" si="24"/>
        <v>201</v>
      </c>
      <c r="Z98" s="259">
        <f t="array" ref="Z98">SUM(B98:Y98*Economics!F$31)</f>
        <v>29376.623999999989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-6</v>
      </c>
      <c r="D100" s="206">
        <f t="shared" si="25"/>
        <v>-6</v>
      </c>
      <c r="E100" s="206">
        <f t="shared" si="25"/>
        <v>-6</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-5</v>
      </c>
      <c r="V100" s="206">
        <f t="shared" si="25"/>
        <v>-6</v>
      </c>
      <c r="W100" s="206">
        <f t="shared" si="25"/>
        <v>-6</v>
      </c>
      <c r="X100" s="206">
        <f t="shared" si="25"/>
        <v>-6</v>
      </c>
      <c r="Y100" s="206">
        <f t="shared" si="25"/>
        <v>-6</v>
      </c>
      <c r="Z100" s="260">
        <f>Z98-Z99</f>
        <v>871.72799999998097</v>
      </c>
    </row>
    <row r="101" spans="1:29" x14ac:dyDescent="0.25">
      <c r="A101" s="183" t="str">
        <f>Economics!A32</f>
        <v>PV Unit 3</v>
      </c>
      <c r="B101" s="181">
        <f t="shared" ref="B101:Y101" si="26">B55</f>
        <v>201</v>
      </c>
      <c r="C101" s="181">
        <f t="shared" si="26"/>
        <v>200</v>
      </c>
      <c r="D101" s="181">
        <f t="shared" si="26"/>
        <v>200</v>
      </c>
      <c r="E101" s="181">
        <f>E55</f>
        <v>200</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200</v>
      </c>
      <c r="V101" s="181">
        <f t="shared" si="26"/>
        <v>201</v>
      </c>
      <c r="W101" s="181">
        <f t="shared" si="26"/>
        <v>201</v>
      </c>
      <c r="X101" s="181">
        <f t="shared" si="26"/>
        <v>201</v>
      </c>
      <c r="Y101" s="181">
        <f t="shared" si="26"/>
        <v>201</v>
      </c>
      <c r="Z101" s="259">
        <f t="array" ref="Z101">SUM(B101:Y101*Economics!F$32)</f>
        <v>29376.623999999989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0</v>
      </c>
      <c r="D103" s="206">
        <f t="shared" si="27"/>
        <v>0</v>
      </c>
      <c r="E103" s="206">
        <f t="shared" si="27"/>
        <v>0</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0</v>
      </c>
      <c r="V103" s="206">
        <f t="shared" si="27"/>
        <v>-1</v>
      </c>
      <c r="W103" s="206">
        <f t="shared" si="27"/>
        <v>-1</v>
      </c>
      <c r="X103" s="206">
        <f t="shared" si="27"/>
        <v>-1</v>
      </c>
      <c r="Y103" s="206">
        <f t="shared" si="27"/>
        <v>-1</v>
      </c>
      <c r="Z103" s="260">
        <f>Z101-Z102</f>
        <v>115.8239999999787</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34</v>
      </c>
      <c r="C109" s="181">
        <f t="shared" ref="C109:Y109" si="32">C42</f>
        <v>28</v>
      </c>
      <c r="D109" s="181">
        <f t="shared" si="32"/>
        <v>28</v>
      </c>
      <c r="E109" s="181">
        <f>E42</f>
        <v>28</v>
      </c>
      <c r="F109" s="181">
        <f t="shared" si="32"/>
        <v>28</v>
      </c>
      <c r="G109" s="181">
        <f t="shared" si="32"/>
        <v>28</v>
      </c>
      <c r="H109" s="181">
        <f t="shared" si="32"/>
        <v>28</v>
      </c>
      <c r="I109" s="181">
        <f>I42</f>
        <v>70</v>
      </c>
      <c r="J109" s="181">
        <f t="shared" si="32"/>
        <v>35</v>
      </c>
      <c r="K109" s="181">
        <f t="shared" si="32"/>
        <v>35</v>
      </c>
      <c r="L109" s="181">
        <f t="shared" si="32"/>
        <v>34</v>
      </c>
      <c r="M109" s="181">
        <f t="shared" si="32"/>
        <v>35</v>
      </c>
      <c r="N109" s="181">
        <f t="shared" si="32"/>
        <v>28</v>
      </c>
      <c r="O109" s="181">
        <f t="shared" si="32"/>
        <v>34</v>
      </c>
      <c r="P109" s="181">
        <f t="shared" si="32"/>
        <v>34</v>
      </c>
      <c r="Q109" s="181">
        <f t="shared" si="32"/>
        <v>35</v>
      </c>
      <c r="R109" s="181">
        <f t="shared" si="32"/>
        <v>34</v>
      </c>
      <c r="S109" s="181">
        <f t="shared" si="32"/>
        <v>35</v>
      </c>
      <c r="T109" s="181">
        <f t="shared" si="32"/>
        <v>79</v>
      </c>
      <c r="U109" s="181">
        <f t="shared" si="32"/>
        <v>79</v>
      </c>
      <c r="V109" s="181">
        <f t="shared" si="32"/>
        <v>79</v>
      </c>
      <c r="W109" s="181">
        <f t="shared" si="32"/>
        <v>60</v>
      </c>
      <c r="X109" s="181">
        <f t="shared" si="32"/>
        <v>59</v>
      </c>
      <c r="Y109" s="181">
        <f t="shared" si="32"/>
        <v>41</v>
      </c>
      <c r="Z109" s="219">
        <f>SUM(B109:Y109)</f>
        <v>1008</v>
      </c>
      <c r="AA109" s="318" t="s">
        <v>170</v>
      </c>
    </row>
    <row r="110" spans="1:29" x14ac:dyDescent="0.25">
      <c r="A110" s="185">
        <f>Economics!$I35</f>
        <v>1.96</v>
      </c>
      <c r="B110" s="189">
        <f t="shared" ref="B110:Y110" ca="1" si="33">IndGencost(B109,OFFSET(HeatRateStart,1,MATCH($A109,HeatRateNames,0)-1,250,1),$A110)</f>
        <v>21.354015945019448</v>
      </c>
      <c r="C110" s="189">
        <f t="shared" ca="1" si="33"/>
        <v>21.885864425958911</v>
      </c>
      <c r="D110" s="189">
        <f t="shared" ca="1" si="33"/>
        <v>21.885864425958911</v>
      </c>
      <c r="E110" s="189">
        <f ca="1">IndGencost(E109,OFFSET(HeatRateStart,1,MATCH($A109,HeatRateNames,0)-1,250,1),$A110)</f>
        <v>21.885864425958911</v>
      </c>
      <c r="F110" s="189">
        <f t="shared" ca="1" si="33"/>
        <v>21.885864425958911</v>
      </c>
      <c r="G110" s="189">
        <f t="shared" ca="1" si="33"/>
        <v>21.885864425958911</v>
      </c>
      <c r="H110" s="189">
        <f t="shared" ca="1" si="33"/>
        <v>21.885864425958911</v>
      </c>
      <c r="I110" s="189">
        <f t="shared" ca="1" si="33"/>
        <v>20.301960395131793</v>
      </c>
      <c r="J110" s="189">
        <f t="shared" ca="1" si="33"/>
        <v>21.285180414267952</v>
      </c>
      <c r="K110" s="189">
        <f t="shared" ca="1" si="33"/>
        <v>21.285180414267952</v>
      </c>
      <c r="L110" s="189">
        <f t="shared" ca="1" si="33"/>
        <v>21.354015945019448</v>
      </c>
      <c r="M110" s="189">
        <f t="shared" ca="1" si="33"/>
        <v>21.285180414267952</v>
      </c>
      <c r="N110" s="189">
        <f t="shared" ca="1" si="33"/>
        <v>21.885864425958911</v>
      </c>
      <c r="O110" s="189">
        <f t="shared" ca="1" si="33"/>
        <v>21.354015945019448</v>
      </c>
      <c r="P110" s="189">
        <f t="shared" ca="1" si="33"/>
        <v>21.354015945019448</v>
      </c>
      <c r="Q110" s="189">
        <f t="shared" ca="1" si="33"/>
        <v>21.285180414267952</v>
      </c>
      <c r="R110" s="189">
        <f t="shared" ca="1" si="33"/>
        <v>21.354015945019448</v>
      </c>
      <c r="S110" s="189">
        <f t="shared" ca="1" si="33"/>
        <v>21.285180414267952</v>
      </c>
      <c r="T110" s="189">
        <f t="shared" ca="1" si="33"/>
        <v>20.242019482572776</v>
      </c>
      <c r="U110" s="189">
        <f t="shared" ca="1" si="33"/>
        <v>20.242019482572776</v>
      </c>
      <c r="V110" s="189">
        <f t="shared" ca="1" si="33"/>
        <v>20.242019482572776</v>
      </c>
      <c r="W110" s="189">
        <f t="shared" ca="1" si="33"/>
        <v>20.422547064145409</v>
      </c>
      <c r="X110" s="189">
        <f t="shared" ca="1" si="33"/>
        <v>20.438790702879633</v>
      </c>
      <c r="Y110" s="189">
        <f t="shared" ca="1" si="33"/>
        <v>20.953323041955436</v>
      </c>
      <c r="Z110" s="259">
        <f t="array" aca="1" ref="Z110" ca="1">SUM(B109:Y109*B110:Y110)</f>
        <v>21153.54227570591</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0.23717376552686176</v>
      </c>
      <c r="C113" s="188">
        <f t="shared" ca="1" si="35"/>
        <v>-0.29467471541260082</v>
      </c>
      <c r="D113" s="188">
        <f t="shared" ca="1" si="35"/>
        <v>-0.29467471541260082</v>
      </c>
      <c r="E113" s="188">
        <f t="shared" ca="1" si="35"/>
        <v>-0.29467471541260082</v>
      </c>
      <c r="F113" s="188">
        <f t="shared" ca="1" si="35"/>
        <v>-0.29467471541260082</v>
      </c>
      <c r="G113" s="188">
        <f t="shared" ca="1" si="35"/>
        <v>-0.29467471541260082</v>
      </c>
      <c r="H113" s="188">
        <f t="shared" ca="1" si="35"/>
        <v>-0.29467471541260082</v>
      </c>
      <c r="I113" s="188">
        <f t="shared" ca="1" si="35"/>
        <v>1.2892293154145165</v>
      </c>
      <c r="J113" s="188">
        <f t="shared" ca="1" si="35"/>
        <v>0.30600929627835782</v>
      </c>
      <c r="K113" s="188">
        <f t="shared" ca="1" si="35"/>
        <v>0.30600929627835782</v>
      </c>
      <c r="L113" s="188">
        <f t="shared" ca="1" si="35"/>
        <v>0.23717376552686176</v>
      </c>
      <c r="M113" s="188">
        <f t="shared" ca="1" si="35"/>
        <v>0.30600929627835782</v>
      </c>
      <c r="N113" s="188">
        <f t="shared" ca="1" si="35"/>
        <v>-0.29467471541260082</v>
      </c>
      <c r="O113" s="188">
        <f t="shared" ca="1" si="35"/>
        <v>0.23717376552686176</v>
      </c>
      <c r="P113" s="188">
        <f t="shared" ca="1" si="35"/>
        <v>0.23717376552686176</v>
      </c>
      <c r="Q113" s="188">
        <f t="shared" ca="1" si="35"/>
        <v>0.30600929627835782</v>
      </c>
      <c r="R113" s="188">
        <f t="shared" ca="1" si="35"/>
        <v>0.23717376552686176</v>
      </c>
      <c r="S113" s="188">
        <f t="shared" ca="1" si="35"/>
        <v>0.30600929627835782</v>
      </c>
      <c r="T113" s="188">
        <f t="shared" ca="1" si="35"/>
        <v>1.3491702279735343</v>
      </c>
      <c r="U113" s="188">
        <f t="shared" ca="1" si="35"/>
        <v>1.3491702279735343</v>
      </c>
      <c r="V113" s="188">
        <f t="shared" ca="1" si="35"/>
        <v>1.3491702279735343</v>
      </c>
      <c r="W113" s="188">
        <f t="shared" ca="1" si="35"/>
        <v>1.168642646400901</v>
      </c>
      <c r="X113" s="188">
        <f t="shared" ca="1" si="35"/>
        <v>1.152399007666677</v>
      </c>
      <c r="Y113" s="188">
        <f t="shared" ca="1" si="35"/>
        <v>0.63786666859087404</v>
      </c>
      <c r="Z113" s="260">
        <f ca="1">Z110-Z112</f>
        <v>5089.6971310594454</v>
      </c>
      <c r="AC113" s="174"/>
    </row>
    <row r="114" spans="1:29" x14ac:dyDescent="0.25">
      <c r="A114" s="183" t="str">
        <f>Economics!A36</f>
        <v>Newman 3</v>
      </c>
      <c r="B114" s="181">
        <f t="shared" ref="B114:Y114" si="36">B43</f>
        <v>62</v>
      </c>
      <c r="C114" s="181">
        <f t="shared" si="36"/>
        <v>49</v>
      </c>
      <c r="D114" s="181">
        <f t="shared" si="36"/>
        <v>64</v>
      </c>
      <c r="E114" s="181">
        <f>E43</f>
        <v>43</v>
      </c>
      <c r="F114" s="181">
        <f t="shared" si="36"/>
        <v>53</v>
      </c>
      <c r="G114" s="181">
        <f t="shared" si="36"/>
        <v>58</v>
      </c>
      <c r="H114" s="181">
        <f t="shared" si="36"/>
        <v>91</v>
      </c>
      <c r="I114" s="181">
        <f t="shared" si="36"/>
        <v>69</v>
      </c>
      <c r="J114" s="181">
        <f t="shared" si="36"/>
        <v>43</v>
      </c>
      <c r="K114" s="181">
        <f t="shared" si="36"/>
        <v>62</v>
      </c>
      <c r="L114" s="181">
        <f t="shared" si="36"/>
        <v>68</v>
      </c>
      <c r="M114" s="181">
        <f t="shared" si="36"/>
        <v>66</v>
      </c>
      <c r="N114" s="181">
        <f t="shared" si="36"/>
        <v>72</v>
      </c>
      <c r="O114" s="181">
        <f t="shared" si="36"/>
        <v>51</v>
      </c>
      <c r="P114" s="181">
        <f t="shared" si="36"/>
        <v>49</v>
      </c>
      <c r="Q114" s="181">
        <f t="shared" si="36"/>
        <v>45</v>
      </c>
      <c r="R114" s="181">
        <f t="shared" si="36"/>
        <v>47</v>
      </c>
      <c r="S114" s="181">
        <f t="shared" si="36"/>
        <v>41</v>
      </c>
      <c r="T114" s="181">
        <f t="shared" si="36"/>
        <v>45</v>
      </c>
      <c r="U114" s="181">
        <f t="shared" si="36"/>
        <v>65</v>
      </c>
      <c r="V114" s="181">
        <f t="shared" si="36"/>
        <v>55</v>
      </c>
      <c r="W114" s="181">
        <f t="shared" si="36"/>
        <v>68</v>
      </c>
      <c r="X114" s="181">
        <f t="shared" si="36"/>
        <v>73</v>
      </c>
      <c r="Y114" s="181">
        <f t="shared" si="36"/>
        <v>38</v>
      </c>
      <c r="Z114" s="219">
        <f>SUM(B114:Y114)</f>
        <v>1377</v>
      </c>
      <c r="AA114" s="318" t="s">
        <v>172</v>
      </c>
    </row>
    <row r="115" spans="1:29" x14ac:dyDescent="0.25">
      <c r="A115" s="185">
        <f>Economics!$I36</f>
        <v>1.96</v>
      </c>
      <c r="B115" s="189">
        <f t="shared" ref="B115:Y115" ca="1" si="37">IndGencost(B114,OFFSET(HeatRateStart,1,MATCH($A114,HeatRateNames,0)-1,250,1),$A115)</f>
        <v>20.011031357211451</v>
      </c>
      <c r="C115" s="189">
        <f t="shared" ca="1" si="37"/>
        <v>20.52412039945564</v>
      </c>
      <c r="D115" s="189">
        <f t="shared" ca="1" si="37"/>
        <v>19.962539138525727</v>
      </c>
      <c r="E115" s="189">
        <f ca="1">IndGencost(E114,OFFSET(HeatRateStart,1,MATCH($A114,HeatRateNames,0)-1,250,1),$A115)</f>
        <v>20.933119477183322</v>
      </c>
      <c r="F115" s="189">
        <f t="shared" ca="1" si="37"/>
        <v>20.322130961562106</v>
      </c>
      <c r="G115" s="189">
        <f t="shared" ca="1" si="37"/>
        <v>20.128592115895497</v>
      </c>
      <c r="H115" s="189">
        <f t="shared" ca="1" si="37"/>
        <v>19.735757307188852</v>
      </c>
      <c r="I115" s="189">
        <f t="shared" ca="1" si="37"/>
        <v>19.866531980860064</v>
      </c>
      <c r="J115" s="189">
        <f t="shared" ca="1" si="37"/>
        <v>20.933119477183322</v>
      </c>
      <c r="K115" s="189">
        <f t="shared" ca="1" si="37"/>
        <v>20.011031357211451</v>
      </c>
      <c r="L115" s="189">
        <f t="shared" ca="1" si="37"/>
        <v>19.883105092862071</v>
      </c>
      <c r="M115" s="189">
        <f t="shared" ca="1" si="37"/>
        <v>19.920074327093182</v>
      </c>
      <c r="N115" s="189">
        <f t="shared" ca="1" si="37"/>
        <v>19.823821496937008</v>
      </c>
      <c r="O115" s="189">
        <f t="shared" ca="1" si="37"/>
        <v>20.417166671883827</v>
      </c>
      <c r="P115" s="189">
        <f t="shared" ca="1" si="37"/>
        <v>20.52412039945564</v>
      </c>
      <c r="Q115" s="189">
        <f t="shared" ca="1" si="37"/>
        <v>20.780138182216223</v>
      </c>
      <c r="R115" s="189">
        <f t="shared" ca="1" si="37"/>
        <v>20.644513593288181</v>
      </c>
      <c r="S115" s="189">
        <f t="shared" ca="1" si="37"/>
        <v>21.105997483951292</v>
      </c>
      <c r="T115" s="189">
        <f t="shared" ca="1" si="37"/>
        <v>20.780138182216223</v>
      </c>
      <c r="U115" s="189">
        <f t="shared" ca="1" si="37"/>
        <v>19.940588080406187</v>
      </c>
      <c r="V115" s="189">
        <f t="shared" ca="1" si="37"/>
        <v>20.237713121154094</v>
      </c>
      <c r="W115" s="189">
        <f t="shared" ca="1" si="37"/>
        <v>19.883105092862071</v>
      </c>
      <c r="X115" s="189">
        <f t="shared" ca="1" si="37"/>
        <v>19.811760933536377</v>
      </c>
      <c r="Y115" s="189">
        <f t="shared" ca="1" si="37"/>
        <v>21.409493048266363</v>
      </c>
      <c r="Z115" s="259">
        <f t="array" aca="1" ref="Z115" ca="1">SUM(B114:Y114*B115:Y115)</f>
        <v>27844.158421923636</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-20.011031357211451</v>
      </c>
      <c r="C118" s="188">
        <f t="shared" ca="1" si="39"/>
        <v>-20.52412039945564</v>
      </c>
      <c r="D118" s="188">
        <f t="shared" ca="1" si="39"/>
        <v>-19.962539138525727</v>
      </c>
      <c r="E118" s="188">
        <f t="shared" ca="1" si="39"/>
        <v>-20.933119477183322</v>
      </c>
      <c r="F118" s="188">
        <f t="shared" ca="1" si="39"/>
        <v>-20.322130961562106</v>
      </c>
      <c r="G118" s="188">
        <f t="shared" ca="1" si="39"/>
        <v>-20.128592115895497</v>
      </c>
      <c r="H118" s="188">
        <f t="shared" ca="1" si="39"/>
        <v>-19.735757307188852</v>
      </c>
      <c r="I118" s="188">
        <f t="shared" ca="1" si="39"/>
        <v>-19.866531980860064</v>
      </c>
      <c r="J118" s="188">
        <f t="shared" ca="1" si="39"/>
        <v>-20.933119477183322</v>
      </c>
      <c r="K118" s="188">
        <f t="shared" ca="1" si="39"/>
        <v>-20.011031357211451</v>
      </c>
      <c r="L118" s="188">
        <f t="shared" ca="1" si="39"/>
        <v>-19.883105092862071</v>
      </c>
      <c r="M118" s="188">
        <f t="shared" ca="1" si="39"/>
        <v>-19.920074327093182</v>
      </c>
      <c r="N118" s="188">
        <f t="shared" ca="1" si="39"/>
        <v>-19.823821496937008</v>
      </c>
      <c r="O118" s="188">
        <f t="shared" ca="1" si="39"/>
        <v>-20.417166671883827</v>
      </c>
      <c r="P118" s="188">
        <f t="shared" ca="1" si="39"/>
        <v>-20.52412039945564</v>
      </c>
      <c r="Q118" s="188">
        <f t="shared" ca="1" si="39"/>
        <v>-20.780138182216223</v>
      </c>
      <c r="R118" s="188">
        <f t="shared" ca="1" si="39"/>
        <v>-20.644513593288181</v>
      </c>
      <c r="S118" s="188">
        <f t="shared" ca="1" si="39"/>
        <v>-21.105997483951292</v>
      </c>
      <c r="T118" s="188">
        <f t="shared" ca="1" si="39"/>
        <v>-20.780138182216223</v>
      </c>
      <c r="U118" s="188">
        <f t="shared" ca="1" si="39"/>
        <v>-19.940588080406187</v>
      </c>
      <c r="V118" s="188">
        <f t="shared" ca="1" si="39"/>
        <v>-20.237713121154094</v>
      </c>
      <c r="W118" s="188">
        <f t="shared" ca="1" si="39"/>
        <v>-19.883105092862071</v>
      </c>
      <c r="X118" s="188">
        <f t="shared" ca="1" si="39"/>
        <v>-19.811760933536377</v>
      </c>
      <c r="Y118" s="188">
        <f t="shared" ca="1" si="39"/>
        <v>-21.409493048266363</v>
      </c>
      <c r="Z118" s="260">
        <f ca="1">Z115-Z117</f>
        <v>27844.158421923636</v>
      </c>
    </row>
    <row r="119" spans="1:29" x14ac:dyDescent="0.25">
      <c r="A119" s="183" t="str">
        <f>Economics!A37</f>
        <v>GT 1</v>
      </c>
      <c r="B119" s="181">
        <f t="shared" ref="B119:Y119" si="40">B44</f>
        <v>21</v>
      </c>
      <c r="C119" s="181">
        <f t="shared" si="40"/>
        <v>21</v>
      </c>
      <c r="D119" s="181">
        <f t="shared" si="40"/>
        <v>20</v>
      </c>
      <c r="E119" s="181">
        <f>E44</f>
        <v>21</v>
      </c>
      <c r="F119" s="181">
        <f t="shared" si="40"/>
        <v>21</v>
      </c>
      <c r="G119" s="181">
        <f t="shared" si="40"/>
        <v>20</v>
      </c>
      <c r="H119" s="181">
        <f t="shared" si="40"/>
        <v>21</v>
      </c>
      <c r="I119" s="181">
        <f t="shared" si="40"/>
        <v>21</v>
      </c>
      <c r="J119" s="181">
        <f t="shared" si="40"/>
        <v>21</v>
      </c>
      <c r="K119" s="181">
        <f t="shared" si="40"/>
        <v>21</v>
      </c>
      <c r="L119" s="181">
        <f t="shared" si="40"/>
        <v>21</v>
      </c>
      <c r="M119" s="181">
        <f t="shared" si="40"/>
        <v>21</v>
      </c>
      <c r="N119" s="181">
        <f t="shared" si="40"/>
        <v>21</v>
      </c>
      <c r="O119" s="181">
        <f t="shared" si="40"/>
        <v>21</v>
      </c>
      <c r="P119" s="181">
        <f t="shared" si="40"/>
        <v>20</v>
      </c>
      <c r="Q119" s="181">
        <f t="shared" si="40"/>
        <v>21</v>
      </c>
      <c r="R119" s="181">
        <f t="shared" si="40"/>
        <v>21</v>
      </c>
      <c r="S119" s="181">
        <f t="shared" si="40"/>
        <v>21</v>
      </c>
      <c r="T119" s="181">
        <f t="shared" si="40"/>
        <v>45</v>
      </c>
      <c r="U119" s="181">
        <f t="shared" si="40"/>
        <v>21</v>
      </c>
      <c r="V119" s="181">
        <f t="shared" si="40"/>
        <v>21</v>
      </c>
      <c r="W119" s="181">
        <f t="shared" si="40"/>
        <v>20</v>
      </c>
      <c r="X119" s="181">
        <f t="shared" si="40"/>
        <v>21</v>
      </c>
      <c r="Y119" s="181">
        <f t="shared" si="40"/>
        <v>21</v>
      </c>
      <c r="Z119" s="219">
        <f>SUM(B119:Y119)</f>
        <v>524</v>
      </c>
      <c r="AA119" s="318" t="s">
        <v>174</v>
      </c>
    </row>
    <row r="120" spans="1:29" x14ac:dyDescent="0.25">
      <c r="A120" s="185">
        <f>Economics!$I37</f>
        <v>1.96</v>
      </c>
      <c r="B120" s="189">
        <f t="shared" ref="B120:Y120" ca="1" si="41">IndGencost(B119,OFFSET(HeatRateStart,1,MATCH($A119,HeatRateNames,0)-1,250,1),$A120)</f>
        <v>33.277313434334395</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33.930736660385129</v>
      </c>
      <c r="H120" s="189">
        <f t="shared" ca="1" si="41"/>
        <v>33.277313434334395</v>
      </c>
      <c r="I120" s="189">
        <f t="shared" ca="1" si="41"/>
        <v>33.277313434334395</v>
      </c>
      <c r="J120" s="189">
        <f t="shared" ca="1" si="41"/>
        <v>33.277313434334395</v>
      </c>
      <c r="K120" s="189">
        <f t="shared" ca="1" si="41"/>
        <v>33.277313434334395</v>
      </c>
      <c r="L120" s="189">
        <f t="shared" ca="1" si="41"/>
        <v>33.277313434334395</v>
      </c>
      <c r="M120" s="189">
        <f t="shared" ca="1" si="41"/>
        <v>33.277313434334395</v>
      </c>
      <c r="N120" s="189">
        <f t="shared" ca="1" si="41"/>
        <v>33.277313434334395</v>
      </c>
      <c r="O120" s="189">
        <f t="shared" ca="1" si="41"/>
        <v>33.277313434334395</v>
      </c>
      <c r="P120" s="189">
        <f t="shared" ca="1" si="41"/>
        <v>33.930736660385129</v>
      </c>
      <c r="Q120" s="189">
        <f t="shared" ca="1" si="41"/>
        <v>33.277313434334395</v>
      </c>
      <c r="R120" s="189">
        <f t="shared" ca="1" si="41"/>
        <v>33.277313434334395</v>
      </c>
      <c r="S120" s="189">
        <f t="shared" ca="1" si="41"/>
        <v>33.277313434334395</v>
      </c>
      <c r="T120" s="189">
        <f t="shared" ca="1" si="41"/>
        <v>26.793467299252086</v>
      </c>
      <c r="U120" s="189">
        <f t="shared" ca="1" si="41"/>
        <v>33.277313434334395</v>
      </c>
      <c r="V120" s="189">
        <f t="shared" ca="1" si="41"/>
        <v>33.277313434334395</v>
      </c>
      <c r="W120" s="189">
        <f t="shared" ca="1" si="41"/>
        <v>33.930736660385129</v>
      </c>
      <c r="X120" s="189">
        <f t="shared" ca="1" si="41"/>
        <v>33.277313434334395</v>
      </c>
      <c r="Y120" s="189">
        <f t="shared" ca="1" si="41"/>
        <v>33.277313434334395</v>
      </c>
      <c r="Z120" s="259">
        <f t="array" aca="1" ref="Z120" ca="1">SUM(B119:Y119*B120:Y120)</f>
        <v>17197.813021596572</v>
      </c>
      <c r="AA120" s="318" t="s">
        <v>167</v>
      </c>
    </row>
    <row r="121" spans="1:29" x14ac:dyDescent="0.25">
      <c r="A121" s="184" t="s">
        <v>163</v>
      </c>
      <c r="B121" s="186">
        <f t="shared" ref="B121:Y121" si="42">B119</f>
        <v>21</v>
      </c>
      <c r="C121" s="186">
        <f t="shared" si="42"/>
        <v>21</v>
      </c>
      <c r="D121" s="186">
        <f t="shared" si="42"/>
        <v>20</v>
      </c>
      <c r="E121" s="186">
        <f t="shared" si="42"/>
        <v>21</v>
      </c>
      <c r="F121" s="186">
        <f t="shared" si="42"/>
        <v>21</v>
      </c>
      <c r="G121" s="186">
        <f t="shared" si="42"/>
        <v>20</v>
      </c>
      <c r="H121" s="186">
        <f t="shared" si="42"/>
        <v>21</v>
      </c>
      <c r="I121" s="186">
        <f t="shared" si="42"/>
        <v>21</v>
      </c>
      <c r="J121" s="186">
        <f t="shared" si="42"/>
        <v>21</v>
      </c>
      <c r="K121" s="186">
        <f t="shared" si="42"/>
        <v>21</v>
      </c>
      <c r="L121" s="186">
        <f t="shared" si="42"/>
        <v>21</v>
      </c>
      <c r="M121" s="186">
        <f t="shared" si="42"/>
        <v>21</v>
      </c>
      <c r="N121" s="186">
        <f t="shared" si="42"/>
        <v>21</v>
      </c>
      <c r="O121" s="186">
        <f t="shared" si="42"/>
        <v>21</v>
      </c>
      <c r="P121" s="186">
        <f t="shared" si="42"/>
        <v>20</v>
      </c>
      <c r="Q121" s="186">
        <f t="shared" si="42"/>
        <v>21</v>
      </c>
      <c r="R121" s="186">
        <f t="shared" si="42"/>
        <v>21</v>
      </c>
      <c r="S121" s="186">
        <f t="shared" si="42"/>
        <v>21</v>
      </c>
      <c r="T121" s="186">
        <f t="shared" si="42"/>
        <v>45</v>
      </c>
      <c r="U121" s="186">
        <f t="shared" si="42"/>
        <v>21</v>
      </c>
      <c r="V121" s="186">
        <f t="shared" si="42"/>
        <v>21</v>
      </c>
      <c r="W121" s="186">
        <f t="shared" si="42"/>
        <v>20</v>
      </c>
      <c r="X121" s="186">
        <f t="shared" si="42"/>
        <v>21</v>
      </c>
      <c r="Y121" s="186">
        <f t="shared" si="42"/>
        <v>21</v>
      </c>
      <c r="Z121" s="220">
        <f>SUM(B121:Y121)</f>
        <v>524</v>
      </c>
    </row>
    <row r="122" spans="1:29" x14ac:dyDescent="0.25">
      <c r="A122" s="182"/>
      <c r="B122" s="190">
        <f t="shared" ref="B122:Y122" ca="1" si="43">IndGencost(B121,OFFSET(HeatRateStart,1,MATCH($A119,HeatRateNames,0)-1,250,1),$A120)</f>
        <v>33.277313434334395</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33.930736660385129</v>
      </c>
      <c r="H122" s="190">
        <f t="shared" ca="1" si="43"/>
        <v>33.277313434334395</v>
      </c>
      <c r="I122" s="190">
        <f t="shared" ca="1" si="43"/>
        <v>33.277313434334395</v>
      </c>
      <c r="J122" s="190">
        <f t="shared" ca="1" si="43"/>
        <v>33.277313434334395</v>
      </c>
      <c r="K122" s="190">
        <f t="shared" ca="1" si="43"/>
        <v>33.277313434334395</v>
      </c>
      <c r="L122" s="190">
        <f t="shared" ca="1" si="43"/>
        <v>33.277313434334395</v>
      </c>
      <c r="M122" s="190">
        <f t="shared" ca="1" si="43"/>
        <v>33.277313434334395</v>
      </c>
      <c r="N122" s="190">
        <f t="shared" ca="1" si="43"/>
        <v>33.277313434334395</v>
      </c>
      <c r="O122" s="190">
        <f t="shared" ca="1" si="43"/>
        <v>33.277313434334395</v>
      </c>
      <c r="P122" s="190">
        <f t="shared" ca="1" si="43"/>
        <v>33.930736660385129</v>
      </c>
      <c r="Q122" s="190">
        <f t="shared" ca="1" si="43"/>
        <v>33.277313434334395</v>
      </c>
      <c r="R122" s="190">
        <f t="shared" ca="1" si="43"/>
        <v>33.277313434334395</v>
      </c>
      <c r="S122" s="190">
        <f t="shared" ca="1" si="43"/>
        <v>33.277313434334395</v>
      </c>
      <c r="T122" s="190">
        <f t="shared" ca="1" si="43"/>
        <v>26.793467299252086</v>
      </c>
      <c r="U122" s="190">
        <f t="shared" ca="1" si="43"/>
        <v>33.277313434334395</v>
      </c>
      <c r="V122" s="190">
        <f t="shared" ca="1" si="43"/>
        <v>33.277313434334395</v>
      </c>
      <c r="W122" s="190">
        <f t="shared" ca="1" si="43"/>
        <v>33.930736660385129</v>
      </c>
      <c r="X122" s="190">
        <f t="shared" ca="1" si="43"/>
        <v>33.277313434334395</v>
      </c>
      <c r="Y122" s="190">
        <f t="shared" ca="1" si="43"/>
        <v>33.277313434334395</v>
      </c>
      <c r="Z122" s="258">
        <f t="array" aca="1" ref="Z122" ca="1">SUM(B121:Y121*B122:Y122)</f>
        <v>17197.813021596572</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39</v>
      </c>
      <c r="U124" s="181">
        <f t="shared" si="45"/>
        <v>20</v>
      </c>
      <c r="V124" s="181">
        <f t="shared" si="45"/>
        <v>20</v>
      </c>
      <c r="W124" s="181">
        <f t="shared" si="45"/>
        <v>20</v>
      </c>
      <c r="X124" s="181">
        <f t="shared" si="45"/>
        <v>24</v>
      </c>
      <c r="Y124" s="181">
        <f t="shared" si="45"/>
        <v>25</v>
      </c>
      <c r="Z124" s="219">
        <f>SUM(B124:Y124)</f>
        <v>508</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27.565353944702462</v>
      </c>
      <c r="U125" s="189">
        <f t="shared" ca="1" si="46"/>
        <v>33.930736660385129</v>
      </c>
      <c r="V125" s="189">
        <f t="shared" ca="1" si="46"/>
        <v>33.930736660385129</v>
      </c>
      <c r="W125" s="189">
        <f t="shared" ca="1" si="46"/>
        <v>33.930736660385129</v>
      </c>
      <c r="X125" s="189">
        <f t="shared" ca="1" si="46"/>
        <v>31.661980429562252</v>
      </c>
      <c r="Y125" s="189">
        <f t="shared" ca="1" si="46"/>
        <v>31.215519207539558</v>
      </c>
      <c r="Z125" s="259">
        <f t="array" aca="1" ref="Z125" ca="1">SUM(B124:Y124*B125:Y125)</f>
        <v>16866.233711703127</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39</v>
      </c>
      <c r="U126" s="186">
        <f t="shared" si="47"/>
        <v>20</v>
      </c>
      <c r="V126" s="186">
        <f t="shared" si="47"/>
        <v>20</v>
      </c>
      <c r="W126" s="186">
        <f t="shared" si="47"/>
        <v>20</v>
      </c>
      <c r="X126" s="186">
        <f t="shared" si="47"/>
        <v>24</v>
      </c>
      <c r="Y126" s="186">
        <f t="shared" si="47"/>
        <v>25</v>
      </c>
      <c r="Z126" s="220">
        <f>SUM(B126:Y126)</f>
        <v>508</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27.565353944702462</v>
      </c>
      <c r="U127" s="190">
        <f t="shared" ca="1" si="48"/>
        <v>33.930736660385129</v>
      </c>
      <c r="V127" s="190">
        <f t="shared" ca="1" si="48"/>
        <v>33.930736660385129</v>
      </c>
      <c r="W127" s="190">
        <f t="shared" ca="1" si="48"/>
        <v>33.930736660385129</v>
      </c>
      <c r="X127" s="190">
        <f t="shared" ca="1" si="48"/>
        <v>31.661980429562252</v>
      </c>
      <c r="Y127" s="190">
        <f t="shared" ca="1" si="48"/>
        <v>31.215519207539558</v>
      </c>
      <c r="Z127" s="258">
        <f t="array" aca="1" ref="Z127" ca="1">SUM(B126:Y126*B127:Y127)</f>
        <v>16866.233711703127</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773</v>
      </c>
      <c r="C164" s="303">
        <f t="shared" si="80"/>
        <v>720</v>
      </c>
      <c r="D164" s="303">
        <f t="shared" si="80"/>
        <v>734</v>
      </c>
      <c r="E164" s="303">
        <f t="shared" si="80"/>
        <v>714</v>
      </c>
      <c r="F164" s="303">
        <f t="shared" si="80"/>
        <v>727</v>
      </c>
      <c r="G164" s="303">
        <f t="shared" si="80"/>
        <v>731</v>
      </c>
      <c r="H164" s="303">
        <f t="shared" si="80"/>
        <v>765</v>
      </c>
      <c r="I164" s="303">
        <f t="shared" si="80"/>
        <v>835</v>
      </c>
      <c r="J164" s="303">
        <f t="shared" si="80"/>
        <v>775</v>
      </c>
      <c r="K164" s="303">
        <f t="shared" si="80"/>
        <v>794</v>
      </c>
      <c r="L164" s="303">
        <f t="shared" si="80"/>
        <v>798</v>
      </c>
      <c r="M164" s="303">
        <f t="shared" si="80"/>
        <v>745</v>
      </c>
      <c r="N164" s="303">
        <f t="shared" si="80"/>
        <v>796</v>
      </c>
      <c r="O164" s="303">
        <f t="shared" si="80"/>
        <v>781</v>
      </c>
      <c r="P164" s="303">
        <f t="shared" si="80"/>
        <v>778</v>
      </c>
      <c r="Q164" s="303">
        <f t="shared" si="80"/>
        <v>746</v>
      </c>
      <c r="R164" s="303">
        <f t="shared" si="80"/>
        <v>747</v>
      </c>
      <c r="S164" s="303">
        <f t="shared" si="80"/>
        <v>796</v>
      </c>
      <c r="T164" s="303">
        <f t="shared" si="80"/>
        <v>897</v>
      </c>
      <c r="U164" s="303">
        <f t="shared" si="80"/>
        <v>872</v>
      </c>
      <c r="V164" s="303">
        <f t="shared" si="80"/>
        <v>865</v>
      </c>
      <c r="W164" s="303">
        <f t="shared" si="80"/>
        <v>823</v>
      </c>
      <c r="X164" s="303">
        <f t="shared" si="80"/>
        <v>832</v>
      </c>
      <c r="Y164" s="304">
        <f t="shared" si="80"/>
        <v>780</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908</v>
      </c>
      <c r="H165" s="306">
        <f t="shared" si="81"/>
        <v>935</v>
      </c>
      <c r="I165" s="306">
        <f t="shared" si="81"/>
        <v>920</v>
      </c>
      <c r="J165" s="306">
        <f t="shared" si="81"/>
        <v>920</v>
      </c>
      <c r="K165" s="306">
        <f t="shared" si="81"/>
        <v>920</v>
      </c>
      <c r="L165" s="306">
        <f t="shared" si="81"/>
        <v>971</v>
      </c>
      <c r="M165" s="306">
        <f t="shared" si="81"/>
        <v>971</v>
      </c>
      <c r="N165" s="306">
        <f t="shared" si="81"/>
        <v>971</v>
      </c>
      <c r="O165" s="306">
        <f t="shared" si="81"/>
        <v>971</v>
      </c>
      <c r="P165" s="306">
        <f t="shared" si="81"/>
        <v>970</v>
      </c>
      <c r="Q165" s="306">
        <f t="shared" si="81"/>
        <v>971</v>
      </c>
      <c r="R165" s="306">
        <f t="shared" si="81"/>
        <v>971</v>
      </c>
      <c r="S165" s="306">
        <f t="shared" si="81"/>
        <v>971</v>
      </c>
      <c r="T165" s="306">
        <f t="shared" si="81"/>
        <v>1113</v>
      </c>
      <c r="U165" s="306">
        <f t="shared" si="81"/>
        <v>1095</v>
      </c>
      <c r="V165" s="306">
        <f t="shared" si="81"/>
        <v>1009</v>
      </c>
      <c r="W165" s="306">
        <f t="shared" si="81"/>
        <v>978</v>
      </c>
      <c r="X165" s="306">
        <f t="shared" si="81"/>
        <v>954</v>
      </c>
      <c r="Y165" s="307">
        <f t="shared" si="81"/>
        <v>955</v>
      </c>
      <c r="Z165" s="271"/>
      <c r="AA165" s="174">
        <f ca="1">Z163+Z158+Z153+Z148+Z143+Z138+Z133+Z128+Z123+Z118+Z113+Z108+Z103+Z100+Z97+Z94+Z91</f>
        <v>-84371.342405994044</v>
      </c>
    </row>
    <row r="166" spans="1:27" x14ac:dyDescent="0.25">
      <c r="A166" s="330" t="s">
        <v>184</v>
      </c>
      <c r="B166" s="331">
        <f t="shared" ref="B166:Y166" si="82">B165-B164</f>
        <v>247</v>
      </c>
      <c r="C166" s="331">
        <f t="shared" si="82"/>
        <v>199</v>
      </c>
      <c r="D166" s="331">
        <f t="shared" si="82"/>
        <v>154</v>
      </c>
      <c r="E166" s="331">
        <f t="shared" si="82"/>
        <v>175</v>
      </c>
      <c r="F166" s="331">
        <f t="shared" si="82"/>
        <v>172</v>
      </c>
      <c r="G166" s="331">
        <f t="shared" si="82"/>
        <v>177</v>
      </c>
      <c r="H166" s="331">
        <f t="shared" si="82"/>
        <v>170</v>
      </c>
      <c r="I166" s="331">
        <f t="shared" si="82"/>
        <v>85</v>
      </c>
      <c r="J166" s="331">
        <f t="shared" si="82"/>
        <v>145</v>
      </c>
      <c r="K166" s="331">
        <f t="shared" si="82"/>
        <v>126</v>
      </c>
      <c r="L166" s="331">
        <f t="shared" si="82"/>
        <v>173</v>
      </c>
      <c r="M166" s="331">
        <f t="shared" si="82"/>
        <v>226</v>
      </c>
      <c r="N166" s="331">
        <f t="shared" si="82"/>
        <v>175</v>
      </c>
      <c r="O166" s="331">
        <f t="shared" si="82"/>
        <v>190</v>
      </c>
      <c r="P166" s="331">
        <f t="shared" si="82"/>
        <v>192</v>
      </c>
      <c r="Q166" s="331">
        <f t="shared" si="82"/>
        <v>225</v>
      </c>
      <c r="R166" s="331">
        <f t="shared" si="82"/>
        <v>224</v>
      </c>
      <c r="S166" s="331">
        <f t="shared" si="82"/>
        <v>175</v>
      </c>
      <c r="T166" s="331">
        <f t="shared" si="82"/>
        <v>216</v>
      </c>
      <c r="U166" s="331">
        <f t="shared" si="82"/>
        <v>223</v>
      </c>
      <c r="V166" s="331">
        <f t="shared" si="82"/>
        <v>144</v>
      </c>
      <c r="W166" s="331">
        <f t="shared" si="82"/>
        <v>155</v>
      </c>
      <c r="X166" s="331">
        <f t="shared" si="82"/>
        <v>122</v>
      </c>
      <c r="Y166" s="332">
        <f t="shared" si="82"/>
        <v>175</v>
      </c>
      <c r="Z166" s="336">
        <f>SUM(B166:Y166)</f>
        <v>4265</v>
      </c>
    </row>
    <row r="167" spans="1:27" s="325" customFormat="1" ht="32.25" customHeight="1" thickBot="1" x14ac:dyDescent="0.3">
      <c r="A167" s="333" t="s">
        <v>185</v>
      </c>
      <c r="B167" s="334">
        <f t="shared" ref="B167:Y167" ca="1" si="83">B58</f>
        <v>3</v>
      </c>
      <c r="C167" s="334">
        <f t="shared" ca="1" si="83"/>
        <v>-8</v>
      </c>
      <c r="D167" s="334">
        <f t="shared" ca="1" si="83"/>
        <v>5</v>
      </c>
      <c r="E167" s="334">
        <f ca="1">E58</f>
        <v>7</v>
      </c>
      <c r="F167" s="334">
        <f t="shared" ca="1" si="83"/>
        <v>6</v>
      </c>
      <c r="G167" s="334">
        <f t="shared" ca="1" si="83"/>
        <v>1</v>
      </c>
      <c r="H167" s="334">
        <f t="shared" ca="1" si="83"/>
        <v>0</v>
      </c>
      <c r="I167" s="334">
        <f t="shared" ca="1" si="83"/>
        <v>3</v>
      </c>
      <c r="J167" s="334">
        <f t="shared" ca="1" si="83"/>
        <v>-2</v>
      </c>
      <c r="K167" s="334">
        <f t="shared" ca="1" si="83"/>
        <v>-1</v>
      </c>
      <c r="L167" s="334">
        <f t="shared" ca="1" si="83"/>
        <v>-24</v>
      </c>
      <c r="M167" s="334">
        <f t="shared" ca="1" si="83"/>
        <v>-22</v>
      </c>
      <c r="N167" s="334">
        <f t="shared" ca="1" si="83"/>
        <v>-30</v>
      </c>
      <c r="O167" s="334">
        <f t="shared" ca="1" si="83"/>
        <v>-27</v>
      </c>
      <c r="P167" s="334">
        <f t="shared" ca="1" si="83"/>
        <v>-25</v>
      </c>
      <c r="Q167" s="334">
        <f t="shared" ca="1" si="83"/>
        <v>-25</v>
      </c>
      <c r="R167" s="334">
        <f t="shared" ca="1" si="83"/>
        <v>-26</v>
      </c>
      <c r="S167" s="334">
        <f t="shared" ca="1" si="83"/>
        <v>-28</v>
      </c>
      <c r="T167" s="334">
        <f t="shared" ca="1" si="83"/>
        <v>-27</v>
      </c>
      <c r="U167" s="334">
        <f t="shared" ca="1" si="83"/>
        <v>-14</v>
      </c>
      <c r="V167" s="334">
        <f t="shared" ca="1" si="83"/>
        <v>-26</v>
      </c>
      <c r="W167" s="334">
        <f t="shared" ca="1" si="83"/>
        <v>-25</v>
      </c>
      <c r="X167" s="334">
        <f t="shared" ca="1" si="83"/>
        <v>-25</v>
      </c>
      <c r="Y167" s="335">
        <f t="shared" ca="1" si="83"/>
        <v>18</v>
      </c>
      <c r="Z167" s="323">
        <f ca="1">SUM(B167:Y167)</f>
        <v>-292</v>
      </c>
      <c r="AA167" s="324"/>
    </row>
    <row r="168" spans="1:27" ht="13.8" hidden="1" thickBot="1" x14ac:dyDescent="0.3">
      <c r="A168" s="326" t="s">
        <v>186</v>
      </c>
      <c r="B168" s="327">
        <f t="shared" ref="B168:Y168" ca="1" si="84">B167+B166</f>
        <v>250</v>
      </c>
      <c r="C168" s="327">
        <f t="shared" ca="1" si="84"/>
        <v>191</v>
      </c>
      <c r="D168" s="327">
        <f t="shared" ca="1" si="84"/>
        <v>159</v>
      </c>
      <c r="E168" s="327">
        <f t="shared" ca="1" si="84"/>
        <v>182</v>
      </c>
      <c r="F168" s="327">
        <f t="shared" ca="1" si="84"/>
        <v>178</v>
      </c>
      <c r="G168" s="327">
        <f t="shared" ca="1" si="84"/>
        <v>178</v>
      </c>
      <c r="H168" s="327">
        <f t="shared" ca="1" si="84"/>
        <v>170</v>
      </c>
      <c r="I168" s="327">
        <f t="shared" ca="1" si="84"/>
        <v>88</v>
      </c>
      <c r="J168" s="327">
        <f t="shared" ca="1" si="84"/>
        <v>143</v>
      </c>
      <c r="K168" s="327">
        <f t="shared" ca="1" si="84"/>
        <v>125</v>
      </c>
      <c r="L168" s="327">
        <f t="shared" ca="1" si="84"/>
        <v>149</v>
      </c>
      <c r="M168" s="327">
        <f t="shared" ca="1" si="84"/>
        <v>204</v>
      </c>
      <c r="N168" s="327">
        <f t="shared" ca="1" si="84"/>
        <v>145</v>
      </c>
      <c r="O168" s="327">
        <f t="shared" ca="1" si="84"/>
        <v>163</v>
      </c>
      <c r="P168" s="327">
        <f t="shared" ca="1" si="84"/>
        <v>167</v>
      </c>
      <c r="Q168" s="327">
        <f t="shared" ca="1" si="84"/>
        <v>200</v>
      </c>
      <c r="R168" s="327">
        <f t="shared" ca="1" si="84"/>
        <v>198</v>
      </c>
      <c r="S168" s="327">
        <f t="shared" ca="1" si="84"/>
        <v>147</v>
      </c>
      <c r="T168" s="327">
        <f t="shared" ca="1" si="84"/>
        <v>189</v>
      </c>
      <c r="U168" s="327">
        <f t="shared" ca="1" si="84"/>
        <v>209</v>
      </c>
      <c r="V168" s="327">
        <f t="shared" ca="1" si="84"/>
        <v>118</v>
      </c>
      <c r="W168" s="327">
        <f t="shared" ca="1" si="84"/>
        <v>130</v>
      </c>
      <c r="X168" s="327">
        <f t="shared" ca="1" si="84"/>
        <v>97</v>
      </c>
      <c r="Y168" s="327">
        <f t="shared" ca="1" si="84"/>
        <v>193</v>
      </c>
      <c r="Z168" s="328">
        <f ca="1">SUM(B168:Y168)</f>
        <v>3973</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3973</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288</v>
      </c>
      <c r="C171" s="338">
        <f t="shared" si="85"/>
        <v>271</v>
      </c>
      <c r="D171" s="338">
        <f t="shared" si="85"/>
        <v>256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8">
        <f t="shared" si="85"/>
        <v>264</v>
      </c>
      <c r="G171" s="338">
        <f t="shared" si="85"/>
        <v>259</v>
      </c>
      <c r="H171" s="338">
        <f t="shared" si="85"/>
        <v>226</v>
      </c>
      <c r="I171" s="338">
        <f t="shared" si="85"/>
        <v>156</v>
      </c>
      <c r="J171" s="338">
        <f t="shared" si="85"/>
        <v>216</v>
      </c>
      <c r="K171" s="338">
        <f t="shared" si="85"/>
        <v>197</v>
      </c>
      <c r="L171" s="338">
        <f t="shared" si="85"/>
        <v>193</v>
      </c>
      <c r="M171" s="338">
        <f t="shared" si="85"/>
        <v>143</v>
      </c>
      <c r="N171" s="338">
        <f t="shared" si="85"/>
        <v>195</v>
      </c>
      <c r="O171" s="338">
        <f t="shared" si="85"/>
        <v>210</v>
      </c>
      <c r="P171" s="338">
        <f t="shared" si="85"/>
        <v>212</v>
      </c>
      <c r="Q171" s="338">
        <f t="shared" si="85"/>
        <v>245</v>
      </c>
      <c r="R171" s="338">
        <f t="shared" si="85"/>
        <v>244</v>
      </c>
      <c r="S171" s="338">
        <f t="shared" si="85"/>
        <v>265</v>
      </c>
      <c r="T171" s="338">
        <f t="shared" si="85"/>
        <v>207</v>
      </c>
      <c r="U171" s="338">
        <f t="shared" si="85"/>
        <v>189</v>
      </c>
      <c r="V171" s="338">
        <f t="shared" si="85"/>
        <v>196</v>
      </c>
      <c r="W171" s="338">
        <f t="shared" si="85"/>
        <v>167</v>
      </c>
      <c r="X171" s="338">
        <f t="shared" si="85"/>
        <v>163</v>
      </c>
      <c r="Y171" s="339">
        <f t="shared" si="85"/>
        <v>216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183</v>
      </c>
      <c r="I172" s="341">
        <f t="shared" si="86"/>
        <v>198</v>
      </c>
      <c r="J172" s="341">
        <f t="shared" si="86"/>
        <v>198</v>
      </c>
      <c r="K172" s="341">
        <f t="shared" si="86"/>
        <v>198</v>
      </c>
      <c r="L172" s="341">
        <f t="shared" si="86"/>
        <v>147</v>
      </c>
      <c r="M172" s="341">
        <f t="shared" si="86"/>
        <v>147</v>
      </c>
      <c r="N172" s="341">
        <f t="shared" si="86"/>
        <v>147</v>
      </c>
      <c r="O172" s="341">
        <f t="shared" si="86"/>
        <v>147</v>
      </c>
      <c r="P172" s="341">
        <f t="shared" si="86"/>
        <v>148</v>
      </c>
      <c r="Q172" s="341">
        <f t="shared" si="86"/>
        <v>147</v>
      </c>
      <c r="R172" s="341">
        <f t="shared" si="86"/>
        <v>147</v>
      </c>
      <c r="S172" s="341">
        <f t="shared" si="86"/>
        <v>147</v>
      </c>
      <c r="T172" s="341">
        <f t="shared" si="86"/>
        <v>34</v>
      </c>
      <c r="U172" s="341">
        <f t="shared" si="86"/>
        <v>77</v>
      </c>
      <c r="V172" s="341">
        <f t="shared" si="86"/>
        <v>143</v>
      </c>
      <c r="W172" s="341">
        <f t="shared" si="86"/>
        <v>149</v>
      </c>
      <c r="X172" s="341">
        <f t="shared" si="86"/>
        <v>164</v>
      </c>
      <c r="Y172" s="342">
        <f t="shared" si="86"/>
        <v>163</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-84371.342405994044</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E45" sqref="E4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14206.200175382653</v>
      </c>
      <c r="F25" s="33">
        <f t="shared" si="1"/>
        <v>1.96</v>
      </c>
      <c r="G25" s="32">
        <f t="shared" ca="1" si="0"/>
        <v>27844.15234375</v>
      </c>
      <c r="I25" s="31"/>
      <c r="J25" s="31"/>
      <c r="K25" s="31"/>
    </row>
    <row r="26" spans="1:12" x14ac:dyDescent="0.25">
      <c r="B26" s="234" t="s">
        <v>47</v>
      </c>
      <c r="C26" s="235">
        <v>1</v>
      </c>
      <c r="D26" s="235">
        <v>0</v>
      </c>
      <c r="E26" s="32">
        <f ca="1">-INDEX(Economics!$A$34:$D$45,MATCH(Fuel!B26,Economics!$A$34:$A$45,0),4)/Fuel!F26</f>
        <v>10792.621970663266</v>
      </c>
      <c r="F26" s="33">
        <f t="shared" si="1"/>
        <v>1.96</v>
      </c>
      <c r="G26" s="32">
        <f t="shared" ca="1" si="0"/>
        <v>21153.5390625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8774.3941326530621</v>
      </c>
      <c r="F28" s="33">
        <f t="shared" si="1"/>
        <v>1.96</v>
      </c>
      <c r="G28" s="32">
        <f t="shared" ca="1" si="0"/>
        <v>17197.8125</v>
      </c>
      <c r="I28" s="31"/>
      <c r="J28" s="31"/>
      <c r="K28" s="31"/>
    </row>
    <row r="29" spans="1:12" x14ac:dyDescent="0.25">
      <c r="B29" s="234" t="s">
        <v>50</v>
      </c>
      <c r="C29" s="235">
        <v>1</v>
      </c>
      <c r="D29" s="235">
        <v>0</v>
      </c>
      <c r="E29" s="32">
        <f ca="1">-INDEX(Economics!$A$34:$D$45,MATCH(Fuel!B29,Economics!$A$34:$A$45,0),4)/Fuel!F29</f>
        <v>8605.2196269132655</v>
      </c>
      <c r="F29" s="33">
        <f t="shared" si="1"/>
        <v>1.96</v>
      </c>
      <c r="G29" s="32">
        <f t="shared" ca="1" si="0"/>
        <v>16866.23046875</v>
      </c>
      <c r="I29" s="31"/>
      <c r="J29" s="31"/>
      <c r="K29" s="31"/>
    </row>
    <row r="30" spans="1:12" x14ac:dyDescent="0.25">
      <c r="B30" s="236"/>
      <c r="C30" s="36"/>
      <c r="D30" s="36"/>
      <c r="E30" s="34">
        <f ca="1">SUM(E22:E29)</f>
        <v>42378.435905612248</v>
      </c>
      <c r="F30" s="35"/>
      <c r="G30" s="34">
        <f ca="1">SUM(G22:G29)</f>
        <v>83061.734375</v>
      </c>
      <c r="I30" s="31"/>
      <c r="J30" s="31"/>
      <c r="K30" s="31"/>
    </row>
    <row r="31" spans="1:12" x14ac:dyDescent="0.25">
      <c r="B31" s="236"/>
      <c r="I31" s="31"/>
      <c r="J31" s="31"/>
      <c r="K31" s="31"/>
    </row>
    <row r="32" spans="1:12" ht="13.8" thickBot="1" x14ac:dyDescent="0.3">
      <c r="B32" s="236" t="s">
        <v>18</v>
      </c>
      <c r="E32" s="7">
        <f ca="1">E15+E18+E30</f>
        <v>42378.435905612248</v>
      </c>
      <c r="F32" s="8"/>
      <c r="G32" s="7">
        <f ca="1">G15+G18+G30</f>
        <v>83061.734375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421741.8</v>
      </c>
      <c r="C3" s="117">
        <f ca="1">6.8*0.75*E3</f>
        <v>103907.4</v>
      </c>
      <c r="D3" s="117">
        <f ca="1">C3+B3</f>
        <v>525649.19999999995</v>
      </c>
      <c r="E3" s="118">
        <f ca="1">SUM(Preschedule!B59:Y59)</f>
        <v>20374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-1465</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1016</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Balancing!H30</f>
        <v>0</v>
      </c>
      <c r="C24" s="120"/>
      <c r="D24" s="120">
        <f t="shared"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-10917.524800000001</v>
      </c>
      <c r="C28" s="120"/>
      <c r="D28" s="120">
        <f>C28+B28</f>
        <v>-10917.524800000001</v>
      </c>
      <c r="E28" s="114">
        <f>SUM(Preschedule!B56:Y56)</f>
        <v>835</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-29376.624</v>
      </c>
      <c r="C30" s="120"/>
      <c r="D30" s="120">
        <f>C30+B30</f>
        <v>-29376.624</v>
      </c>
      <c r="E30" s="114">
        <f>SUM(Preschedule!B53:Y53)</f>
        <v>4819</v>
      </c>
      <c r="F30" s="120">
        <f>H30*I30</f>
        <v>6.0960000000000001</v>
      </c>
      <c r="G30" s="79">
        <f>-IF(E30=0,0,D30/E30)</f>
        <v>6.0960000000000001</v>
      </c>
      <c r="H30" s="134">
        <v>10.16</v>
      </c>
      <c r="I30" s="135">
        <v>0.6</v>
      </c>
    </row>
    <row r="31" spans="1:9" ht="12" x14ac:dyDescent="0.25">
      <c r="A31" s="83" t="s">
        <v>44</v>
      </c>
      <c r="B31" s="120">
        <f>-F31*E31</f>
        <v>-29376.624</v>
      </c>
      <c r="C31" s="120"/>
      <c r="D31" s="120">
        <f>C31+B31</f>
        <v>-29376.624</v>
      </c>
      <c r="E31" s="114">
        <f>SUM(Preschedule!B54:Y54)</f>
        <v>4819</v>
      </c>
      <c r="F31" s="120">
        <f>H31*I31</f>
        <v>6.0960000000000001</v>
      </c>
      <c r="G31" s="79">
        <f>-IF(E31=0,0,D31/E31)</f>
        <v>6.0960000000000001</v>
      </c>
      <c r="H31" s="134">
        <v>10.16</v>
      </c>
      <c r="I31" s="135">
        <v>0.6</v>
      </c>
    </row>
    <row r="32" spans="1:9" ht="12" x14ac:dyDescent="0.25">
      <c r="A32" s="83" t="s">
        <v>45</v>
      </c>
      <c r="B32" s="120">
        <f>-F32*E32</f>
        <v>-29376.624</v>
      </c>
      <c r="C32" s="120"/>
      <c r="D32" s="120">
        <f>C32+B32</f>
        <v>-29376.624</v>
      </c>
      <c r="E32" s="114">
        <f>SUM(Preschedule!B55:Y55)</f>
        <v>4819</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-21153.5390625</v>
      </c>
      <c r="C35" s="120"/>
      <c r="D35" s="120">
        <f t="shared" ref="D35:D45" ca="1" si="7">IF(ISTEXT(B35),0,C35+B35)</f>
        <v>-21153.5390625</v>
      </c>
      <c r="E35" s="114">
        <f>SUM(Preschedule!B42:Y42)</f>
        <v>1008</v>
      </c>
      <c r="F35" s="120">
        <f t="shared" ref="F35:F45" ca="1" si="8">-IF(OR(ISTEXT(B35),E35=0),0,B35/E35)</f>
        <v>20.985653831845237</v>
      </c>
      <c r="G35" s="79">
        <f t="shared" ca="1" si="6"/>
        <v>20.985653831845237</v>
      </c>
      <c r="H35" s="136"/>
      <c r="I35" s="135">
        <v>1.96</v>
      </c>
    </row>
    <row r="36" spans="1:9" ht="12" x14ac:dyDescent="0.25">
      <c r="A36" s="83" t="s">
        <v>48</v>
      </c>
      <c r="B36" s="120">
        <f ca="1">Gencost(Preschedule!B43:Y43,OFFSET(HeatRateStart,1,MATCH(A36,HeatRateNames,0)-1,250,1),I36)</f>
        <v>-27844.15234375</v>
      </c>
      <c r="C36" s="120"/>
      <c r="D36" s="120">
        <f t="shared" ca="1" si="7"/>
        <v>-27844.15234375</v>
      </c>
      <c r="E36" s="114">
        <f>SUM(Preschedule!B43:Y43)</f>
        <v>1377</v>
      </c>
      <c r="F36" s="120">
        <f t="shared" ca="1" si="8"/>
        <v>20.220880423928829</v>
      </c>
      <c r="G36" s="79">
        <f t="shared" ca="1" si="6"/>
        <v>20.220880423928829</v>
      </c>
      <c r="H36" s="136"/>
      <c r="I36" s="135">
        <f>INDEX(FuelPriceTable,MATCH(A36,FuelNames,0),5)</f>
        <v>1.96</v>
      </c>
    </row>
    <row r="37" spans="1:9" ht="12" x14ac:dyDescent="0.25">
      <c r="A37" s="83" t="s">
        <v>49</v>
      </c>
      <c r="B37" s="120">
        <f ca="1">Gencost(Preschedule!B44:Y44,OFFSET(HeatRateStart,1,MATCH(A37,HeatRateNames,0)-1,250,1),I37)</f>
        <v>-17197.8125</v>
      </c>
      <c r="C37" s="120"/>
      <c r="D37" s="120">
        <f t="shared" ca="1" si="7"/>
        <v>-17197.8125</v>
      </c>
      <c r="E37" s="114">
        <f>SUM(Preschedule!B44:Y44)</f>
        <v>524</v>
      </c>
      <c r="F37" s="120">
        <f t="shared" ca="1" si="8"/>
        <v>32.820252862595417</v>
      </c>
      <c r="G37" s="79">
        <f t="shared" ca="1" si="6"/>
        <v>32.820252862595417</v>
      </c>
      <c r="H37" s="136"/>
      <c r="I37" s="135">
        <f t="shared" ref="I37:I45" si="9">INDEX(FuelPriceTable,MATCH(A37,FuelNames,0),5)</f>
        <v>1.96</v>
      </c>
    </row>
    <row r="38" spans="1:9" ht="12" x14ac:dyDescent="0.25">
      <c r="A38" s="83" t="s">
        <v>50</v>
      </c>
      <c r="B38" s="120">
        <f ca="1">Gencost(Preschedule!B45:Y45,OFFSET(HeatRateStart,1,MATCH(A38,HeatRateNames,0)-1,250,1),I38)</f>
        <v>-16866.23046875</v>
      </c>
      <c r="C38" s="120"/>
      <c r="D38" s="120">
        <f t="shared" ca="1" si="7"/>
        <v>-16866.23046875</v>
      </c>
      <c r="E38" s="114">
        <f>SUM(Preschedule!B45:Y45)</f>
        <v>508</v>
      </c>
      <c r="F38" s="120">
        <f t="shared" ca="1" si="8"/>
        <v>33.201241080216533</v>
      </c>
      <c r="G38" s="79">
        <f t="shared" ca="1" si="6"/>
        <v>33.201241080216533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99" t="s">
        <v>364</v>
      </c>
      <c r="B2" t="s">
        <v>46</v>
      </c>
      <c r="C2" t="s">
        <v>47</v>
      </c>
      <c r="D2" t="s">
        <v>48</v>
      </c>
      <c r="E2" t="s">
        <v>49</v>
      </c>
      <c r="F2" t="s">
        <v>50</v>
      </c>
      <c r="G2" t="s">
        <v>51</v>
      </c>
      <c r="H2" t="s">
        <v>52</v>
      </c>
      <c r="I2" t="s">
        <v>53</v>
      </c>
      <c r="J2" t="s">
        <v>54</v>
      </c>
      <c r="K2" t="s">
        <v>55</v>
      </c>
      <c r="L2" t="s">
        <v>56</v>
      </c>
      <c r="M2" t="s">
        <v>57</v>
      </c>
    </row>
    <row r="3" spans="1:13" x14ac:dyDescent="0.25">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37366.213194444441</v>
      </c>
    </row>
    <row r="2" spans="2:2" x14ac:dyDescent="0.25">
      <c r="B2" t="s">
        <v>367</v>
      </c>
    </row>
    <row r="3" spans="2:2" x14ac:dyDescent="0.25">
      <c r="B3" t="s">
        <v>390</v>
      </c>
    </row>
    <row r="4" spans="2:2" x14ac:dyDescent="0.25">
      <c r="B4" t="s">
        <v>372</v>
      </c>
    </row>
    <row r="5" spans="2:2" x14ac:dyDescent="0.25">
      <c r="B5" t="s">
        <v>382</v>
      </c>
    </row>
    <row r="6" spans="2:2" x14ac:dyDescent="0.25">
      <c r="B6" t="s">
        <v>391</v>
      </c>
    </row>
    <row r="7" spans="2:2" x14ac:dyDescent="0.25">
      <c r="B7" t="s">
        <v>350</v>
      </c>
    </row>
    <row r="8" spans="2:2" x14ac:dyDescent="0.25">
      <c r="B8" t="s">
        <v>352</v>
      </c>
    </row>
    <row r="9" spans="2:2" x14ac:dyDescent="0.25">
      <c r="B9" t="s">
        <v>383</v>
      </c>
    </row>
    <row r="10" spans="2:2" x14ac:dyDescent="0.25">
      <c r="B10" t="s">
        <v>392</v>
      </c>
    </row>
    <row r="11" spans="2:2" x14ac:dyDescent="0.25">
      <c r="B11" t="s">
        <v>353</v>
      </c>
    </row>
    <row r="12" spans="2:2" x14ac:dyDescent="0.25">
      <c r="B12" t="s">
        <v>355</v>
      </c>
    </row>
    <row r="13" spans="2:2" x14ac:dyDescent="0.25">
      <c r="B13" t="s">
        <v>354</v>
      </c>
    </row>
    <row r="14" spans="2:2" x14ac:dyDescent="0.25">
      <c r="B14" t="s">
        <v>366</v>
      </c>
    </row>
    <row r="15" spans="2:2" x14ac:dyDescent="0.25">
      <c r="B15" t="s">
        <v>356</v>
      </c>
    </row>
    <row r="16" spans="2:2" x14ac:dyDescent="0.25">
      <c r="B16" t="s">
        <v>370</v>
      </c>
    </row>
    <row r="17" spans="2:2" x14ac:dyDescent="0.25">
      <c r="B17" t="s">
        <v>389</v>
      </c>
    </row>
    <row r="18" spans="2:2" x14ac:dyDescent="0.25">
      <c r="B18" t="s">
        <v>393</v>
      </c>
    </row>
    <row r="19" spans="2:2" x14ac:dyDescent="0.25">
      <c r="B19" t="s">
        <v>384</v>
      </c>
    </row>
    <row r="20" spans="2:2" x14ac:dyDescent="0.25">
      <c r="B20" t="s">
        <v>394</v>
      </c>
    </row>
    <row r="21" spans="2:2" x14ac:dyDescent="0.25">
      <c r="B21" t="s">
        <v>395</v>
      </c>
    </row>
    <row r="22" spans="2:2" x14ac:dyDescent="0.25">
      <c r="B22" t="s">
        <v>377</v>
      </c>
    </row>
    <row r="23" spans="2:2" x14ac:dyDescent="0.25">
      <c r="B23" t="s">
        <v>378</v>
      </c>
    </row>
    <row r="24" spans="2:2" x14ac:dyDescent="0.25">
      <c r="B24" t="s">
        <v>396</v>
      </c>
    </row>
    <row r="25" spans="2:2" x14ac:dyDescent="0.25">
      <c r="B25" t="s">
        <v>379</v>
      </c>
    </row>
    <row r="26" spans="2:2" x14ac:dyDescent="0.25">
      <c r="B26" t="s">
        <v>378</v>
      </c>
    </row>
    <row r="27" spans="2:2" x14ac:dyDescent="0.25">
      <c r="B27" t="s">
        <v>379</v>
      </c>
    </row>
    <row r="28" spans="2:2" x14ac:dyDescent="0.25">
      <c r="B28" t="s">
        <v>380</v>
      </c>
    </row>
    <row r="29" spans="2:2" x14ac:dyDescent="0.25">
      <c r="B29" t="s">
        <v>379</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2023-09-10T15:03:35Z</dcterms:modified>
</cp:coreProperties>
</file>