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688" windowHeight="8100" tabRatio="883"/>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Deals!$A$2:$AF$227</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70" i="6"/>
  <c r="AE70" i="6"/>
  <c r="AF70" i="6"/>
  <c r="AD71" i="6"/>
  <c r="AE71" i="6"/>
  <c r="AF71" i="6"/>
  <c r="AD72" i="6"/>
  <c r="AE72" i="6"/>
  <c r="AF72" i="6"/>
  <c r="AD73" i="6"/>
  <c r="AE73" i="6"/>
  <c r="AF73" i="6"/>
  <c r="AD74" i="6"/>
  <c r="AE74" i="6"/>
  <c r="AF74" i="6"/>
  <c r="AD75" i="6"/>
  <c r="AE75" i="6"/>
  <c r="AF75"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cdean2</author>
  </authors>
  <commentList>
    <comment ref="C16" authorId="0" shapeId="0">
      <text>
        <r>
          <rPr>
            <sz val="10"/>
            <color indexed="81"/>
            <rFont val="Tahoma"/>
            <family val="2"/>
          </rPr>
          <t>NOTE TO SELF.
The CALPX lines are hidden.  They are rows 14-61.</t>
        </r>
      </text>
    </comment>
    <comment ref="R71" authorId="1" shapeId="0">
      <text>
        <r>
          <rPr>
            <b/>
            <sz val="10"/>
            <color indexed="81"/>
            <rFont val="Tahoma"/>
            <family val="2"/>
          </rPr>
          <t>s_mcrouch:</t>
        </r>
        <r>
          <rPr>
            <sz val="10"/>
            <color indexed="81"/>
            <rFont val="Tahoma"/>
            <family val="2"/>
          </rPr>
          <t xml:space="preserve">
CUT IN THE  HOUR AND EPE WILL BOOKOUT.</t>
        </r>
      </text>
    </comment>
    <comment ref="Z71" authorId="2" shapeId="0">
      <text>
        <r>
          <rPr>
            <b/>
            <sz val="10"/>
            <color indexed="81"/>
            <rFont val="Tahoma"/>
            <family val="2"/>
          </rPr>
          <t>cdean2:
PWRX resupplied 19mw.  Notified in the hour.</t>
        </r>
      </text>
    </comment>
  </commentList>
</comments>
</file>

<file path=xl/comments2.xml><?xml version="1.0" encoding="utf-8"?>
<comments xmlns="http://schemas.openxmlformats.org/spreadsheetml/2006/main">
  <authors>
    <author>s_mcrouch</author>
    <author>A satisfied Microsoft Office user</author>
  </authors>
  <commentList>
    <comment ref="N58" authorId="0" shapeId="0">
      <text>
        <r>
          <rPr>
            <b/>
            <sz val="8"/>
            <color indexed="81"/>
            <rFont val="Tahoma"/>
          </rPr>
          <t>s_mcrouch:</t>
        </r>
        <r>
          <rPr>
            <sz val="8"/>
            <color indexed="81"/>
            <rFont val="Tahoma"/>
          </rPr>
          <t xml:space="preserve">
OUT BY INTEGRATED CUT SCHEDULE DUE TO THE DC TIE GOING DOWN</t>
        </r>
      </text>
    </comment>
    <comment ref="S58" authorId="0" shapeId="0">
      <text>
        <r>
          <rPr>
            <b/>
            <sz val="10"/>
            <color indexed="81"/>
            <rFont val="Tahoma"/>
            <family val="2"/>
          </rPr>
          <t>s_mcrouch:</t>
        </r>
        <r>
          <rPr>
            <sz val="10"/>
            <color indexed="81"/>
            <rFont val="Tahoma"/>
            <family val="2"/>
          </rPr>
          <t xml:space="preserve">
50mw FROM PAC NOT IN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<sst xmlns="http://schemas.openxmlformats.org/spreadsheetml/2006/main" count="756" uniqueCount="387">
  <si>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</si>
  <si>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</si>
  <si>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</si>
  <si>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</si>
  <si>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</si>
  <si>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</si>
  <si>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</si>
  <si>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</si>
  <si>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</si>
  <si>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</si>
  <si>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</si>
  <si>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</si>
  <si>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</si>
  <si>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</si>
  <si>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</si>
  <si>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</si>
  <si>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</si>
  <si>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</si>
  <si>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</si>
  <si>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</si>
  <si>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</si>
  <si>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</si>
  <si>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</si>
  <si>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</si>
  <si>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</si>
  <si>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</si>
  <si>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</si>
  <si>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</si>
  <si>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</si>
  <si>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</si>
  <si>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</si>
  <si>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</si>
  <si>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</si>
  <si>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</si>
  <si>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</si>
  <si>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</si>
  <si>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</si>
  <si>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</si>
  <si>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</si>
  <si>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</si>
  <si>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</si>
  <si>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</si>
  <si>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</si>
  <si>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</si>
  <si>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</si>
  <si>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</si>
  <si>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</si>
  <si>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</si>
  <si>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</si>
  <si>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</si>
  <si>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</si>
  <si>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</si>
  <si>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</si>
  <si>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</si>
  <si>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</si>
  <si>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</si>
  <si>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</si>
  <si>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</si>
  <si>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</si>
  <si>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</si>
  <si>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</si>
  <si>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</si>
  <si>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</si>
  <si>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</si>
  <si>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</si>
  <si>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</si>
  <si>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</si>
  <si>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</si>
  <si>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</si>
  <si>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</si>
  <si>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</si>
  <si>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</si>
  <si>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</si>
  <si>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</si>
  <si>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</si>
  <si>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</si>
  <si>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</si>
  <si>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</si>
  <si>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</si>
  <si>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</si>
  <si>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</si>
  <si>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</si>
  <si>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</si>
  <si>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</si>
  <si>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</si>
  <si>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</si>
  <si>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</si>
  <si>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</si>
  <si>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</si>
  <si>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</si>
  <si>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</si>
  <si>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</si>
  <si>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</si>
  <si>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</si>
  <si>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</si>
  <si>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</si>
  <si>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</si>
  <si>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</si>
  <si>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</si>
  <si>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</si>
  <si>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</si>
  <si>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</si>
  <si>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</si>
  <si>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</si>
  <si>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</si>
  <si>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</si>
  <si>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</si>
  <si>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</si>
  <si>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</si>
  <si>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</si>
  <si>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</si>
  <si>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</si>
  <si>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</si>
  <si>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</si>
  <si>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</si>
  <si>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</si>
  <si>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</si>
  <si>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</si>
  <si>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</si>
  <si>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</si>
  <si>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</si>
  <si>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</si>
  <si>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</si>
  <si>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</si>
  <si>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</si>
  <si>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</si>
  <si>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</si>
  <si>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</si>
  <si>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</si>
  <si>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</si>
  <si>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</si>
  <si>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</si>
  <si>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</si>
  <si>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</si>
  <si>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</si>
  <si>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</si>
  <si>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</si>
  <si>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</si>
  <si>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</si>
  <si>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</si>
  <si>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</si>
  <si>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</si>
  <si>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</si>
  <si>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</si>
  <si>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</si>
  <si>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</si>
  <si>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</si>
  <si>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</si>
  <si>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</si>
  <si>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</si>
  <si>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</si>
  <si>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</si>
  <si>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</si>
  <si>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</si>
  <si>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</si>
  <si>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</si>
  <si>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</si>
  <si>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</si>
  <si>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</si>
  <si>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</si>
  <si>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</si>
  <si>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</si>
  <si>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</si>
  <si>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</si>
  <si>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</si>
  <si>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</si>
  <si>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</si>
  <si>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</si>
  <si>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</si>
  <si>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</si>
  <si>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</si>
  <si>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</si>
  <si>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</si>
  <si>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</si>
  <si>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</si>
  <si>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</si>
  <si>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</si>
  <si>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</si>
  <si>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</si>
  <si>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</si>
  <si>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</si>
  <si>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</si>
  <si>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</si>
  <si>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</si>
  <si>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</si>
  <si>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</si>
  <si>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</si>
  <si>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</si>
  <si>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</si>
  <si>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</si>
  <si>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</si>
  <si>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</si>
  <si>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</si>
  <si>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</si>
  <si>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</si>
  <si>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</si>
  <si>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</si>
  <si>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</si>
  <si>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</si>
  <si>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</si>
  <si>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</si>
  <si>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</si>
  <si>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</si>
  <si>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</si>
  <si>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</si>
  <si>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</si>
  <si>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</si>
  <si>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</si>
  <si>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</si>
  <si>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</si>
  <si>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</si>
  <si>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</si>
  <si>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</si>
  <si>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</si>
  <si>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</si>
  <si>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</si>
  <si>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</si>
  <si>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</si>
  <si>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</si>
  <si>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</si>
  <si>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</si>
  <si>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</si>
  <si>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</si>
  <si>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</si>
  <si>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</si>
  <si>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</si>
  <si>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</si>
  <si>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</si>
  <si>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</si>
  <si>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</si>
  <si>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</si>
  <si>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</si>
  <si>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</si>
  <si>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</si>
  <si>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</si>
  <si>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</si>
  <si>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</si>
  <si>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</si>
  <si>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</si>
  <si>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</si>
  <si>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</si>
  <si>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</si>
  <si>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</si>
  <si>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</si>
  <si>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</si>
  <si>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</si>
  <si>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</si>
  <si>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</si>
  <si>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</si>
  <si>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</si>
  <si>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</si>
  <si>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</si>
  <si>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</si>
  <si>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</si>
  <si>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</si>
  <si>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</si>
  <si>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</si>
  <si>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</si>
  <si>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</si>
  <si>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</si>
  <si>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</si>
  <si>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</si>
  <si>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</si>
  <si>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</si>
  <si>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</si>
  <si>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</si>
  <si>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</si>
  <si>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</si>
  <si>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</si>
  <si>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</si>
  <si>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</si>
  <si>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</si>
  <si>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</si>
  <si>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</si>
  <si>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</si>
  <si>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</si>
  <si>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</si>
  <si>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</si>
  <si>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</si>
  <si>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</si>
  <si>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</si>
  <si>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</si>
  <si>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</si>
  <si>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</si>
  <si>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</si>
  <si>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</si>
  <si>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</si>
  <si>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</si>
  <si>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</si>
  <si>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</si>
  <si>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</si>
  <si>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</si>
  <si>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</si>
  <si>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</si>
  <si>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</si>
  <si>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</si>
  <si>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</si>
  <si>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</si>
  <si>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</si>
  <si>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</si>
  <si>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</si>
  <si>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</si>
  <si>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</si>
  <si>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</si>
  <si>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</si>
  <si>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</si>
  <si>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</si>
  <si>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</si>
  <si>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</si>
  <si>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</si>
  <si>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</si>
  <si>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</si>
  <si>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</si>
  <si>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</si>
  <si>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</si>
  <si>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</si>
  <si>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</si>
  <si>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</si>
  <si>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</si>
  <si>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</si>
  <si>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</si>
  <si>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</si>
  <si>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</si>
  <si>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</si>
  <si>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</si>
  <si>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</si>
  <si>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</si>
  <si>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</si>
  <si>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</si>
  <si>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</si>
  <si>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</si>
  <si>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</si>
  <si>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</si>
  <si>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</si>
  <si>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</si>
  <si>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</si>
  <si>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</si>
  <si>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</si>
  <si>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</si>
  <si>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</si>
  <si>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</si>
  <si>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</si>
  <si>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</si>
  <si>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</si>
  <si>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</si>
  <si>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</si>
  <si>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</si>
  <si>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</si>
  <si>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</si>
  <si>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</si>
  <si>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</si>
  <si>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</si>
  <si>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</si>
  <si>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</si>
  <si>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</si>
  <si>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</si>
  <si>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</si>
  <si>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</si>
  <si>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</si>
  <si>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</si>
  <si>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</si>
  <si>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</si>
  <si>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</si>
  <si>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x</t>
  </si>
  <si>
    <t>NM/GT2+ST,UNAV,  0  ,100  , 66  ,107  ,  0  ,1</t>
  </si>
  <si>
    <t>ISO</t>
  </si>
  <si>
    <t>GT2+ST</t>
  </si>
  <si>
    <t>PAC/APS</t>
  </si>
  <si>
    <t>NM/GT1+ST,UNAV,  0  ,100  , 61  ,107  ,  0  ,1</t>
  </si>
  <si>
    <t>Firm</t>
  </si>
  <si>
    <t>LDWP/SRP</t>
  </si>
  <si>
    <t>PAC/APS/TEP</t>
  </si>
  <si>
    <t>EPMI/APS</t>
  </si>
  <si>
    <t>NEWMN/GT1,UNAV,  0  , 60  , 18  , 60  ,  0  ,1</t>
  </si>
  <si>
    <t>NEWMN/GT2,UNAV,  0  , 60  , 18  , 60  ,  0  ,1</t>
  </si>
  <si>
    <t>RIOGRAN 7,MANL, 37  , 38  , 32  , 49  ,  0  ,1</t>
  </si>
  <si>
    <t>RIOGRAN 6,UNAV,  0  , 47  , 29  , 48  ,  0  ,1</t>
  </si>
  <si>
    <t>FOURCRNRS,MANL, 43  , 43  , 43  ,104  ,  0  ,1</t>
  </si>
  <si>
    <t>NEWMAN 1 ,ECON, 36  , 75  , 35  , 83  , 38  ,1</t>
  </si>
  <si>
    <t>NEWMAN 3 ,ECON, 36  ,100  , 35  ,103  , 40  ,1</t>
  </si>
  <si>
    <t>NEWMAN 2 ,ECON, 37  , 77  , 34  , 83  , 40  ,1</t>
  </si>
  <si>
    <t>PALOVERDE,MANL,193  ,193  ,193  ,600  ,  0  ,1</t>
  </si>
  <si>
    <t>NEWMAN 4 ,ECON,173  ,215  , 86  ,214  , 42  ,1</t>
  </si>
  <si>
    <t xml:space="preserve">NEWMAN   ,, 282 ,  467,  190, 483 , 160 , </t>
  </si>
  <si>
    <t>RIOGRAN 8,ECON, 83  ,120  , 56  ,151  , 21  ,1</t>
  </si>
  <si>
    <t xml:space="preserve">RIOGRANDE,, 120 ,  158,   88, 200 ,  21 , </t>
  </si>
  <si>
    <t>LAMBDA, 29.64,  651,  651,  159,   -2,    0,16673,0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</si>
</sst>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5"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6"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7" xfId="0" applyFont="1" applyFill="1" applyBorder="1" applyProtection="1">
      <protection locked="0"/>
    </xf>
    <xf numFmtId="0" fontId="23" fillId="12" borderId="86" xfId="0" applyFont="1" applyFill="1" applyBorder="1" applyProtection="1"/>
    <xf numFmtId="0" fontId="26" fillId="8" borderId="128" xfId="0" applyFont="1" applyFill="1" applyBorder="1" applyAlignment="1" applyProtection="1">
      <alignment vertical="top"/>
    </xf>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19" borderId="128" xfId="0" applyFont="1" applyFill="1" applyBorder="1" applyAlignment="1" applyProtection="1">
      <alignment vertical="top"/>
    </xf>
    <xf numFmtId="0" fontId="26" fillId="19" borderId="130" xfId="0" applyFont="1" applyFill="1" applyBorder="1" applyAlignment="1" applyProtection="1">
      <alignment vertical="top"/>
    </xf>
    <xf numFmtId="0" fontId="26" fillId="4" borderId="128" xfId="0" applyFont="1" applyFill="1" applyBorder="1" applyAlignment="1" applyProtection="1">
      <alignment vertical="top"/>
    </xf>
    <xf numFmtId="0" fontId="26" fillId="4" borderId="129" xfId="0" applyFont="1" applyFill="1" applyBorder="1" applyAlignment="1" applyProtection="1">
      <alignment vertical="top"/>
    </xf>
    <xf numFmtId="0" fontId="66" fillId="4" borderId="131" xfId="0" applyFont="1" applyFill="1" applyBorder="1" applyAlignment="1" applyProtection="1">
      <alignment vertical="top"/>
    </xf>
    <xf numFmtId="0" fontId="65" fillId="2" borderId="61" xfId="0" applyFont="1" applyFill="1" applyBorder="1" applyAlignment="1">
      <alignment wrapText="1"/>
    </xf>
    <xf numFmtId="0" fontId="26" fillId="7" borderId="129"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6" xfId="0" applyFont="1" applyFill="1" applyBorder="1" applyAlignment="1"/>
    <xf numFmtId="0" fontId="52" fillId="2" borderId="126"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12" borderId="59" xfId="0" applyFont="1" applyFill="1" applyBorder="1" applyAlignment="1">
      <alignment wrapText="1"/>
    </xf>
    <xf numFmtId="0" fontId="31" fillId="13" borderId="59" xfId="0" applyFont="1" applyFill="1" applyBorder="1" applyAlignment="1">
      <alignment wrapText="1"/>
    </xf>
    <xf numFmtId="0" fontId="31" fillId="2" borderId="61" xfId="0" applyFont="1" applyFill="1" applyBorder="1" applyAlignment="1">
      <alignment wrapText="1"/>
    </xf>
    <xf numFmtId="0" fontId="31" fillId="14" borderId="0" xfId="0" applyFont="1" applyFill="1" applyBorder="1" applyAlignment="1">
      <alignment wrapText="1"/>
    </xf>
    <xf numFmtId="0" fontId="31" fillId="4" borderId="3" xfId="0" applyFont="1" applyFill="1" applyBorder="1" applyAlignment="1">
      <alignment wrapText="1"/>
    </xf>
    <xf numFmtId="7" fontId="4" fillId="14" borderId="3" xfId="1" applyNumberFormat="1" applyFont="1" applyFill="1" applyBorder="1" applyAlignment="1">
      <alignment wrapText="1"/>
    </xf>
    <xf numFmtId="0" fontId="52" fillId="13" borderId="61" xfId="0" applyFont="1" applyFill="1" applyBorder="1" applyAlignment="1">
      <alignment wrapText="1"/>
    </xf>
    <xf numFmtId="166" fontId="69" fillId="21" borderId="94" xfId="0" applyNumberFormat="1" applyFont="1" applyFill="1" applyBorder="1" applyAlignment="1" applyProtection="1">
      <alignment horizontal="left"/>
      <protection locked="0"/>
    </xf>
    <xf numFmtId="0" fontId="52" fillId="4" borderId="61" xfId="0" applyFont="1" applyFill="1" applyBorder="1" applyAlignment="1"/>
    <xf numFmtId="0" fontId="4" fillId="4" borderId="61" xfId="0" applyFont="1" applyFill="1" applyBorder="1" applyAlignment="1">
      <alignment wrapText="1"/>
    </xf>
    <xf numFmtId="170" fontId="4" fillId="4" borderId="61" xfId="0" applyNumberFormat="1" applyFont="1" applyFill="1" applyBorder="1" applyAlignment="1">
      <alignment wrapText="1"/>
    </xf>
    <xf numFmtId="0" fontId="22" fillId="4" borderId="84" xfId="0" applyFont="1" applyFill="1" applyBorder="1" applyAlignment="1">
      <alignment wrapText="1"/>
    </xf>
    <xf numFmtId="0" fontId="22" fillId="4" borderId="62" xfId="0" applyFont="1" applyFill="1" applyBorder="1" applyAlignment="1">
      <alignment wrapText="1"/>
    </xf>
    <xf numFmtId="0" fontId="62" fillId="12" borderId="59" xfId="0" applyFont="1" applyFill="1" applyBorder="1" applyAlignment="1">
      <alignment wrapText="1"/>
    </xf>
    <xf numFmtId="1" fontId="63" fillId="12" borderId="97"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93</xdr:row>
          <xdr:rowOff>167640</xdr:rowOff>
        </xdr:from>
        <xdr:to>
          <xdr:col>12</xdr:col>
          <xdr:colOff>99060</xdr:colOff>
          <xdr:row>94</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95</xdr:row>
      <xdr:rowOff>60960</xdr:rowOff>
    </xdr:from>
    <xdr:to>
      <xdr:col>22</xdr:col>
      <xdr:colOff>304800</xdr:colOff>
      <xdr:row>110</xdr:row>
      <xdr:rowOff>22860</xdr:rowOff>
    </xdr:to>
    <xdr:sp macro="" textlink="">
      <xdr:nvSpPr>
        <xdr:cNvPr id="2303" name="Text Box 255"/>
        <xdr:cNvSpPr txBox="1">
          <a:spLocks noChangeArrowheads="1"/>
        </xdr:cNvSpPr>
      </xdr:nvSpPr>
      <xdr:spPr bwMode="auto">
        <a:xfrm>
          <a:off x="5471160" y="8039100"/>
          <a:ext cx="7025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9"/>
  <sheetViews>
    <sheetView showGridLines="0" tabSelected="1" zoomScale="60" zoomScaleNormal="65" workbookViewId="0">
      <pane ySplit="2" topLeftCell="A3" activePane="bottomLeft" state="frozen"/>
      <selection activeCell="D20" activeCellId="1" sqref="M27:R27 D20"/>
      <selection pane="bottomLeft" activeCell="R82" sqref="R82"/>
    </sheetView>
  </sheetViews>
  <sheetFormatPr defaultColWidth="6.109375" defaultRowHeight="13.2" x14ac:dyDescent="0.25"/>
  <cols>
    <col min="1" max="1" width="27.33203125" style="385" bestFit="1" customWidth="1"/>
    <col min="2" max="2" width="7" style="385" bestFit="1" customWidth="1"/>
    <col min="3" max="3" width="8.44140625" style="385" customWidth="1"/>
    <col min="4" max="4" width="9" style="385" bestFit="1" customWidth="1"/>
    <col min="5" max="5" width="6.109375" style="385" customWidth="1"/>
    <col min="6" max="6" width="8.44140625" style="385" customWidth="1"/>
    <col min="7" max="7" width="6.5546875" style="385" bestFit="1" customWidth="1"/>
    <col min="8" max="8" width="7.33203125" style="385" customWidth="1"/>
    <col min="9" max="9" width="6.5546875" style="385" customWidth="1"/>
    <col min="10" max="10" width="6.88671875" style="385" customWidth="1"/>
    <col min="11" max="11" width="7.6640625" style="385" customWidth="1"/>
    <col min="12" max="12" width="7.44140625" style="385" customWidth="1"/>
    <col min="13" max="13" width="6.109375" style="400" customWidth="1"/>
    <col min="14" max="14" width="7.109375" style="400" customWidth="1"/>
    <col min="15" max="15" width="7.5546875" style="385" customWidth="1"/>
    <col min="16" max="16" width="6.6640625" style="385" customWidth="1"/>
    <col min="17" max="17" width="6.88671875" style="385" customWidth="1"/>
    <col min="18" max="18" width="6.6640625" style="385" customWidth="1"/>
    <col min="19" max="19" width="7.44140625" style="385" customWidth="1"/>
    <col min="20" max="20" width="6.88671875" style="385" customWidth="1"/>
    <col min="21" max="21" width="7.5546875" style="385" customWidth="1"/>
    <col min="22" max="22" width="6.109375" style="385" customWidth="1"/>
    <col min="23" max="23" width="6.33203125" style="385" customWidth="1"/>
    <col min="24" max="24" width="6.109375" style="385" customWidth="1"/>
    <col min="25" max="26" width="6.33203125" style="385" customWidth="1"/>
    <col min="27" max="27" width="6.5546875" style="385" customWidth="1"/>
    <col min="28" max="28" width="6.33203125" style="385" customWidth="1"/>
    <col min="29" max="29" width="6.88671875" style="494" customWidth="1"/>
    <col min="30" max="30" width="11" style="385" customWidth="1"/>
    <col min="31" max="31" width="14.5546875" style="389" customWidth="1"/>
    <col min="32" max="16384" width="6.109375" style="385"/>
  </cols>
  <sheetData>
    <row r="1" spans="1:75" s="366" customFormat="1" ht="15.75" customHeight="1" x14ac:dyDescent="0.25">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5">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5">
      <c r="A3" s="683" t="s">
        <v>62</v>
      </c>
      <c r="B3" s="372" t="s">
        <v>61</v>
      </c>
      <c r="C3" s="373" t="s">
        <v>151</v>
      </c>
      <c r="D3" s="373"/>
      <c r="E3" s="373"/>
      <c r="F3" s="716">
        <v>25</v>
      </c>
      <c r="G3" s="716">
        <v>25</v>
      </c>
      <c r="H3" s="716">
        <v>25</v>
      </c>
      <c r="I3" s="716">
        <v>25</v>
      </c>
      <c r="J3" s="716">
        <v>25</v>
      </c>
      <c r="K3" s="716">
        <v>25</v>
      </c>
      <c r="L3" s="716">
        <v>60</v>
      </c>
      <c r="M3" s="716">
        <v>90</v>
      </c>
      <c r="N3" s="716">
        <v>110</v>
      </c>
      <c r="O3" s="716">
        <v>130</v>
      </c>
      <c r="P3" s="716">
        <v>150</v>
      </c>
      <c r="Q3" s="716">
        <v>150</v>
      </c>
      <c r="R3" s="716">
        <v>150</v>
      </c>
      <c r="S3" s="716">
        <v>150</v>
      </c>
      <c r="T3" s="716">
        <v>150</v>
      </c>
      <c r="U3" s="716">
        <v>150</v>
      </c>
      <c r="V3" s="716">
        <v>150</v>
      </c>
      <c r="W3" s="716">
        <v>150</v>
      </c>
      <c r="X3" s="716">
        <v>150</v>
      </c>
      <c r="Y3" s="716">
        <v>150</v>
      </c>
      <c r="Z3" s="716">
        <v>150</v>
      </c>
      <c r="AA3" s="716">
        <v>120</v>
      </c>
      <c r="AB3" s="716">
        <v>80</v>
      </c>
      <c r="AC3" s="716">
        <v>50</v>
      </c>
      <c r="AD3" s="717">
        <f>SUM(F3:AC3)</f>
        <v>2440</v>
      </c>
      <c r="AE3" s="592">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5">
      <c r="A4" s="683" t="s">
        <v>64</v>
      </c>
      <c r="B4" s="372" t="s">
        <v>61</v>
      </c>
      <c r="C4" s="373"/>
      <c r="D4" s="373"/>
      <c r="E4" s="373"/>
      <c r="F4" s="668">
        <v>10</v>
      </c>
      <c r="G4" s="668">
        <v>10</v>
      </c>
      <c r="H4" s="668">
        <v>10</v>
      </c>
      <c r="I4" s="668">
        <v>10</v>
      </c>
      <c r="J4" s="668">
        <v>15</v>
      </c>
      <c r="K4" s="668">
        <v>15</v>
      </c>
      <c r="L4" s="668">
        <v>25</v>
      </c>
      <c r="M4" s="668">
        <v>25</v>
      </c>
      <c r="N4" s="668">
        <v>25</v>
      </c>
      <c r="O4" s="668">
        <v>25</v>
      </c>
      <c r="P4" s="668">
        <v>25</v>
      </c>
      <c r="Q4" s="668">
        <v>25</v>
      </c>
      <c r="R4" s="668">
        <v>25</v>
      </c>
      <c r="S4" s="668">
        <v>25</v>
      </c>
      <c r="T4" s="668">
        <v>25</v>
      </c>
      <c r="U4" s="668">
        <v>25</v>
      </c>
      <c r="V4" s="668">
        <v>25</v>
      </c>
      <c r="W4" s="668">
        <v>25</v>
      </c>
      <c r="X4" s="668">
        <v>25</v>
      </c>
      <c r="Y4" s="668">
        <v>25</v>
      </c>
      <c r="Z4" s="668">
        <v>25</v>
      </c>
      <c r="AA4" s="668">
        <v>25</v>
      </c>
      <c r="AB4" s="668">
        <v>20</v>
      </c>
      <c r="AC4" s="668">
        <v>10</v>
      </c>
      <c r="AD4" s="508">
        <f>SUM(F4:AC4)</f>
        <v>500</v>
      </c>
      <c r="AE4" s="592">
        <f>AD4*D4</f>
        <v>0</v>
      </c>
      <c r="AF4" s="375" t="str">
        <f>IF(AD4&lt;0,"buy","sell")</f>
        <v>sell</v>
      </c>
    </row>
    <row r="5" spans="1:75" s="361" customFormat="1" x14ac:dyDescent="0.25">
      <c r="A5" s="684" t="s">
        <v>63</v>
      </c>
      <c r="B5" s="575"/>
      <c r="C5" s="575"/>
      <c r="D5" s="575"/>
      <c r="E5" s="648"/>
      <c r="F5" s="668">
        <v>0</v>
      </c>
      <c r="G5" s="668">
        <v>0</v>
      </c>
      <c r="H5" s="668">
        <v>0</v>
      </c>
      <c r="I5" s="668">
        <v>0</v>
      </c>
      <c r="J5" s="668">
        <v>0</v>
      </c>
      <c r="K5" s="668">
        <v>0</v>
      </c>
      <c r="L5" s="668">
        <v>0</v>
      </c>
      <c r="M5" s="668">
        <v>0</v>
      </c>
      <c r="N5" s="668">
        <v>0</v>
      </c>
      <c r="O5" s="668">
        <v>0</v>
      </c>
      <c r="P5" s="668">
        <v>0</v>
      </c>
      <c r="Q5" s="668">
        <v>0</v>
      </c>
      <c r="R5" s="668">
        <v>0</v>
      </c>
      <c r="S5" s="668">
        <v>1</v>
      </c>
      <c r="T5" s="668">
        <v>1</v>
      </c>
      <c r="U5" s="668">
        <v>1</v>
      </c>
      <c r="V5" s="668">
        <v>1</v>
      </c>
      <c r="W5" s="668">
        <v>1</v>
      </c>
      <c r="X5" s="668">
        <v>1</v>
      </c>
      <c r="Y5" s="668">
        <v>1</v>
      </c>
      <c r="Z5" s="668">
        <v>1</v>
      </c>
      <c r="AA5" s="668">
        <v>1</v>
      </c>
      <c r="AB5" s="668">
        <v>1</v>
      </c>
      <c r="AC5" s="668">
        <v>1</v>
      </c>
      <c r="AD5" s="649">
        <f>SUM(F5:AC5)</f>
        <v>11</v>
      </c>
      <c r="AE5" s="650">
        <f>AD5*D5</f>
        <v>0</v>
      </c>
      <c r="AF5" s="576" t="str">
        <f>IF(AD5&lt;0,"buy","sell")</f>
        <v>sell</v>
      </c>
    </row>
    <row r="6" spans="1:75" s="361" customFormat="1" x14ac:dyDescent="0.25">
      <c r="A6" s="685"/>
      <c r="B6" s="669"/>
      <c r="C6" s="669"/>
      <c r="D6" s="669"/>
      <c r="E6" s="669"/>
      <c r="F6" s="668"/>
      <c r="G6" s="668"/>
      <c r="H6" s="668"/>
      <c r="I6" s="668"/>
      <c r="J6" s="668"/>
      <c r="K6" s="668"/>
      <c r="L6" s="668"/>
      <c r="M6" s="668"/>
      <c r="N6" s="668"/>
      <c r="O6" s="668"/>
      <c r="P6" s="668"/>
      <c r="Q6" s="668"/>
      <c r="R6" s="668"/>
      <c r="S6" s="668"/>
      <c r="T6" s="668"/>
      <c r="U6" s="668"/>
      <c r="V6" s="668"/>
      <c r="W6" s="668"/>
      <c r="X6" s="668"/>
      <c r="Y6" s="668"/>
      <c r="Z6" s="668"/>
      <c r="AA6" s="668"/>
      <c r="AB6" s="668"/>
      <c r="AC6" s="668"/>
      <c r="AD6" s="670">
        <f>SUM(F6:AC6)</f>
        <v>0</v>
      </c>
      <c r="AE6" s="671"/>
      <c r="AF6" s="373"/>
    </row>
    <row r="7" spans="1:75" s="361" customFormat="1" x14ac:dyDescent="0.25">
      <c r="A7" s="684" t="s">
        <v>3</v>
      </c>
      <c r="B7" s="575"/>
      <c r="C7" s="575"/>
      <c r="D7" s="575"/>
      <c r="E7" s="648"/>
      <c r="F7" s="703">
        <v>-103</v>
      </c>
      <c r="G7" s="703">
        <v>-103</v>
      </c>
      <c r="H7" s="703">
        <v>-103</v>
      </c>
      <c r="I7" s="703">
        <v>-103</v>
      </c>
      <c r="J7" s="703">
        <v>-103</v>
      </c>
      <c r="K7" s="703">
        <v>-103</v>
      </c>
      <c r="L7" s="703">
        <v>-103</v>
      </c>
      <c r="M7" s="703">
        <v>-103</v>
      </c>
      <c r="N7" s="703">
        <v>-103</v>
      </c>
      <c r="O7" s="703">
        <v>-103</v>
      </c>
      <c r="P7" s="703">
        <v>-103</v>
      </c>
      <c r="Q7" s="703">
        <v>-103</v>
      </c>
      <c r="R7" s="703">
        <v>-103</v>
      </c>
      <c r="S7" s="703">
        <v>-103</v>
      </c>
      <c r="T7" s="703">
        <v>-103</v>
      </c>
      <c r="U7" s="703">
        <v>-103</v>
      </c>
      <c r="V7" s="703">
        <v>-103</v>
      </c>
      <c r="W7" s="703">
        <v>-103</v>
      </c>
      <c r="X7" s="703">
        <v>-103</v>
      </c>
      <c r="Y7" s="703">
        <v>-103</v>
      </c>
      <c r="Z7" s="703">
        <v>-103</v>
      </c>
      <c r="AA7" s="703">
        <v>-103</v>
      </c>
      <c r="AB7" s="703">
        <v>-103</v>
      </c>
      <c r="AC7" s="703">
        <v>-103</v>
      </c>
      <c r="AD7" s="670">
        <f>SUM(F7:AC7)</f>
        <v>-2472</v>
      </c>
      <c r="AE7" s="671"/>
      <c r="AF7" s="373"/>
    </row>
    <row r="8" spans="1:75" s="361" customFormat="1" x14ac:dyDescent="0.25">
      <c r="A8" s="675"/>
      <c r="B8" s="669"/>
      <c r="C8" s="676"/>
      <c r="D8" s="677"/>
      <c r="E8" s="678"/>
      <c r="F8" s="703"/>
      <c r="G8" s="703"/>
      <c r="H8" s="703"/>
      <c r="I8" s="703"/>
      <c r="J8" s="703"/>
      <c r="K8" s="703"/>
      <c r="L8" s="703"/>
      <c r="M8" s="703"/>
      <c r="N8" s="703"/>
      <c r="O8" s="703"/>
      <c r="P8" s="703"/>
      <c r="Q8" s="703"/>
      <c r="R8" s="703"/>
      <c r="S8" s="703"/>
      <c r="T8" s="703"/>
      <c r="U8" s="703"/>
      <c r="V8" s="703"/>
      <c r="W8" s="703"/>
      <c r="X8" s="703"/>
      <c r="Y8" s="703"/>
      <c r="Z8" s="703"/>
      <c r="AA8" s="703"/>
      <c r="AB8" s="703"/>
      <c r="AC8" s="703"/>
      <c r="AD8" s="670">
        <f t="shared" ref="AD8:AD14" si="0">SUM(E8:AC8)</f>
        <v>0</v>
      </c>
      <c r="AE8" s="671">
        <f t="shared" ref="AE8:AE13" si="1">AD8*D8</f>
        <v>0</v>
      </c>
      <c r="AF8" s="373" t="str">
        <f t="shared" ref="AF8:AF13" si="2">IF(AD8&lt;0,"buy","sell")</f>
        <v>sell</v>
      </c>
    </row>
    <row r="9" spans="1:75" s="361" customFormat="1" x14ac:dyDescent="0.25">
      <c r="A9" s="685" t="s">
        <v>365</v>
      </c>
      <c r="B9" s="672"/>
      <c r="C9" s="672" t="s">
        <v>151</v>
      </c>
      <c r="D9" s="669"/>
      <c r="E9" s="669"/>
      <c r="F9" s="703">
        <v>25</v>
      </c>
      <c r="G9" s="703">
        <v>25</v>
      </c>
      <c r="H9" s="703">
        <v>25</v>
      </c>
      <c r="I9" s="703">
        <v>25</v>
      </c>
      <c r="J9" s="703">
        <v>25</v>
      </c>
      <c r="K9" s="703">
        <v>25</v>
      </c>
      <c r="L9" s="703"/>
      <c r="M9" s="703"/>
      <c r="N9" s="703"/>
      <c r="O9" s="703"/>
      <c r="P9" s="703"/>
      <c r="Q9" s="703"/>
      <c r="R9" s="703"/>
      <c r="S9" s="703"/>
      <c r="T9" s="703"/>
      <c r="U9" s="703"/>
      <c r="V9" s="703"/>
      <c r="W9" s="703"/>
      <c r="X9" s="703"/>
      <c r="Y9" s="703"/>
      <c r="Z9" s="703"/>
      <c r="AA9" s="703"/>
      <c r="AB9" s="703">
        <v>25</v>
      </c>
      <c r="AC9" s="703">
        <v>25</v>
      </c>
      <c r="AD9" s="670">
        <f>SUM(E9:AC9)</f>
        <v>200</v>
      </c>
      <c r="AE9" s="671">
        <f t="shared" si="1"/>
        <v>0</v>
      </c>
      <c r="AF9" s="373" t="str">
        <f t="shared" si="2"/>
        <v>sell</v>
      </c>
    </row>
    <row r="10" spans="1:75" s="361" customFormat="1" x14ac:dyDescent="0.25">
      <c r="A10" s="685" t="s">
        <v>365</v>
      </c>
      <c r="B10" s="672"/>
      <c r="C10" s="672" t="s">
        <v>151</v>
      </c>
      <c r="D10" s="669"/>
      <c r="E10" s="669"/>
      <c r="F10" s="703">
        <v>25</v>
      </c>
      <c r="G10" s="703">
        <v>25</v>
      </c>
      <c r="H10" s="703">
        <v>25</v>
      </c>
      <c r="I10" s="703">
        <v>25</v>
      </c>
      <c r="J10" s="703">
        <v>25</v>
      </c>
      <c r="K10" s="703">
        <v>25</v>
      </c>
      <c r="L10" s="703"/>
      <c r="M10" s="703"/>
      <c r="N10" s="703"/>
      <c r="O10" s="703"/>
      <c r="P10" s="703"/>
      <c r="Q10" s="703"/>
      <c r="R10" s="703"/>
      <c r="S10" s="703"/>
      <c r="T10" s="703"/>
      <c r="U10" s="703"/>
      <c r="V10" s="703"/>
      <c r="W10" s="703"/>
      <c r="X10" s="703"/>
      <c r="Y10" s="703"/>
      <c r="Z10" s="703"/>
      <c r="AA10" s="703"/>
      <c r="AB10" s="703">
        <v>25</v>
      </c>
      <c r="AC10" s="703">
        <v>25</v>
      </c>
      <c r="AD10" s="670">
        <f>SUM(E10:AC10)</f>
        <v>200</v>
      </c>
      <c r="AE10" s="671">
        <f t="shared" si="1"/>
        <v>0</v>
      </c>
      <c r="AF10" s="373" t="str">
        <f t="shared" si="2"/>
        <v>sell</v>
      </c>
    </row>
    <row r="11" spans="1:75" s="361" customFormat="1" x14ac:dyDescent="0.25">
      <c r="A11" s="685" t="s">
        <v>224</v>
      </c>
      <c r="B11" s="672"/>
      <c r="C11" s="672" t="s">
        <v>151</v>
      </c>
      <c r="D11" s="669"/>
      <c r="E11" s="669"/>
      <c r="F11" s="703">
        <v>50</v>
      </c>
      <c r="G11" s="703">
        <v>50</v>
      </c>
      <c r="H11" s="703">
        <v>50</v>
      </c>
      <c r="I11" s="703">
        <v>50</v>
      </c>
      <c r="J11" s="703">
        <v>50</v>
      </c>
      <c r="K11" s="703">
        <v>50</v>
      </c>
      <c r="L11" s="703"/>
      <c r="M11" s="703"/>
      <c r="N11" s="703"/>
      <c r="O11" s="703"/>
      <c r="P11" s="703"/>
      <c r="Q11" s="703"/>
      <c r="R11" s="703"/>
      <c r="S11" s="703"/>
      <c r="T11" s="703"/>
      <c r="U11" s="703"/>
      <c r="V11" s="703"/>
      <c r="W11" s="703"/>
      <c r="X11" s="703"/>
      <c r="Y11" s="703"/>
      <c r="Z11" s="703"/>
      <c r="AA11" s="703"/>
      <c r="AB11" s="703">
        <v>50</v>
      </c>
      <c r="AC11" s="703">
        <v>50</v>
      </c>
      <c r="AD11" s="670">
        <f t="shared" si="0"/>
        <v>400</v>
      </c>
      <c r="AE11" s="671">
        <f t="shared" si="1"/>
        <v>0</v>
      </c>
      <c r="AF11" s="373" t="str">
        <f t="shared" si="2"/>
        <v>sell</v>
      </c>
    </row>
    <row r="12" spans="1:75" s="361" customFormat="1" x14ac:dyDescent="0.25">
      <c r="A12" s="685" t="s">
        <v>228</v>
      </c>
      <c r="B12" s="672"/>
      <c r="C12" s="672" t="s">
        <v>151</v>
      </c>
      <c r="D12" s="669"/>
      <c r="E12" s="669"/>
      <c r="F12" s="703">
        <v>3</v>
      </c>
      <c r="G12" s="703">
        <v>3</v>
      </c>
      <c r="H12" s="703">
        <v>3</v>
      </c>
      <c r="I12" s="703">
        <v>3</v>
      </c>
      <c r="J12" s="703">
        <v>3</v>
      </c>
      <c r="K12" s="703">
        <v>3</v>
      </c>
      <c r="L12" s="703"/>
      <c r="M12" s="703"/>
      <c r="N12" s="703"/>
      <c r="O12" s="703"/>
      <c r="P12" s="703"/>
      <c r="Q12" s="703"/>
      <c r="R12" s="703"/>
      <c r="S12" s="703"/>
      <c r="T12" s="703"/>
      <c r="U12" s="703"/>
      <c r="V12" s="703"/>
      <c r="W12" s="703"/>
      <c r="X12" s="703"/>
      <c r="Y12" s="703"/>
      <c r="Z12" s="703"/>
      <c r="AA12" s="703"/>
      <c r="AB12" s="703">
        <v>3</v>
      </c>
      <c r="AC12" s="703">
        <v>3</v>
      </c>
      <c r="AD12" s="670">
        <f>SUM(E12:AC12)</f>
        <v>24</v>
      </c>
      <c r="AE12" s="671">
        <f t="shared" si="1"/>
        <v>0</v>
      </c>
      <c r="AF12" s="373" t="str">
        <f t="shared" si="2"/>
        <v>sell</v>
      </c>
    </row>
    <row r="13" spans="1:75" s="361" customFormat="1" x14ac:dyDescent="0.25">
      <c r="A13" s="685"/>
      <c r="B13" s="669"/>
      <c r="C13" s="672"/>
      <c r="D13" s="669"/>
      <c r="E13" s="669"/>
      <c r="F13" s="703"/>
      <c r="G13" s="703"/>
      <c r="H13" s="703"/>
      <c r="I13" s="703"/>
      <c r="J13" s="703"/>
      <c r="K13" s="703"/>
      <c r="L13" s="703"/>
      <c r="M13" s="703"/>
      <c r="N13" s="703"/>
      <c r="O13" s="703"/>
      <c r="P13" s="703"/>
      <c r="Q13" s="703"/>
      <c r="R13" s="703"/>
      <c r="S13" s="703"/>
      <c r="T13" s="703"/>
      <c r="U13" s="703"/>
      <c r="V13" s="703"/>
      <c r="W13" s="703"/>
      <c r="X13" s="703"/>
      <c r="Y13" s="703"/>
      <c r="Z13" s="703"/>
      <c r="AA13" s="703"/>
      <c r="AB13" s="703"/>
      <c r="AC13" s="703"/>
      <c r="AD13" s="670">
        <f t="shared" si="0"/>
        <v>0</v>
      </c>
      <c r="AE13" s="671">
        <f t="shared" si="1"/>
        <v>0</v>
      </c>
      <c r="AF13" s="373" t="str">
        <f t="shared" si="2"/>
        <v>sell</v>
      </c>
    </row>
    <row r="14" spans="1:75" s="361" customFormat="1" x14ac:dyDescent="0.25">
      <c r="A14" s="685"/>
      <c r="B14" s="669"/>
      <c r="C14" s="673"/>
      <c r="D14" s="669"/>
      <c r="E14" s="669"/>
      <c r="F14" s="703"/>
      <c r="G14" s="703"/>
      <c r="H14" s="703"/>
      <c r="I14" s="703"/>
      <c r="J14" s="703"/>
      <c r="K14" s="703"/>
      <c r="L14" s="703"/>
      <c r="M14" s="703"/>
      <c r="N14" s="703"/>
      <c r="O14" s="703"/>
      <c r="P14" s="703"/>
      <c r="Q14" s="703"/>
      <c r="R14" s="703"/>
      <c r="S14" s="703"/>
      <c r="T14" s="703"/>
      <c r="U14" s="703"/>
      <c r="V14" s="703"/>
      <c r="W14" s="703"/>
      <c r="X14" s="703"/>
      <c r="Y14" s="703"/>
      <c r="Z14" s="703"/>
      <c r="AA14" s="703"/>
      <c r="AB14" s="703"/>
      <c r="AC14" s="703"/>
      <c r="AD14" s="674">
        <f t="shared" si="0"/>
        <v>0</v>
      </c>
      <c r="AE14" s="671"/>
      <c r="AF14" s="373"/>
    </row>
    <row r="15" spans="1:75" s="361" customFormat="1" x14ac:dyDescent="0.25">
      <c r="A15" s="686" t="s">
        <v>205</v>
      </c>
      <c r="B15" s="376"/>
      <c r="C15" s="376"/>
      <c r="D15" s="377"/>
      <c r="E15" s="377"/>
      <c r="F15" s="704"/>
      <c r="G15" s="704"/>
      <c r="H15" s="704"/>
      <c r="I15" s="704"/>
      <c r="J15" s="704"/>
      <c r="K15" s="704"/>
      <c r="L15" s="704"/>
      <c r="M15" s="704"/>
      <c r="N15" s="704"/>
      <c r="O15" s="704"/>
      <c r="P15" s="704"/>
      <c r="Q15" s="704"/>
      <c r="R15" s="704"/>
      <c r="S15" s="704"/>
      <c r="T15" s="704"/>
      <c r="U15" s="704"/>
      <c r="V15" s="704"/>
      <c r="W15" s="704"/>
      <c r="X15" s="704"/>
      <c r="Y15" s="704"/>
      <c r="Z15" s="704"/>
      <c r="AA15" s="704"/>
      <c r="AB15" s="704"/>
      <c r="AC15" s="704"/>
      <c r="AD15" s="639"/>
      <c r="AE15" s="417"/>
      <c r="AF15" s="418"/>
    </row>
    <row r="16" spans="1:75" s="361" customFormat="1" x14ac:dyDescent="0.25">
      <c r="A16" s="687" t="s">
        <v>206</v>
      </c>
      <c r="B16" s="378"/>
      <c r="C16" s="666"/>
      <c r="D16" s="378"/>
      <c r="E16" s="378"/>
      <c r="F16" s="705"/>
      <c r="G16" s="705"/>
      <c r="H16" s="705"/>
      <c r="I16" s="705"/>
      <c r="J16" s="705"/>
      <c r="K16" s="705"/>
      <c r="L16" s="705"/>
      <c r="M16" s="705"/>
      <c r="N16" s="705"/>
      <c r="O16" s="705"/>
      <c r="P16" s="705"/>
      <c r="Q16" s="705"/>
      <c r="R16" s="705"/>
      <c r="S16" s="705"/>
      <c r="T16" s="705"/>
      <c r="U16" s="705"/>
      <c r="V16" s="705"/>
      <c r="W16" s="705"/>
      <c r="X16" s="705"/>
      <c r="Y16" s="705"/>
      <c r="Z16" s="705"/>
      <c r="AA16" s="705"/>
      <c r="AB16" s="705"/>
      <c r="AC16" s="705"/>
      <c r="AD16" s="378"/>
      <c r="AE16" s="510"/>
      <c r="AF16" s="510"/>
    </row>
    <row r="17" spans="1:32" s="361" customFormat="1" hidden="1" x14ac:dyDescent="0.25">
      <c r="A17" s="688" t="s">
        <v>277</v>
      </c>
      <c r="B17" s="500" t="s">
        <v>240</v>
      </c>
      <c r="C17" s="500" t="s">
        <v>151</v>
      </c>
      <c r="D17" s="501">
        <f t="shared" ref="D17:D40" si="3">F98</f>
        <v>-0.25</v>
      </c>
      <c r="E17" s="501"/>
      <c r="F17" s="505">
        <v>0</v>
      </c>
      <c r="G17" s="507"/>
      <c r="H17" s="505"/>
      <c r="I17" s="505"/>
      <c r="J17" s="505"/>
      <c r="K17" s="505"/>
      <c r="L17" s="505"/>
      <c r="M17" s="505"/>
      <c r="N17" s="505"/>
      <c r="O17" s="505"/>
      <c r="P17" s="505"/>
      <c r="Q17" s="505"/>
      <c r="R17" s="505"/>
      <c r="S17" s="505"/>
      <c r="T17" s="505"/>
      <c r="U17" s="505"/>
      <c r="V17" s="505"/>
      <c r="W17" s="505"/>
      <c r="X17" s="505"/>
      <c r="Y17" s="505"/>
      <c r="Z17" s="505"/>
      <c r="AA17" s="505"/>
      <c r="AB17" s="505"/>
      <c r="AC17" s="506"/>
      <c r="AD17" s="640">
        <f t="shared" ref="AD17:AD70" si="4">SUM(F17:AC17)</f>
        <v>0</v>
      </c>
      <c r="AE17" s="504">
        <f t="shared" ref="AE17:AE65" si="5">AD17*D17</f>
        <v>0</v>
      </c>
      <c r="AF17" s="479" t="str">
        <f>IF(AD17&lt;0,"buy","sell")</f>
        <v>sell</v>
      </c>
    </row>
    <row r="18" spans="1:32" s="361" customFormat="1" hidden="1" x14ac:dyDescent="0.25">
      <c r="A18" s="688" t="s">
        <v>277</v>
      </c>
      <c r="B18" s="500" t="s">
        <v>240</v>
      </c>
      <c r="C18" s="500" t="s">
        <v>151</v>
      </c>
      <c r="D18" s="501">
        <f t="shared" si="3"/>
        <v>-0.25</v>
      </c>
      <c r="E18" s="501"/>
      <c r="F18" s="505"/>
      <c r="G18" s="505">
        <v>0</v>
      </c>
      <c r="H18" s="505"/>
      <c r="I18" s="505"/>
      <c r="J18" s="505"/>
      <c r="K18" s="505"/>
      <c r="L18" s="505"/>
      <c r="M18" s="505"/>
      <c r="N18" s="505"/>
      <c r="O18" s="505"/>
      <c r="P18" s="505"/>
      <c r="Q18" s="505"/>
      <c r="R18" s="505"/>
      <c r="S18" s="505"/>
      <c r="T18" s="505"/>
      <c r="U18" s="505"/>
      <c r="V18" s="505"/>
      <c r="W18" s="505"/>
      <c r="X18" s="505"/>
      <c r="Y18" s="505"/>
      <c r="Z18" s="505"/>
      <c r="AA18" s="505"/>
      <c r="AB18" s="506"/>
      <c r="AC18" s="506"/>
      <c r="AD18" s="640">
        <f t="shared" si="4"/>
        <v>0</v>
      </c>
      <c r="AE18" s="504">
        <f t="shared" si="5"/>
        <v>0</v>
      </c>
      <c r="AF18" s="479" t="str">
        <f t="shared" ref="AF18:AF40" si="6">IF(AD18&lt;0,"buy","sell")</f>
        <v>sell</v>
      </c>
    </row>
    <row r="19" spans="1:32" s="361" customFormat="1" hidden="1" x14ac:dyDescent="0.25">
      <c r="A19" s="688" t="s">
        <v>277</v>
      </c>
      <c r="B19" s="500" t="s">
        <v>240</v>
      </c>
      <c r="C19" s="500" t="s">
        <v>151</v>
      </c>
      <c r="D19" s="501">
        <f t="shared" si="3"/>
        <v>-0.25</v>
      </c>
      <c r="E19" s="501"/>
      <c r="F19" s="505"/>
      <c r="G19" s="507"/>
      <c r="H19" s="505">
        <v>0</v>
      </c>
      <c r="I19" s="505"/>
      <c r="J19" s="505"/>
      <c r="K19" s="505"/>
      <c r="L19" s="505"/>
      <c r="M19" s="505"/>
      <c r="N19" s="505"/>
      <c r="O19" s="505"/>
      <c r="P19" s="505"/>
      <c r="Q19" s="505"/>
      <c r="R19" s="505"/>
      <c r="S19" s="505"/>
      <c r="T19" s="505"/>
      <c r="U19" s="505"/>
      <c r="V19" s="505"/>
      <c r="W19" s="505"/>
      <c r="X19" s="505"/>
      <c r="Y19" s="505"/>
      <c r="Z19" s="505"/>
      <c r="AA19" s="505"/>
      <c r="AB19" s="505"/>
      <c r="AC19" s="506"/>
      <c r="AD19" s="640">
        <f t="shared" si="4"/>
        <v>0</v>
      </c>
      <c r="AE19" s="504">
        <f t="shared" si="5"/>
        <v>0</v>
      </c>
      <c r="AF19" s="479" t="str">
        <f t="shared" si="6"/>
        <v>sell</v>
      </c>
    </row>
    <row r="20" spans="1:32" s="361" customFormat="1" hidden="1" x14ac:dyDescent="0.25">
      <c r="A20" s="688" t="s">
        <v>277</v>
      </c>
      <c r="B20" s="500" t="s">
        <v>240</v>
      </c>
      <c r="C20" s="500" t="s">
        <v>151</v>
      </c>
      <c r="D20" s="501">
        <f t="shared" si="3"/>
        <v>-0.25</v>
      </c>
      <c r="E20" s="501"/>
      <c r="F20" s="505"/>
      <c r="G20" s="507"/>
      <c r="H20" s="505"/>
      <c r="I20" s="505">
        <v>0</v>
      </c>
      <c r="J20" s="505"/>
      <c r="K20" s="505"/>
      <c r="L20" s="505"/>
      <c r="M20" s="505"/>
      <c r="N20" s="505"/>
      <c r="O20" s="505"/>
      <c r="P20" s="505"/>
      <c r="Q20" s="505"/>
      <c r="R20" s="505"/>
      <c r="S20" s="505"/>
      <c r="T20" s="505"/>
      <c r="U20" s="505"/>
      <c r="V20" s="505"/>
      <c r="W20" s="505"/>
      <c r="X20" s="505"/>
      <c r="Y20" s="505"/>
      <c r="Z20" s="505"/>
      <c r="AA20" s="505"/>
      <c r="AB20" s="505"/>
      <c r="AC20" s="506"/>
      <c r="AD20" s="640">
        <f t="shared" si="4"/>
        <v>0</v>
      </c>
      <c r="AE20" s="504">
        <f t="shared" si="5"/>
        <v>0</v>
      </c>
      <c r="AF20" s="479" t="str">
        <f t="shared" si="6"/>
        <v>sell</v>
      </c>
    </row>
    <row r="21" spans="1:32" s="361" customFormat="1" hidden="1" x14ac:dyDescent="0.25">
      <c r="A21" s="688" t="s">
        <v>277</v>
      </c>
      <c r="B21" s="500" t="s">
        <v>240</v>
      </c>
      <c r="C21" s="500" t="s">
        <v>151</v>
      </c>
      <c r="D21" s="501">
        <f t="shared" si="3"/>
        <v>-0.25</v>
      </c>
      <c r="E21" s="501"/>
      <c r="F21" s="505"/>
      <c r="G21" s="507"/>
      <c r="H21" s="505"/>
      <c r="I21" s="505"/>
      <c r="J21" s="505">
        <v>0</v>
      </c>
      <c r="K21" s="505"/>
      <c r="L21" s="505"/>
      <c r="M21" s="505"/>
      <c r="N21" s="505"/>
      <c r="O21" s="505"/>
      <c r="P21" s="505"/>
      <c r="Q21" s="505"/>
      <c r="R21" s="505"/>
      <c r="S21" s="505"/>
      <c r="T21" s="505"/>
      <c r="U21" s="505"/>
      <c r="V21" s="505"/>
      <c r="W21" s="505"/>
      <c r="X21" s="505"/>
      <c r="Y21" s="505"/>
      <c r="Z21" s="505"/>
      <c r="AA21" s="505"/>
      <c r="AB21" s="505"/>
      <c r="AC21" s="506"/>
      <c r="AD21" s="640">
        <f t="shared" si="4"/>
        <v>0</v>
      </c>
      <c r="AE21" s="504">
        <f t="shared" si="5"/>
        <v>0</v>
      </c>
      <c r="AF21" s="479" t="str">
        <f>IF(AD21&lt;0,"buy","sell")</f>
        <v>sell</v>
      </c>
    </row>
    <row r="22" spans="1:32" s="361" customFormat="1" hidden="1" x14ac:dyDescent="0.25">
      <c r="A22" s="688" t="s">
        <v>277</v>
      </c>
      <c r="B22" s="500" t="s">
        <v>240</v>
      </c>
      <c r="C22" s="500" t="s">
        <v>151</v>
      </c>
      <c r="D22" s="501">
        <f t="shared" si="3"/>
        <v>-0.25</v>
      </c>
      <c r="E22" s="501"/>
      <c r="F22" s="505"/>
      <c r="G22" s="507"/>
      <c r="H22" s="505"/>
      <c r="I22" s="505"/>
      <c r="J22" s="505"/>
      <c r="K22" s="505">
        <v>0</v>
      </c>
      <c r="L22" s="505"/>
      <c r="M22" s="505"/>
      <c r="N22" s="505"/>
      <c r="O22" s="505"/>
      <c r="P22" s="505"/>
      <c r="Q22" s="505"/>
      <c r="R22" s="505"/>
      <c r="S22" s="505"/>
      <c r="T22" s="505"/>
      <c r="U22" s="505"/>
      <c r="V22" s="505"/>
      <c r="W22" s="505"/>
      <c r="X22" s="505"/>
      <c r="Y22" s="505"/>
      <c r="Z22" s="505"/>
      <c r="AA22" s="505"/>
      <c r="AB22" s="505"/>
      <c r="AC22" s="505"/>
      <c r="AD22" s="640">
        <f t="shared" si="4"/>
        <v>0</v>
      </c>
      <c r="AE22" s="504">
        <f t="shared" si="5"/>
        <v>0</v>
      </c>
      <c r="AF22" s="479" t="str">
        <f t="shared" si="6"/>
        <v>sell</v>
      </c>
    </row>
    <row r="23" spans="1:32" s="361" customFormat="1" hidden="1" x14ac:dyDescent="0.25">
      <c r="A23" s="688" t="s">
        <v>277</v>
      </c>
      <c r="B23" s="500" t="s">
        <v>240</v>
      </c>
      <c r="C23" s="500" t="s">
        <v>151</v>
      </c>
      <c r="D23" s="501">
        <f t="shared" si="3"/>
        <v>-0.25</v>
      </c>
      <c r="E23" s="501"/>
      <c r="F23" s="505"/>
      <c r="G23" s="507"/>
      <c r="H23" s="505"/>
      <c r="I23" s="505"/>
      <c r="J23" s="505"/>
      <c r="K23" s="505"/>
      <c r="L23" s="505">
        <v>0</v>
      </c>
      <c r="M23" s="505"/>
      <c r="N23" s="505"/>
      <c r="O23" s="505"/>
      <c r="P23" s="505"/>
      <c r="Q23" s="505"/>
      <c r="R23" s="505"/>
      <c r="S23" s="505"/>
      <c r="T23" s="505"/>
      <c r="U23" s="505"/>
      <c r="V23" s="505"/>
      <c r="W23" s="505"/>
      <c r="X23" s="505"/>
      <c r="Y23" s="505"/>
      <c r="Z23" s="505"/>
      <c r="AA23" s="505"/>
      <c r="AB23" s="505"/>
      <c r="AC23" s="505"/>
      <c r="AD23" s="640">
        <f t="shared" si="4"/>
        <v>0</v>
      </c>
      <c r="AE23" s="504">
        <f t="shared" si="5"/>
        <v>0</v>
      </c>
      <c r="AF23" s="479" t="str">
        <f t="shared" si="6"/>
        <v>sell</v>
      </c>
    </row>
    <row r="24" spans="1:32" s="361" customFormat="1" hidden="1" x14ac:dyDescent="0.25">
      <c r="A24" s="688" t="s">
        <v>277</v>
      </c>
      <c r="B24" s="500" t="s">
        <v>240</v>
      </c>
      <c r="C24" s="500" t="s">
        <v>151</v>
      </c>
      <c r="D24" s="501">
        <f t="shared" si="3"/>
        <v>-0.25</v>
      </c>
      <c r="E24" s="501"/>
      <c r="F24" s="505"/>
      <c r="G24" s="507"/>
      <c r="H24" s="505"/>
      <c r="I24" s="505"/>
      <c r="J24" s="505"/>
      <c r="K24" s="505"/>
      <c r="L24" s="505"/>
      <c r="M24" s="505">
        <v>0</v>
      </c>
      <c r="N24" s="505"/>
      <c r="O24" s="505"/>
      <c r="P24" s="505"/>
      <c r="Q24" s="505"/>
      <c r="R24" s="505"/>
      <c r="S24" s="505"/>
      <c r="T24" s="505"/>
      <c r="U24" s="505"/>
      <c r="V24" s="505"/>
      <c r="W24" s="505"/>
      <c r="X24" s="505"/>
      <c r="Y24" s="505"/>
      <c r="Z24" s="505"/>
      <c r="AA24" s="505"/>
      <c r="AB24" s="505"/>
      <c r="AC24" s="505"/>
      <c r="AD24" s="640">
        <f t="shared" si="4"/>
        <v>0</v>
      </c>
      <c r="AE24" s="504">
        <f t="shared" si="5"/>
        <v>0</v>
      </c>
      <c r="AF24" s="479" t="str">
        <f t="shared" si="6"/>
        <v>sell</v>
      </c>
    </row>
    <row r="25" spans="1:32" s="361" customFormat="1" hidden="1" x14ac:dyDescent="0.25">
      <c r="A25" s="688" t="s">
        <v>277</v>
      </c>
      <c r="B25" s="500" t="s">
        <v>240</v>
      </c>
      <c r="C25" s="500" t="s">
        <v>151</v>
      </c>
      <c r="D25" s="501">
        <f t="shared" si="3"/>
        <v>-0.25</v>
      </c>
      <c r="E25" s="501"/>
      <c r="F25" s="505"/>
      <c r="G25" s="507"/>
      <c r="H25" s="505"/>
      <c r="I25" s="505"/>
      <c r="J25" s="505"/>
      <c r="K25" s="505"/>
      <c r="L25" s="505"/>
      <c r="M25" s="505"/>
      <c r="N25" s="505">
        <v>0</v>
      </c>
      <c r="O25" s="505"/>
      <c r="P25" s="505"/>
      <c r="Q25" s="505"/>
      <c r="R25" s="505"/>
      <c r="S25" s="505"/>
      <c r="T25" s="505"/>
      <c r="U25" s="505"/>
      <c r="V25" s="505"/>
      <c r="W25" s="505"/>
      <c r="X25" s="505"/>
      <c r="Y25" s="505"/>
      <c r="Z25" s="505"/>
      <c r="AA25" s="505"/>
      <c r="AB25" s="505"/>
      <c r="AC25" s="505"/>
      <c r="AD25" s="640">
        <f t="shared" si="4"/>
        <v>0</v>
      </c>
      <c r="AE25" s="504">
        <f t="shared" si="5"/>
        <v>0</v>
      </c>
      <c r="AF25" s="479" t="str">
        <f t="shared" si="6"/>
        <v>sell</v>
      </c>
    </row>
    <row r="26" spans="1:32" s="361" customFormat="1" hidden="1" x14ac:dyDescent="0.25">
      <c r="A26" s="688" t="s">
        <v>277</v>
      </c>
      <c r="B26" s="500" t="s">
        <v>240</v>
      </c>
      <c r="C26" s="500" t="s">
        <v>151</v>
      </c>
      <c r="D26" s="501">
        <f t="shared" si="3"/>
        <v>-0.25</v>
      </c>
      <c r="E26" s="501"/>
      <c r="F26" s="505"/>
      <c r="G26" s="507"/>
      <c r="H26" s="505"/>
      <c r="I26" s="505"/>
      <c r="J26" s="505"/>
      <c r="K26" s="505"/>
      <c r="L26" s="505"/>
      <c r="M26" s="505"/>
      <c r="N26" s="505"/>
      <c r="O26" s="505">
        <v>0</v>
      </c>
      <c r="P26" s="505"/>
      <c r="Q26" s="505"/>
      <c r="R26" s="505"/>
      <c r="S26" s="505"/>
      <c r="T26" s="505"/>
      <c r="U26" s="505"/>
      <c r="V26" s="505"/>
      <c r="W26" s="505"/>
      <c r="X26" s="505"/>
      <c r="Y26" s="505"/>
      <c r="Z26" s="505"/>
      <c r="AA26" s="505"/>
      <c r="AB26" s="505"/>
      <c r="AC26" s="505"/>
      <c r="AD26" s="640">
        <f t="shared" si="4"/>
        <v>0</v>
      </c>
      <c r="AE26" s="504">
        <f t="shared" si="5"/>
        <v>0</v>
      </c>
      <c r="AF26" s="479" t="str">
        <f t="shared" si="6"/>
        <v>sell</v>
      </c>
    </row>
    <row r="27" spans="1:32" s="361" customFormat="1" hidden="1" x14ac:dyDescent="0.25">
      <c r="A27" s="688" t="s">
        <v>277</v>
      </c>
      <c r="B27" s="500" t="s">
        <v>240</v>
      </c>
      <c r="C27" s="500" t="s">
        <v>151</v>
      </c>
      <c r="D27" s="501">
        <f t="shared" si="3"/>
        <v>-0.25</v>
      </c>
      <c r="E27" s="501"/>
      <c r="F27" s="505"/>
      <c r="G27" s="507"/>
      <c r="H27" s="505"/>
      <c r="I27" s="505"/>
      <c r="J27" s="505"/>
      <c r="K27" s="505"/>
      <c r="L27" s="505"/>
      <c r="M27" s="505"/>
      <c r="N27" s="505"/>
      <c r="O27" s="505"/>
      <c r="P27" s="505">
        <v>0</v>
      </c>
      <c r="Q27" s="505"/>
      <c r="R27" s="505"/>
      <c r="S27" s="505"/>
      <c r="T27" s="505"/>
      <c r="U27" s="505"/>
      <c r="V27" s="505"/>
      <c r="W27" s="505"/>
      <c r="X27" s="505"/>
      <c r="Y27" s="505"/>
      <c r="Z27" s="505"/>
      <c r="AA27" s="505"/>
      <c r="AB27" s="505"/>
      <c r="AC27" s="505"/>
      <c r="AD27" s="640">
        <f t="shared" si="4"/>
        <v>0</v>
      </c>
      <c r="AE27" s="504">
        <f t="shared" si="5"/>
        <v>0</v>
      </c>
      <c r="AF27" s="479" t="str">
        <f t="shared" si="6"/>
        <v>sell</v>
      </c>
    </row>
    <row r="28" spans="1:32" s="361" customFormat="1" hidden="1" x14ac:dyDescent="0.25">
      <c r="A28" s="688" t="s">
        <v>277</v>
      </c>
      <c r="B28" s="500" t="s">
        <v>240</v>
      </c>
      <c r="C28" s="500" t="s">
        <v>151</v>
      </c>
      <c r="D28" s="501">
        <f t="shared" si="3"/>
        <v>-0.25</v>
      </c>
      <c r="E28" s="501"/>
      <c r="F28" s="505"/>
      <c r="G28" s="507"/>
      <c r="H28" s="505"/>
      <c r="I28" s="505"/>
      <c r="J28" s="505"/>
      <c r="K28" s="505"/>
      <c r="L28" s="505"/>
      <c r="M28" s="505"/>
      <c r="N28" s="505"/>
      <c r="O28" s="505"/>
      <c r="P28" s="505"/>
      <c r="Q28" s="505">
        <v>0</v>
      </c>
      <c r="R28" s="505"/>
      <c r="S28" s="505"/>
      <c r="T28" s="505"/>
      <c r="U28" s="505"/>
      <c r="V28" s="505"/>
      <c r="W28" s="505"/>
      <c r="X28" s="505"/>
      <c r="Y28" s="505"/>
      <c r="Z28" s="505"/>
      <c r="AA28" s="505"/>
      <c r="AB28" s="505"/>
      <c r="AC28" s="505"/>
      <c r="AD28" s="640">
        <f t="shared" si="4"/>
        <v>0</v>
      </c>
      <c r="AE28" s="504">
        <f t="shared" si="5"/>
        <v>0</v>
      </c>
      <c r="AF28" s="479" t="str">
        <f t="shared" si="6"/>
        <v>sell</v>
      </c>
    </row>
    <row r="29" spans="1:32" s="361" customFormat="1" hidden="1" x14ac:dyDescent="0.25">
      <c r="A29" s="688" t="s">
        <v>277</v>
      </c>
      <c r="B29" s="500" t="s">
        <v>240</v>
      </c>
      <c r="C29" s="500" t="s">
        <v>151</v>
      </c>
      <c r="D29" s="501">
        <f t="shared" si="3"/>
        <v>-0.25</v>
      </c>
      <c r="E29" s="501"/>
      <c r="F29" s="505"/>
      <c r="G29" s="507"/>
      <c r="H29" s="505"/>
      <c r="I29" s="505"/>
      <c r="J29" s="505"/>
      <c r="K29" s="505"/>
      <c r="L29" s="505"/>
      <c r="M29" s="505"/>
      <c r="N29" s="505"/>
      <c r="O29" s="505"/>
      <c r="P29" s="505"/>
      <c r="Q29" s="505"/>
      <c r="R29" s="505">
        <v>0</v>
      </c>
      <c r="S29" s="505"/>
      <c r="T29" s="505"/>
      <c r="U29" s="505"/>
      <c r="V29" s="505"/>
      <c r="W29" s="505"/>
      <c r="X29" s="505"/>
      <c r="Y29" s="505"/>
      <c r="Z29" s="505"/>
      <c r="AA29" s="505"/>
      <c r="AB29" s="505"/>
      <c r="AC29" s="505"/>
      <c r="AD29" s="640">
        <f t="shared" si="4"/>
        <v>0</v>
      </c>
      <c r="AE29" s="504">
        <f t="shared" si="5"/>
        <v>0</v>
      </c>
      <c r="AF29" s="479" t="str">
        <f t="shared" si="6"/>
        <v>sell</v>
      </c>
    </row>
    <row r="30" spans="1:32" s="361" customFormat="1" hidden="1" x14ac:dyDescent="0.25">
      <c r="A30" s="688" t="s">
        <v>277</v>
      </c>
      <c r="B30" s="500" t="s">
        <v>240</v>
      </c>
      <c r="C30" s="500" t="s">
        <v>151</v>
      </c>
      <c r="D30" s="501">
        <f t="shared" si="3"/>
        <v>-0.25</v>
      </c>
      <c r="E30" s="501"/>
      <c r="F30" s="505"/>
      <c r="G30" s="507"/>
      <c r="H30" s="505"/>
      <c r="I30" s="505"/>
      <c r="J30" s="505"/>
      <c r="K30" s="505"/>
      <c r="L30" s="505"/>
      <c r="M30" s="505"/>
      <c r="N30" s="505"/>
      <c r="O30" s="505"/>
      <c r="P30" s="505"/>
      <c r="Q30" s="505"/>
      <c r="R30" s="505"/>
      <c r="S30" s="505">
        <v>0</v>
      </c>
      <c r="T30" s="505"/>
      <c r="U30" s="505"/>
      <c r="V30" s="505"/>
      <c r="W30" s="505"/>
      <c r="X30" s="505"/>
      <c r="Y30" s="505"/>
      <c r="Z30" s="505"/>
      <c r="AA30" s="505"/>
      <c r="AB30" s="505"/>
      <c r="AC30" s="505"/>
      <c r="AD30" s="640">
        <f t="shared" si="4"/>
        <v>0</v>
      </c>
      <c r="AE30" s="504">
        <f t="shared" si="5"/>
        <v>0</v>
      </c>
      <c r="AF30" s="479" t="str">
        <f t="shared" si="6"/>
        <v>sell</v>
      </c>
    </row>
    <row r="31" spans="1:32" s="361" customFormat="1" hidden="1" x14ac:dyDescent="0.25">
      <c r="A31" s="688" t="s">
        <v>277</v>
      </c>
      <c r="B31" s="500" t="s">
        <v>240</v>
      </c>
      <c r="C31" s="500" t="s">
        <v>151</v>
      </c>
      <c r="D31" s="501">
        <f t="shared" si="3"/>
        <v>-0.25</v>
      </c>
      <c r="E31" s="501"/>
      <c r="F31" s="505"/>
      <c r="G31" s="507"/>
      <c r="H31" s="505"/>
      <c r="I31" s="505"/>
      <c r="J31" s="505"/>
      <c r="K31" s="505"/>
      <c r="L31" s="505"/>
      <c r="M31" s="505"/>
      <c r="N31" s="505"/>
      <c r="O31" s="505"/>
      <c r="P31" s="505"/>
      <c r="Q31" s="505"/>
      <c r="R31" s="505"/>
      <c r="S31" s="505"/>
      <c r="T31" s="505">
        <v>0</v>
      </c>
      <c r="U31" s="505"/>
      <c r="V31" s="505"/>
      <c r="W31" s="505"/>
      <c r="X31" s="505"/>
      <c r="Y31" s="505"/>
      <c r="Z31" s="505"/>
      <c r="AA31" s="505"/>
      <c r="AB31" s="505"/>
      <c r="AC31" s="505"/>
      <c r="AD31" s="640">
        <f t="shared" si="4"/>
        <v>0</v>
      </c>
      <c r="AE31" s="504">
        <f t="shared" si="5"/>
        <v>0</v>
      </c>
      <c r="AF31" s="479" t="str">
        <f t="shared" si="6"/>
        <v>sell</v>
      </c>
    </row>
    <row r="32" spans="1:32" s="361" customFormat="1" hidden="1" x14ac:dyDescent="0.25">
      <c r="A32" s="688" t="s">
        <v>277</v>
      </c>
      <c r="B32" s="500" t="s">
        <v>240</v>
      </c>
      <c r="C32" s="500" t="s">
        <v>151</v>
      </c>
      <c r="D32" s="501">
        <f t="shared" si="3"/>
        <v>-0.25</v>
      </c>
      <c r="E32" s="501"/>
      <c r="F32" s="505"/>
      <c r="G32" s="507"/>
      <c r="H32" s="505"/>
      <c r="I32" s="505"/>
      <c r="J32" s="505"/>
      <c r="K32" s="505"/>
      <c r="L32" s="505"/>
      <c r="M32" s="505"/>
      <c r="N32" s="505"/>
      <c r="O32" s="505"/>
      <c r="P32" s="505"/>
      <c r="Q32" s="505"/>
      <c r="R32" s="505"/>
      <c r="S32" s="505"/>
      <c r="T32" s="505"/>
      <c r="U32" s="505">
        <v>0</v>
      </c>
      <c r="V32" s="505"/>
      <c r="W32" s="505"/>
      <c r="X32" s="505"/>
      <c r="Y32" s="505"/>
      <c r="Z32" s="505"/>
      <c r="AA32" s="505"/>
      <c r="AB32" s="505"/>
      <c r="AC32" s="505"/>
      <c r="AD32" s="640">
        <f t="shared" si="4"/>
        <v>0</v>
      </c>
      <c r="AE32" s="504">
        <f t="shared" si="5"/>
        <v>0</v>
      </c>
      <c r="AF32" s="479" t="str">
        <f t="shared" si="6"/>
        <v>sell</v>
      </c>
    </row>
    <row r="33" spans="1:32" s="361" customFormat="1" hidden="1" x14ac:dyDescent="0.25">
      <c r="A33" s="688" t="s">
        <v>277</v>
      </c>
      <c r="B33" s="500" t="s">
        <v>240</v>
      </c>
      <c r="C33" s="500" t="s">
        <v>151</v>
      </c>
      <c r="D33" s="501">
        <f t="shared" si="3"/>
        <v>-0.25</v>
      </c>
      <c r="E33" s="501"/>
      <c r="F33" s="505"/>
      <c r="G33" s="507"/>
      <c r="H33" s="505"/>
      <c r="I33" s="505"/>
      <c r="J33" s="505"/>
      <c r="K33" s="505"/>
      <c r="L33" s="505"/>
      <c r="M33" s="505"/>
      <c r="N33" s="505"/>
      <c r="O33" s="505"/>
      <c r="P33" s="505"/>
      <c r="Q33" s="505"/>
      <c r="R33" s="505"/>
      <c r="S33" s="505"/>
      <c r="T33" s="505"/>
      <c r="U33" s="505"/>
      <c r="V33" s="505">
        <v>0</v>
      </c>
      <c r="W33" s="505"/>
      <c r="X33" s="505"/>
      <c r="Y33" s="505"/>
      <c r="Z33" s="505"/>
      <c r="AA33" s="706"/>
      <c r="AB33" s="505"/>
      <c r="AC33" s="505"/>
      <c r="AD33" s="640">
        <f t="shared" si="4"/>
        <v>0</v>
      </c>
      <c r="AE33" s="504">
        <f t="shared" si="5"/>
        <v>0</v>
      </c>
      <c r="AF33" s="479" t="str">
        <f t="shared" si="6"/>
        <v>sell</v>
      </c>
    </row>
    <row r="34" spans="1:32" s="361" customFormat="1" hidden="1" x14ac:dyDescent="0.25">
      <c r="A34" s="688" t="s">
        <v>277</v>
      </c>
      <c r="B34" s="500" t="s">
        <v>240</v>
      </c>
      <c r="C34" s="500" t="s">
        <v>151</v>
      </c>
      <c r="D34" s="501">
        <f t="shared" si="3"/>
        <v>-0.25</v>
      </c>
      <c r="E34" s="501"/>
      <c r="F34" s="505"/>
      <c r="G34" s="507"/>
      <c r="H34" s="505"/>
      <c r="I34" s="505"/>
      <c r="J34" s="505"/>
      <c r="K34" s="505"/>
      <c r="L34" s="505"/>
      <c r="M34" s="505"/>
      <c r="N34" s="505"/>
      <c r="O34" s="505"/>
      <c r="P34" s="505"/>
      <c r="Q34" s="505"/>
      <c r="R34" s="505"/>
      <c r="S34" s="505"/>
      <c r="T34" s="505"/>
      <c r="U34" s="505"/>
      <c r="V34" s="505"/>
      <c r="W34" s="505">
        <v>0</v>
      </c>
      <c r="X34" s="505"/>
      <c r="Y34" s="505"/>
      <c r="Z34" s="505"/>
      <c r="AA34" s="505"/>
      <c r="AB34" s="505"/>
      <c r="AC34" s="505"/>
      <c r="AD34" s="640">
        <f t="shared" si="4"/>
        <v>0</v>
      </c>
      <c r="AE34" s="504">
        <f t="shared" si="5"/>
        <v>0</v>
      </c>
      <c r="AF34" s="479" t="str">
        <f t="shared" si="6"/>
        <v>sell</v>
      </c>
    </row>
    <row r="35" spans="1:32" s="361" customFormat="1" hidden="1" x14ac:dyDescent="0.25">
      <c r="A35" s="688" t="s">
        <v>277</v>
      </c>
      <c r="B35" s="500" t="s">
        <v>240</v>
      </c>
      <c r="C35" s="500" t="s">
        <v>151</v>
      </c>
      <c r="D35" s="501">
        <f t="shared" si="3"/>
        <v>-0.25</v>
      </c>
      <c r="E35" s="501"/>
      <c r="F35" s="505"/>
      <c r="G35" s="507"/>
      <c r="H35" s="505"/>
      <c r="I35" s="505"/>
      <c r="J35" s="505"/>
      <c r="K35" s="505"/>
      <c r="L35" s="505"/>
      <c r="M35" s="505"/>
      <c r="N35" s="505"/>
      <c r="O35" s="505"/>
      <c r="P35" s="505"/>
      <c r="Q35" s="505"/>
      <c r="R35" s="505"/>
      <c r="S35" s="505"/>
      <c r="T35" s="505"/>
      <c r="U35" s="505"/>
      <c r="V35" s="505"/>
      <c r="W35" s="505"/>
      <c r="X35" s="505">
        <v>0</v>
      </c>
      <c r="Y35" s="505"/>
      <c r="Z35" s="505"/>
      <c r="AA35" s="505"/>
      <c r="AB35" s="505"/>
      <c r="AC35" s="505"/>
      <c r="AD35" s="640">
        <f t="shared" si="4"/>
        <v>0</v>
      </c>
      <c r="AE35" s="504">
        <f t="shared" si="5"/>
        <v>0</v>
      </c>
      <c r="AF35" s="479" t="str">
        <f t="shared" si="6"/>
        <v>sell</v>
      </c>
    </row>
    <row r="36" spans="1:32" s="361" customFormat="1" hidden="1" x14ac:dyDescent="0.25">
      <c r="A36" s="688" t="s">
        <v>277</v>
      </c>
      <c r="B36" s="500" t="s">
        <v>240</v>
      </c>
      <c r="C36" s="500" t="s">
        <v>151</v>
      </c>
      <c r="D36" s="501">
        <f t="shared" si="3"/>
        <v>-0.25</v>
      </c>
      <c r="E36" s="501"/>
      <c r="F36" s="505"/>
      <c r="G36" s="507"/>
      <c r="H36" s="505"/>
      <c r="I36" s="505"/>
      <c r="J36" s="505"/>
      <c r="K36" s="505"/>
      <c r="L36" s="505"/>
      <c r="M36" s="505"/>
      <c r="N36" s="505"/>
      <c r="O36" s="505"/>
      <c r="P36" s="505"/>
      <c r="Q36" s="505"/>
      <c r="R36" s="505"/>
      <c r="S36" s="505"/>
      <c r="T36" s="505"/>
      <c r="U36" s="505"/>
      <c r="V36" s="505"/>
      <c r="W36" s="505"/>
      <c r="X36" s="505"/>
      <c r="Y36" s="505">
        <v>0</v>
      </c>
      <c r="Z36" s="505"/>
      <c r="AA36" s="505"/>
      <c r="AB36" s="505"/>
      <c r="AC36" s="505"/>
      <c r="AD36" s="640">
        <f t="shared" si="4"/>
        <v>0</v>
      </c>
      <c r="AE36" s="504">
        <f t="shared" si="5"/>
        <v>0</v>
      </c>
      <c r="AF36" s="479" t="str">
        <f t="shared" si="6"/>
        <v>sell</v>
      </c>
    </row>
    <row r="37" spans="1:32" s="361" customFormat="1" hidden="1" x14ac:dyDescent="0.25">
      <c r="A37" s="688" t="s">
        <v>277</v>
      </c>
      <c r="B37" s="500" t="s">
        <v>240</v>
      </c>
      <c r="C37" s="500" t="s">
        <v>151</v>
      </c>
      <c r="D37" s="501">
        <f t="shared" si="3"/>
        <v>-0.25</v>
      </c>
      <c r="E37" s="501"/>
      <c r="F37" s="505"/>
      <c r="G37" s="507"/>
      <c r="H37" s="505"/>
      <c r="I37" s="505"/>
      <c r="J37" s="505"/>
      <c r="K37" s="505"/>
      <c r="L37" s="505"/>
      <c r="M37" s="505"/>
      <c r="N37" s="505"/>
      <c r="O37" s="505"/>
      <c r="P37" s="505"/>
      <c r="Q37" s="505"/>
      <c r="R37" s="505"/>
      <c r="S37" s="505"/>
      <c r="T37" s="505"/>
      <c r="U37" s="505"/>
      <c r="V37" s="505"/>
      <c r="W37" s="505"/>
      <c r="X37" s="505"/>
      <c r="Y37" s="505"/>
      <c r="Z37" s="505">
        <v>0</v>
      </c>
      <c r="AA37" s="505"/>
      <c r="AB37" s="505"/>
      <c r="AC37" s="505"/>
      <c r="AD37" s="640">
        <f t="shared" si="4"/>
        <v>0</v>
      </c>
      <c r="AE37" s="504">
        <f t="shared" si="5"/>
        <v>0</v>
      </c>
      <c r="AF37" s="479" t="str">
        <f t="shared" si="6"/>
        <v>sell</v>
      </c>
    </row>
    <row r="38" spans="1:32" s="361" customFormat="1" hidden="1" x14ac:dyDescent="0.25">
      <c r="A38" s="688" t="s">
        <v>277</v>
      </c>
      <c r="B38" s="500" t="s">
        <v>240</v>
      </c>
      <c r="C38" s="500" t="s">
        <v>151</v>
      </c>
      <c r="D38" s="501">
        <f t="shared" si="3"/>
        <v>-0.25</v>
      </c>
      <c r="E38" s="501"/>
      <c r="F38" s="505"/>
      <c r="G38" s="507"/>
      <c r="H38" s="505"/>
      <c r="I38" s="505"/>
      <c r="J38" s="505"/>
      <c r="K38" s="505"/>
      <c r="L38" s="505"/>
      <c r="M38" s="505"/>
      <c r="N38" s="505"/>
      <c r="O38" s="505"/>
      <c r="P38" s="505"/>
      <c r="Q38" s="505"/>
      <c r="R38" s="505"/>
      <c r="S38" s="505"/>
      <c r="T38" s="505"/>
      <c r="U38" s="505"/>
      <c r="V38" s="505"/>
      <c r="W38" s="505"/>
      <c r="X38" s="505"/>
      <c r="Y38" s="505"/>
      <c r="Z38" s="505"/>
      <c r="AA38" s="505">
        <v>0</v>
      </c>
      <c r="AB38" s="505"/>
      <c r="AC38" s="505"/>
      <c r="AD38" s="640">
        <f t="shared" si="4"/>
        <v>0</v>
      </c>
      <c r="AE38" s="504">
        <f t="shared" si="5"/>
        <v>0</v>
      </c>
      <c r="AF38" s="479" t="str">
        <f t="shared" si="6"/>
        <v>sell</v>
      </c>
    </row>
    <row r="39" spans="1:32" s="361" customFormat="1" hidden="1" x14ac:dyDescent="0.25">
      <c r="A39" s="688" t="s">
        <v>277</v>
      </c>
      <c r="B39" s="500" t="s">
        <v>240</v>
      </c>
      <c r="C39" s="500" t="s">
        <v>151</v>
      </c>
      <c r="D39" s="501">
        <f t="shared" si="3"/>
        <v>-0.25</v>
      </c>
      <c r="E39" s="501"/>
      <c r="F39" s="505"/>
      <c r="G39" s="507"/>
      <c r="H39" s="505"/>
      <c r="I39" s="505"/>
      <c r="J39" s="505"/>
      <c r="K39" s="505"/>
      <c r="L39" s="505"/>
      <c r="M39" s="505"/>
      <c r="N39" s="505"/>
      <c r="O39" s="505"/>
      <c r="P39" s="505"/>
      <c r="Q39" s="505"/>
      <c r="R39" s="505"/>
      <c r="S39" s="505"/>
      <c r="T39" s="505"/>
      <c r="U39" s="505"/>
      <c r="V39" s="505"/>
      <c r="W39" s="505"/>
      <c r="X39" s="505"/>
      <c r="Y39" s="505"/>
      <c r="Z39" s="505"/>
      <c r="AA39" s="505"/>
      <c r="AB39" s="505">
        <v>0</v>
      </c>
      <c r="AC39" s="505"/>
      <c r="AD39" s="640">
        <f t="shared" si="4"/>
        <v>0</v>
      </c>
      <c r="AE39" s="504">
        <f t="shared" si="5"/>
        <v>0</v>
      </c>
      <c r="AF39" s="479" t="str">
        <f t="shared" si="6"/>
        <v>sell</v>
      </c>
    </row>
    <row r="40" spans="1:32" s="361" customFormat="1" hidden="1" x14ac:dyDescent="0.25">
      <c r="A40" s="688" t="s">
        <v>277</v>
      </c>
      <c r="B40" s="500" t="s">
        <v>240</v>
      </c>
      <c r="C40" s="500" t="s">
        <v>151</v>
      </c>
      <c r="D40" s="501">
        <f t="shared" si="3"/>
        <v>-0.25</v>
      </c>
      <c r="E40" s="501"/>
      <c r="F40" s="505"/>
      <c r="G40" s="507"/>
      <c r="H40" s="505"/>
      <c r="I40" s="505"/>
      <c r="J40" s="505"/>
      <c r="K40" s="505"/>
      <c r="L40" s="505"/>
      <c r="M40" s="505"/>
      <c r="N40" s="505"/>
      <c r="O40" s="505"/>
      <c r="P40" s="505"/>
      <c r="Q40" s="505"/>
      <c r="R40" s="505"/>
      <c r="S40" s="505"/>
      <c r="T40" s="505"/>
      <c r="U40" s="505"/>
      <c r="V40" s="505"/>
      <c r="W40" s="505"/>
      <c r="X40" s="505"/>
      <c r="Y40" s="505"/>
      <c r="Z40" s="505"/>
      <c r="AA40" s="505"/>
      <c r="AB40" s="505"/>
      <c r="AC40" s="505">
        <v>0</v>
      </c>
      <c r="AD40" s="640">
        <f t="shared" si="4"/>
        <v>0</v>
      </c>
      <c r="AE40" s="504">
        <f t="shared" si="5"/>
        <v>0</v>
      </c>
      <c r="AF40" s="479" t="str">
        <f t="shared" si="6"/>
        <v>sell</v>
      </c>
    </row>
    <row r="41" spans="1:32" s="361" customFormat="1" hidden="1" x14ac:dyDescent="0.25">
      <c r="A41" s="688"/>
      <c r="B41" s="500"/>
      <c r="C41" s="500"/>
      <c r="D41" s="501"/>
      <c r="E41" s="501"/>
      <c r="F41" s="505"/>
      <c r="G41" s="507"/>
      <c r="H41" s="505"/>
      <c r="I41" s="505"/>
      <c r="J41" s="505"/>
      <c r="K41" s="505"/>
      <c r="L41" s="505"/>
      <c r="M41" s="505"/>
      <c r="N41" s="505"/>
      <c r="O41" s="505"/>
      <c r="P41" s="505"/>
      <c r="Q41" s="505"/>
      <c r="R41" s="505"/>
      <c r="S41" s="505"/>
      <c r="T41" s="505"/>
      <c r="U41" s="505"/>
      <c r="V41" s="505"/>
      <c r="W41" s="505"/>
      <c r="X41" s="505"/>
      <c r="Y41" s="505"/>
      <c r="Z41" s="505"/>
      <c r="AA41" s="505"/>
      <c r="AB41" s="505"/>
      <c r="AC41" s="505"/>
      <c r="AD41" s="640">
        <f t="shared" si="4"/>
        <v>0</v>
      </c>
      <c r="AE41" s="504">
        <f t="shared" si="5"/>
        <v>0</v>
      </c>
      <c r="AF41" s="479"/>
    </row>
    <row r="42" spans="1:32" s="361" customFormat="1" hidden="1" x14ac:dyDescent="0.25">
      <c r="A42" s="688" t="s">
        <v>277</v>
      </c>
      <c r="B42" s="500" t="s">
        <v>240</v>
      </c>
      <c r="C42" s="500" t="s">
        <v>278</v>
      </c>
      <c r="D42" s="501">
        <f t="shared" ref="D42:D64" si="7">F128</f>
        <v>-0.25</v>
      </c>
      <c r="E42" s="501"/>
      <c r="F42" s="505">
        <v>0</v>
      </c>
      <c r="G42" s="505"/>
      <c r="H42" s="505"/>
      <c r="I42" s="505"/>
      <c r="J42" s="505"/>
      <c r="K42" s="505"/>
      <c r="L42" s="505"/>
      <c r="M42" s="505"/>
      <c r="N42" s="505"/>
      <c r="O42" s="505"/>
      <c r="P42" s="505"/>
      <c r="Q42" s="505"/>
      <c r="R42" s="505"/>
      <c r="S42" s="505"/>
      <c r="T42" s="505"/>
      <c r="U42" s="505"/>
      <c r="V42" s="505"/>
      <c r="W42" s="505"/>
      <c r="X42" s="505"/>
      <c r="Y42" s="505"/>
      <c r="Z42" s="505"/>
      <c r="AA42" s="505"/>
      <c r="AB42" s="505"/>
      <c r="AC42" s="505"/>
      <c r="AD42" s="640">
        <f t="shared" si="4"/>
        <v>0</v>
      </c>
      <c r="AE42" s="504">
        <f t="shared" si="5"/>
        <v>0</v>
      </c>
      <c r="AF42" s="479" t="str">
        <f>IF(AD42&lt;0,"buy","sell")</f>
        <v>sell</v>
      </c>
    </row>
    <row r="43" spans="1:32" s="361" customFormat="1" hidden="1" x14ac:dyDescent="0.25">
      <c r="A43" s="688" t="s">
        <v>277</v>
      </c>
      <c r="B43" s="500" t="s">
        <v>240</v>
      </c>
      <c r="C43" s="500" t="s">
        <v>278</v>
      </c>
      <c r="D43" s="501">
        <f t="shared" si="7"/>
        <v>-0.25</v>
      </c>
      <c r="E43" s="501"/>
      <c r="F43" s="505"/>
      <c r="G43" s="505">
        <v>0</v>
      </c>
      <c r="H43" s="505"/>
      <c r="I43" s="505"/>
      <c r="J43" s="505"/>
      <c r="K43" s="505"/>
      <c r="L43" s="505"/>
      <c r="M43" s="505"/>
      <c r="N43" s="505"/>
      <c r="O43" s="505"/>
      <c r="P43" s="505"/>
      <c r="Q43" s="505"/>
      <c r="R43" s="505"/>
      <c r="S43" s="505"/>
      <c r="T43" s="505"/>
      <c r="U43" s="505"/>
      <c r="V43" s="505"/>
      <c r="W43" s="505"/>
      <c r="X43" s="505"/>
      <c r="Y43" s="505"/>
      <c r="Z43" s="505"/>
      <c r="AA43" s="505"/>
      <c r="AB43" s="505"/>
      <c r="AC43" s="505"/>
      <c r="AD43" s="640">
        <f t="shared" si="4"/>
        <v>0</v>
      </c>
      <c r="AE43" s="504">
        <f t="shared" si="5"/>
        <v>0</v>
      </c>
      <c r="AF43" s="479" t="str">
        <f t="shared" ref="AF43:AF65" si="8">IF(AD43&lt;0,"buy","sell")</f>
        <v>sell</v>
      </c>
    </row>
    <row r="44" spans="1:32" s="361" customFormat="1" hidden="1" x14ac:dyDescent="0.25">
      <c r="A44" s="688" t="s">
        <v>277</v>
      </c>
      <c r="B44" s="500" t="s">
        <v>240</v>
      </c>
      <c r="C44" s="500" t="s">
        <v>278</v>
      </c>
      <c r="D44" s="501">
        <f t="shared" si="7"/>
        <v>-0.25</v>
      </c>
      <c r="E44" s="501"/>
      <c r="F44" s="505"/>
      <c r="G44" s="505"/>
      <c r="H44" s="505">
        <v>0</v>
      </c>
      <c r="I44" s="505"/>
      <c r="J44" s="505"/>
      <c r="K44" s="505"/>
      <c r="L44" s="505"/>
      <c r="M44" s="505"/>
      <c r="N44" s="505"/>
      <c r="O44" s="505"/>
      <c r="P44" s="505"/>
      <c r="Q44" s="505"/>
      <c r="R44" s="505"/>
      <c r="S44" s="505"/>
      <c r="T44" s="505"/>
      <c r="U44" s="505"/>
      <c r="V44" s="505"/>
      <c r="W44" s="505"/>
      <c r="X44" s="505"/>
      <c r="Y44" s="505"/>
      <c r="Z44" s="505"/>
      <c r="AA44" s="505"/>
      <c r="AB44" s="505"/>
      <c r="AC44" s="505"/>
      <c r="AD44" s="640">
        <f t="shared" si="4"/>
        <v>0</v>
      </c>
      <c r="AE44" s="504">
        <f t="shared" si="5"/>
        <v>0</v>
      </c>
      <c r="AF44" s="479" t="str">
        <f t="shared" si="8"/>
        <v>sell</v>
      </c>
    </row>
    <row r="45" spans="1:32" s="361" customFormat="1" hidden="1" x14ac:dyDescent="0.25">
      <c r="A45" s="688" t="s">
        <v>277</v>
      </c>
      <c r="B45" s="500" t="s">
        <v>240</v>
      </c>
      <c r="C45" s="500" t="s">
        <v>278</v>
      </c>
      <c r="D45" s="501">
        <f t="shared" si="7"/>
        <v>-0.25</v>
      </c>
      <c r="E45" s="501"/>
      <c r="F45" s="505"/>
      <c r="G45" s="505"/>
      <c r="H45" s="505"/>
      <c r="I45" s="505">
        <v>0</v>
      </c>
      <c r="J45" s="505"/>
      <c r="K45" s="505"/>
      <c r="L45" s="505"/>
      <c r="M45" s="505"/>
      <c r="N45" s="505"/>
      <c r="O45" s="505"/>
      <c r="P45" s="505"/>
      <c r="Q45" s="505"/>
      <c r="R45" s="505"/>
      <c r="S45" s="505"/>
      <c r="T45" s="505"/>
      <c r="U45" s="505"/>
      <c r="V45" s="505"/>
      <c r="W45" s="505"/>
      <c r="X45" s="505"/>
      <c r="Y45" s="505"/>
      <c r="Z45" s="505"/>
      <c r="AA45" s="505"/>
      <c r="AB45" s="505"/>
      <c r="AC45" s="505"/>
      <c r="AD45" s="640">
        <f t="shared" si="4"/>
        <v>0</v>
      </c>
      <c r="AE45" s="504">
        <f t="shared" si="5"/>
        <v>0</v>
      </c>
      <c r="AF45" s="479" t="str">
        <f t="shared" si="8"/>
        <v>sell</v>
      </c>
    </row>
    <row r="46" spans="1:32" s="361" customFormat="1" hidden="1" x14ac:dyDescent="0.25">
      <c r="A46" s="688" t="s">
        <v>277</v>
      </c>
      <c r="B46" s="500" t="s">
        <v>240</v>
      </c>
      <c r="C46" s="500" t="s">
        <v>278</v>
      </c>
      <c r="D46" s="501">
        <f t="shared" si="7"/>
        <v>-0.25</v>
      </c>
      <c r="E46" s="501"/>
      <c r="F46" s="505"/>
      <c r="G46" s="505"/>
      <c r="H46" s="505"/>
      <c r="I46" s="505"/>
      <c r="J46" s="505">
        <v>0</v>
      </c>
      <c r="K46" s="505"/>
      <c r="L46" s="505"/>
      <c r="M46" s="505"/>
      <c r="N46" s="505"/>
      <c r="O46" s="505"/>
      <c r="P46" s="505"/>
      <c r="Q46" s="505"/>
      <c r="R46" s="505"/>
      <c r="S46" s="505"/>
      <c r="T46" s="505"/>
      <c r="U46" s="505"/>
      <c r="V46" s="505"/>
      <c r="W46" s="505"/>
      <c r="X46" s="505"/>
      <c r="Y46" s="505"/>
      <c r="Z46" s="505"/>
      <c r="AA46" s="505"/>
      <c r="AB46" s="505"/>
      <c r="AC46" s="505"/>
      <c r="AD46" s="640">
        <f t="shared" si="4"/>
        <v>0</v>
      </c>
      <c r="AE46" s="504">
        <f t="shared" si="5"/>
        <v>0</v>
      </c>
      <c r="AF46" s="479" t="str">
        <f t="shared" si="8"/>
        <v>sell</v>
      </c>
    </row>
    <row r="47" spans="1:32" s="361" customFormat="1" hidden="1" x14ac:dyDescent="0.25">
      <c r="A47" s="688" t="s">
        <v>277</v>
      </c>
      <c r="B47" s="500" t="s">
        <v>240</v>
      </c>
      <c r="C47" s="500" t="s">
        <v>278</v>
      </c>
      <c r="D47" s="501">
        <f t="shared" si="7"/>
        <v>-0.25</v>
      </c>
      <c r="E47" s="501"/>
      <c r="F47" s="505"/>
      <c r="G47" s="505"/>
      <c r="H47" s="505"/>
      <c r="I47" s="505"/>
      <c r="J47" s="505"/>
      <c r="K47" s="505">
        <v>0</v>
      </c>
      <c r="L47" s="505"/>
      <c r="M47" s="505"/>
      <c r="N47" s="505"/>
      <c r="O47" s="505"/>
      <c r="P47" s="505"/>
      <c r="Q47" s="505"/>
      <c r="R47" s="505"/>
      <c r="S47" s="505"/>
      <c r="T47" s="505"/>
      <c r="U47" s="505"/>
      <c r="V47" s="505"/>
      <c r="W47" s="505"/>
      <c r="X47" s="505"/>
      <c r="Y47" s="505"/>
      <c r="Z47" s="505"/>
      <c r="AA47" s="505"/>
      <c r="AB47" s="505"/>
      <c r="AC47" s="505"/>
      <c r="AD47" s="640">
        <f t="shared" si="4"/>
        <v>0</v>
      </c>
      <c r="AE47" s="504">
        <f t="shared" si="5"/>
        <v>0</v>
      </c>
      <c r="AF47" s="479" t="str">
        <f t="shared" si="8"/>
        <v>sell</v>
      </c>
    </row>
    <row r="48" spans="1:32" s="361" customFormat="1" hidden="1" x14ac:dyDescent="0.25">
      <c r="A48" s="688" t="s">
        <v>277</v>
      </c>
      <c r="B48" s="500" t="s">
        <v>240</v>
      </c>
      <c r="C48" s="500" t="s">
        <v>278</v>
      </c>
      <c r="D48" s="501">
        <f t="shared" si="7"/>
        <v>-0.25</v>
      </c>
      <c r="E48" s="501"/>
      <c r="F48" s="505"/>
      <c r="G48" s="505"/>
      <c r="H48" s="505"/>
      <c r="I48" s="505"/>
      <c r="J48" s="505"/>
      <c r="K48" s="505"/>
      <c r="L48" s="505">
        <v>0</v>
      </c>
      <c r="M48" s="505"/>
      <c r="N48" s="505"/>
      <c r="O48" s="505"/>
      <c r="P48" s="505"/>
      <c r="Q48" s="505"/>
      <c r="R48" s="505"/>
      <c r="S48" s="505"/>
      <c r="T48" s="505"/>
      <c r="U48" s="505"/>
      <c r="V48" s="505"/>
      <c r="W48" s="505"/>
      <c r="X48" s="505"/>
      <c r="Y48" s="505"/>
      <c r="Z48" s="505"/>
      <c r="AA48" s="505"/>
      <c r="AB48" s="505"/>
      <c r="AC48" s="505"/>
      <c r="AD48" s="640">
        <f t="shared" si="4"/>
        <v>0</v>
      </c>
      <c r="AE48" s="504">
        <f t="shared" si="5"/>
        <v>0</v>
      </c>
      <c r="AF48" s="479" t="str">
        <f t="shared" si="8"/>
        <v>sell</v>
      </c>
    </row>
    <row r="49" spans="1:32" s="361" customFormat="1" hidden="1" x14ac:dyDescent="0.25">
      <c r="A49" s="688" t="s">
        <v>277</v>
      </c>
      <c r="B49" s="500" t="s">
        <v>240</v>
      </c>
      <c r="C49" s="500" t="s">
        <v>278</v>
      </c>
      <c r="D49" s="501">
        <f t="shared" si="7"/>
        <v>-0.25</v>
      </c>
      <c r="E49" s="501"/>
      <c r="F49" s="505"/>
      <c r="G49" s="505"/>
      <c r="H49" s="505"/>
      <c r="I49" s="505"/>
      <c r="J49" s="505"/>
      <c r="K49" s="505"/>
      <c r="L49" s="505"/>
      <c r="M49" s="505">
        <v>0</v>
      </c>
      <c r="N49" s="505"/>
      <c r="O49" s="505"/>
      <c r="P49" s="505"/>
      <c r="Q49" s="505"/>
      <c r="R49" s="505"/>
      <c r="S49" s="505"/>
      <c r="T49" s="505"/>
      <c r="U49" s="505"/>
      <c r="V49" s="505"/>
      <c r="W49" s="505"/>
      <c r="X49" s="505"/>
      <c r="Y49" s="505"/>
      <c r="Z49" s="505"/>
      <c r="AA49" s="505"/>
      <c r="AB49" s="505"/>
      <c r="AC49" s="505"/>
      <c r="AD49" s="640">
        <f t="shared" si="4"/>
        <v>0</v>
      </c>
      <c r="AE49" s="504">
        <f t="shared" si="5"/>
        <v>0</v>
      </c>
      <c r="AF49" s="479" t="str">
        <f t="shared" si="8"/>
        <v>sell</v>
      </c>
    </row>
    <row r="50" spans="1:32" s="361" customFormat="1" hidden="1" x14ac:dyDescent="0.25">
      <c r="A50" s="688" t="s">
        <v>277</v>
      </c>
      <c r="B50" s="500" t="s">
        <v>240</v>
      </c>
      <c r="C50" s="500" t="s">
        <v>278</v>
      </c>
      <c r="D50" s="501">
        <f t="shared" si="7"/>
        <v>-0.25</v>
      </c>
      <c r="E50" s="501"/>
      <c r="F50" s="505"/>
      <c r="G50" s="505"/>
      <c r="H50" s="505"/>
      <c r="I50" s="505"/>
      <c r="J50" s="505"/>
      <c r="K50" s="505"/>
      <c r="L50" s="505"/>
      <c r="M50" s="505"/>
      <c r="N50" s="505">
        <v>0</v>
      </c>
      <c r="O50" s="505"/>
      <c r="P50" s="505"/>
      <c r="Q50" s="505"/>
      <c r="R50" s="505"/>
      <c r="S50" s="505"/>
      <c r="T50" s="505"/>
      <c r="U50" s="505"/>
      <c r="V50" s="505"/>
      <c r="W50" s="505"/>
      <c r="X50" s="505"/>
      <c r="Y50" s="505"/>
      <c r="Z50" s="505"/>
      <c r="AA50" s="505"/>
      <c r="AB50" s="505"/>
      <c r="AC50" s="505"/>
      <c r="AD50" s="640">
        <f t="shared" si="4"/>
        <v>0</v>
      </c>
      <c r="AE50" s="504">
        <f t="shared" si="5"/>
        <v>0</v>
      </c>
      <c r="AF50" s="479" t="str">
        <f t="shared" si="8"/>
        <v>sell</v>
      </c>
    </row>
    <row r="51" spans="1:32" s="361" customFormat="1" hidden="1" x14ac:dyDescent="0.25">
      <c r="A51" s="688" t="s">
        <v>277</v>
      </c>
      <c r="B51" s="500" t="s">
        <v>240</v>
      </c>
      <c r="C51" s="500" t="s">
        <v>278</v>
      </c>
      <c r="D51" s="501">
        <f t="shared" si="7"/>
        <v>-0.25</v>
      </c>
      <c r="E51" s="501"/>
      <c r="F51" s="505"/>
      <c r="G51" s="505"/>
      <c r="H51" s="505"/>
      <c r="I51" s="505"/>
      <c r="J51" s="505"/>
      <c r="K51" s="505"/>
      <c r="L51" s="505"/>
      <c r="M51" s="505"/>
      <c r="N51" s="505"/>
      <c r="O51" s="505">
        <v>0</v>
      </c>
      <c r="P51" s="505"/>
      <c r="Q51" s="505"/>
      <c r="R51" s="505"/>
      <c r="S51" s="505"/>
      <c r="T51" s="505"/>
      <c r="U51" s="505"/>
      <c r="V51" s="505"/>
      <c r="W51" s="505"/>
      <c r="X51" s="505"/>
      <c r="Y51" s="505"/>
      <c r="Z51" s="505"/>
      <c r="AA51" s="505"/>
      <c r="AB51" s="505"/>
      <c r="AC51" s="505"/>
      <c r="AD51" s="640">
        <f t="shared" si="4"/>
        <v>0</v>
      </c>
      <c r="AE51" s="504">
        <f t="shared" si="5"/>
        <v>0</v>
      </c>
      <c r="AF51" s="479" t="str">
        <f t="shared" si="8"/>
        <v>sell</v>
      </c>
    </row>
    <row r="52" spans="1:32" s="361" customFormat="1" hidden="1" x14ac:dyDescent="0.25">
      <c r="A52" s="688" t="s">
        <v>277</v>
      </c>
      <c r="B52" s="500" t="s">
        <v>240</v>
      </c>
      <c r="C52" s="500" t="s">
        <v>278</v>
      </c>
      <c r="D52" s="501">
        <f t="shared" si="7"/>
        <v>-0.25</v>
      </c>
      <c r="E52" s="501"/>
      <c r="F52" s="505"/>
      <c r="G52" s="505"/>
      <c r="H52" s="505"/>
      <c r="I52" s="505"/>
      <c r="J52" s="505"/>
      <c r="K52" s="505"/>
      <c r="L52" s="505"/>
      <c r="M52" s="505"/>
      <c r="N52" s="505"/>
      <c r="O52" s="505"/>
      <c r="P52" s="505">
        <v>0</v>
      </c>
      <c r="Q52" s="505"/>
      <c r="R52" s="505"/>
      <c r="S52" s="505"/>
      <c r="T52" s="505"/>
      <c r="U52" s="505"/>
      <c r="V52" s="505"/>
      <c r="W52" s="505"/>
      <c r="X52" s="505"/>
      <c r="Y52" s="505"/>
      <c r="Z52" s="505"/>
      <c r="AA52" s="505"/>
      <c r="AB52" s="505"/>
      <c r="AC52" s="505"/>
      <c r="AD52" s="640">
        <f t="shared" si="4"/>
        <v>0</v>
      </c>
      <c r="AE52" s="504">
        <f t="shared" si="5"/>
        <v>0</v>
      </c>
      <c r="AF52" s="479" t="str">
        <f t="shared" si="8"/>
        <v>sell</v>
      </c>
    </row>
    <row r="53" spans="1:32" s="361" customFormat="1" hidden="1" x14ac:dyDescent="0.25">
      <c r="A53" s="688" t="s">
        <v>277</v>
      </c>
      <c r="B53" s="500" t="s">
        <v>240</v>
      </c>
      <c r="C53" s="500" t="s">
        <v>278</v>
      </c>
      <c r="D53" s="501">
        <f t="shared" si="7"/>
        <v>-0.25</v>
      </c>
      <c r="E53" s="501"/>
      <c r="F53" s="505"/>
      <c r="G53" s="505"/>
      <c r="H53" s="505"/>
      <c r="I53" s="505"/>
      <c r="J53" s="505"/>
      <c r="K53" s="505"/>
      <c r="L53" s="505"/>
      <c r="M53" s="505"/>
      <c r="N53" s="505"/>
      <c r="O53" s="505"/>
      <c r="P53" s="505"/>
      <c r="Q53" s="505">
        <v>0</v>
      </c>
      <c r="R53" s="505"/>
      <c r="S53" s="505"/>
      <c r="T53" s="505"/>
      <c r="U53" s="505"/>
      <c r="V53" s="505"/>
      <c r="W53" s="505"/>
      <c r="X53" s="505"/>
      <c r="Y53" s="505"/>
      <c r="Z53" s="505"/>
      <c r="AA53" s="505"/>
      <c r="AB53" s="505"/>
      <c r="AC53" s="505"/>
      <c r="AD53" s="640">
        <f t="shared" si="4"/>
        <v>0</v>
      </c>
      <c r="AE53" s="504">
        <f t="shared" si="5"/>
        <v>0</v>
      </c>
      <c r="AF53" s="479" t="str">
        <f t="shared" si="8"/>
        <v>sell</v>
      </c>
    </row>
    <row r="54" spans="1:32" s="361" customFormat="1" hidden="1" x14ac:dyDescent="0.25">
      <c r="A54" s="688" t="s">
        <v>277</v>
      </c>
      <c r="B54" s="500" t="s">
        <v>240</v>
      </c>
      <c r="C54" s="500" t="s">
        <v>278</v>
      </c>
      <c r="D54" s="501">
        <f t="shared" si="7"/>
        <v>-0.25</v>
      </c>
      <c r="E54" s="501"/>
      <c r="F54" s="505"/>
      <c r="G54" s="505"/>
      <c r="H54" s="505"/>
      <c r="I54" s="505"/>
      <c r="J54" s="505"/>
      <c r="K54" s="505"/>
      <c r="L54" s="505"/>
      <c r="M54" s="505"/>
      <c r="N54" s="505"/>
      <c r="O54" s="505"/>
      <c r="P54" s="505"/>
      <c r="Q54" s="505"/>
      <c r="R54" s="505">
        <v>0</v>
      </c>
      <c r="S54" s="505"/>
      <c r="T54" s="505"/>
      <c r="U54" s="505"/>
      <c r="V54" s="505"/>
      <c r="W54" s="505"/>
      <c r="X54" s="505"/>
      <c r="Y54" s="505"/>
      <c r="Z54" s="505"/>
      <c r="AA54" s="505"/>
      <c r="AB54" s="505"/>
      <c r="AC54" s="505"/>
      <c r="AD54" s="640">
        <f t="shared" si="4"/>
        <v>0</v>
      </c>
      <c r="AE54" s="504">
        <f t="shared" si="5"/>
        <v>0</v>
      </c>
      <c r="AF54" s="479" t="str">
        <f t="shared" si="8"/>
        <v>sell</v>
      </c>
    </row>
    <row r="55" spans="1:32" s="361" customFormat="1" hidden="1" x14ac:dyDescent="0.25">
      <c r="A55" s="688" t="s">
        <v>277</v>
      </c>
      <c r="B55" s="500" t="s">
        <v>240</v>
      </c>
      <c r="C55" s="500" t="s">
        <v>278</v>
      </c>
      <c r="D55" s="501">
        <f t="shared" si="7"/>
        <v>-0.25</v>
      </c>
      <c r="E55" s="501"/>
      <c r="F55" s="505"/>
      <c r="G55" s="505"/>
      <c r="H55" s="505"/>
      <c r="I55" s="505"/>
      <c r="J55" s="505"/>
      <c r="K55" s="505"/>
      <c r="L55" s="505"/>
      <c r="M55" s="505"/>
      <c r="N55" s="505"/>
      <c r="O55" s="505"/>
      <c r="P55" s="505"/>
      <c r="Q55" s="505"/>
      <c r="R55" s="505"/>
      <c r="S55" s="505">
        <v>0</v>
      </c>
      <c r="T55" s="505"/>
      <c r="U55" s="505"/>
      <c r="V55" s="505"/>
      <c r="W55" s="505"/>
      <c r="X55" s="505"/>
      <c r="Y55" s="505"/>
      <c r="Z55" s="505"/>
      <c r="AA55" s="505"/>
      <c r="AB55" s="505"/>
      <c r="AC55" s="505"/>
      <c r="AD55" s="640">
        <f t="shared" si="4"/>
        <v>0</v>
      </c>
      <c r="AE55" s="504">
        <f t="shared" si="5"/>
        <v>0</v>
      </c>
      <c r="AF55" s="479" t="str">
        <f t="shared" si="8"/>
        <v>sell</v>
      </c>
    </row>
    <row r="56" spans="1:32" s="361" customFormat="1" hidden="1" x14ac:dyDescent="0.25">
      <c r="A56" s="688" t="s">
        <v>277</v>
      </c>
      <c r="B56" s="500" t="s">
        <v>240</v>
      </c>
      <c r="C56" s="500" t="s">
        <v>278</v>
      </c>
      <c r="D56" s="501">
        <f t="shared" si="7"/>
        <v>-0.25</v>
      </c>
      <c r="E56" s="501"/>
      <c r="F56" s="505"/>
      <c r="G56" s="505"/>
      <c r="H56" s="505"/>
      <c r="I56" s="505"/>
      <c r="J56" s="505"/>
      <c r="K56" s="505"/>
      <c r="L56" s="505"/>
      <c r="M56" s="505"/>
      <c r="N56" s="505"/>
      <c r="O56" s="505"/>
      <c r="P56" s="505"/>
      <c r="Q56" s="505"/>
      <c r="R56" s="505"/>
      <c r="S56" s="505"/>
      <c r="T56" s="505">
        <v>0</v>
      </c>
      <c r="U56" s="505"/>
      <c r="V56" s="505"/>
      <c r="W56" s="505"/>
      <c r="X56" s="505"/>
      <c r="Y56" s="505"/>
      <c r="Z56" s="505"/>
      <c r="AA56" s="505"/>
      <c r="AB56" s="505"/>
      <c r="AC56" s="505"/>
      <c r="AD56" s="640">
        <f t="shared" si="4"/>
        <v>0</v>
      </c>
      <c r="AE56" s="504">
        <f t="shared" si="5"/>
        <v>0</v>
      </c>
      <c r="AF56" s="479" t="str">
        <f t="shared" si="8"/>
        <v>sell</v>
      </c>
    </row>
    <row r="57" spans="1:32" s="361" customFormat="1" hidden="1" x14ac:dyDescent="0.25">
      <c r="A57" s="688" t="s">
        <v>277</v>
      </c>
      <c r="B57" s="500" t="s">
        <v>240</v>
      </c>
      <c r="C57" s="500" t="s">
        <v>278</v>
      </c>
      <c r="D57" s="501">
        <f t="shared" si="7"/>
        <v>-0.25</v>
      </c>
      <c r="E57" s="501"/>
      <c r="F57" s="505"/>
      <c r="G57" s="505"/>
      <c r="H57" s="505"/>
      <c r="I57" s="505"/>
      <c r="J57" s="505"/>
      <c r="K57" s="505"/>
      <c r="L57" s="505"/>
      <c r="M57" s="505"/>
      <c r="N57" s="505"/>
      <c r="O57" s="505"/>
      <c r="P57" s="505"/>
      <c r="Q57" s="505"/>
      <c r="R57" s="505"/>
      <c r="S57" s="505"/>
      <c r="T57" s="505"/>
      <c r="U57" s="505">
        <v>0</v>
      </c>
      <c r="V57" s="505"/>
      <c r="W57" s="505"/>
      <c r="X57" s="505"/>
      <c r="Y57" s="505"/>
      <c r="Z57" s="505"/>
      <c r="AA57" s="505"/>
      <c r="AB57" s="505"/>
      <c r="AC57" s="505"/>
      <c r="AD57" s="640">
        <f t="shared" si="4"/>
        <v>0</v>
      </c>
      <c r="AE57" s="504">
        <f t="shared" si="5"/>
        <v>0</v>
      </c>
      <c r="AF57" s="479" t="str">
        <f t="shared" si="8"/>
        <v>sell</v>
      </c>
    </row>
    <row r="58" spans="1:32" s="361" customFormat="1" hidden="1" x14ac:dyDescent="0.25">
      <c r="A58" s="688" t="s">
        <v>277</v>
      </c>
      <c r="B58" s="500" t="s">
        <v>240</v>
      </c>
      <c r="C58" s="500" t="s">
        <v>278</v>
      </c>
      <c r="D58" s="501">
        <f t="shared" si="7"/>
        <v>-0.25</v>
      </c>
      <c r="E58" s="501"/>
      <c r="F58" s="505"/>
      <c r="G58" s="505"/>
      <c r="H58" s="505"/>
      <c r="I58" s="505"/>
      <c r="J58" s="505"/>
      <c r="K58" s="505"/>
      <c r="L58" s="505"/>
      <c r="M58" s="505"/>
      <c r="N58" s="505"/>
      <c r="O58" s="505"/>
      <c r="P58" s="505"/>
      <c r="Q58" s="505"/>
      <c r="R58" s="505"/>
      <c r="S58" s="505"/>
      <c r="T58" s="505"/>
      <c r="U58" s="505"/>
      <c r="V58" s="505">
        <v>0</v>
      </c>
      <c r="W58" s="505"/>
      <c r="X58" s="505"/>
      <c r="Y58" s="505"/>
      <c r="Z58" s="505"/>
      <c r="AA58" s="505"/>
      <c r="AB58" s="505"/>
      <c r="AC58" s="505"/>
      <c r="AD58" s="640">
        <f t="shared" si="4"/>
        <v>0</v>
      </c>
      <c r="AE58" s="504">
        <f t="shared" si="5"/>
        <v>0</v>
      </c>
      <c r="AF58" s="479" t="str">
        <f t="shared" si="8"/>
        <v>sell</v>
      </c>
    </row>
    <row r="59" spans="1:32" s="361" customFormat="1" hidden="1" x14ac:dyDescent="0.25">
      <c r="A59" s="688" t="s">
        <v>277</v>
      </c>
      <c r="B59" s="500" t="s">
        <v>240</v>
      </c>
      <c r="C59" s="500" t="s">
        <v>278</v>
      </c>
      <c r="D59" s="501">
        <f t="shared" si="7"/>
        <v>-0.25</v>
      </c>
      <c r="E59" s="501"/>
      <c r="F59" s="505"/>
      <c r="G59" s="505"/>
      <c r="H59" s="505"/>
      <c r="I59" s="505"/>
      <c r="J59" s="505"/>
      <c r="K59" s="505"/>
      <c r="L59" s="505"/>
      <c r="M59" s="505"/>
      <c r="N59" s="505"/>
      <c r="O59" s="505"/>
      <c r="P59" s="505"/>
      <c r="Q59" s="505"/>
      <c r="R59" s="505"/>
      <c r="S59" s="505"/>
      <c r="T59" s="505"/>
      <c r="U59" s="505"/>
      <c r="V59" s="505"/>
      <c r="W59" s="505">
        <v>0</v>
      </c>
      <c r="X59" s="505"/>
      <c r="Y59" s="505"/>
      <c r="Z59" s="505"/>
      <c r="AA59" s="505"/>
      <c r="AB59" s="505"/>
      <c r="AC59" s="505"/>
      <c r="AD59" s="640">
        <f t="shared" si="4"/>
        <v>0</v>
      </c>
      <c r="AE59" s="504">
        <f t="shared" si="5"/>
        <v>0</v>
      </c>
      <c r="AF59" s="479" t="str">
        <f t="shared" si="8"/>
        <v>sell</v>
      </c>
    </row>
    <row r="60" spans="1:32" s="361" customFormat="1" hidden="1" x14ac:dyDescent="0.25">
      <c r="A60" s="688" t="s">
        <v>277</v>
      </c>
      <c r="B60" s="500" t="s">
        <v>240</v>
      </c>
      <c r="C60" s="500" t="s">
        <v>278</v>
      </c>
      <c r="D60" s="501">
        <f t="shared" si="7"/>
        <v>-0.25</v>
      </c>
      <c r="E60" s="501"/>
      <c r="F60" s="505"/>
      <c r="G60" s="505"/>
      <c r="H60" s="505"/>
      <c r="I60" s="505"/>
      <c r="J60" s="505"/>
      <c r="K60" s="505"/>
      <c r="L60" s="505"/>
      <c r="M60" s="505"/>
      <c r="N60" s="505"/>
      <c r="O60" s="505"/>
      <c r="P60" s="505"/>
      <c r="Q60" s="505"/>
      <c r="R60" s="505"/>
      <c r="S60" s="505"/>
      <c r="T60" s="505"/>
      <c r="U60" s="505"/>
      <c r="V60" s="505"/>
      <c r="W60" s="505"/>
      <c r="X60" s="505">
        <v>0</v>
      </c>
      <c r="Y60" s="505"/>
      <c r="Z60" s="505"/>
      <c r="AA60" s="505"/>
      <c r="AB60" s="505"/>
      <c r="AC60" s="505"/>
      <c r="AD60" s="640">
        <f t="shared" si="4"/>
        <v>0</v>
      </c>
      <c r="AE60" s="504">
        <f t="shared" si="5"/>
        <v>0</v>
      </c>
      <c r="AF60" s="479" t="str">
        <f t="shared" si="8"/>
        <v>sell</v>
      </c>
    </row>
    <row r="61" spans="1:32" s="361" customFormat="1" hidden="1" x14ac:dyDescent="0.25">
      <c r="A61" s="688" t="s">
        <v>277</v>
      </c>
      <c r="B61" s="500" t="s">
        <v>240</v>
      </c>
      <c r="C61" s="500" t="s">
        <v>278</v>
      </c>
      <c r="D61" s="501">
        <f t="shared" si="7"/>
        <v>-0.25</v>
      </c>
      <c r="E61" s="501"/>
      <c r="F61" s="505"/>
      <c r="G61" s="505"/>
      <c r="H61" s="505"/>
      <c r="I61" s="505"/>
      <c r="J61" s="505"/>
      <c r="K61" s="505"/>
      <c r="L61" s="505"/>
      <c r="M61" s="505"/>
      <c r="N61" s="505"/>
      <c r="O61" s="505"/>
      <c r="P61" s="505"/>
      <c r="Q61" s="505"/>
      <c r="R61" s="505"/>
      <c r="S61" s="505"/>
      <c r="T61" s="505"/>
      <c r="U61" s="505"/>
      <c r="V61" s="505"/>
      <c r="W61" s="505"/>
      <c r="X61" s="505"/>
      <c r="Y61" s="505">
        <v>0</v>
      </c>
      <c r="Z61" s="505"/>
      <c r="AA61" s="505"/>
      <c r="AB61" s="505"/>
      <c r="AC61" s="505"/>
      <c r="AD61" s="640">
        <f t="shared" si="4"/>
        <v>0</v>
      </c>
      <c r="AE61" s="504">
        <f t="shared" si="5"/>
        <v>0</v>
      </c>
      <c r="AF61" s="479" t="str">
        <f t="shared" si="8"/>
        <v>sell</v>
      </c>
    </row>
    <row r="62" spans="1:32" s="361" customFormat="1" hidden="1" x14ac:dyDescent="0.25">
      <c r="A62" s="688" t="s">
        <v>277</v>
      </c>
      <c r="B62" s="500" t="s">
        <v>240</v>
      </c>
      <c r="C62" s="500" t="s">
        <v>278</v>
      </c>
      <c r="D62" s="501">
        <f t="shared" si="7"/>
        <v>-0.25</v>
      </c>
      <c r="E62" s="501"/>
      <c r="F62" s="505"/>
      <c r="G62" s="505"/>
      <c r="H62" s="505"/>
      <c r="I62" s="505"/>
      <c r="J62" s="505"/>
      <c r="K62" s="505"/>
      <c r="L62" s="505"/>
      <c r="M62" s="505"/>
      <c r="N62" s="505"/>
      <c r="O62" s="505"/>
      <c r="P62" s="505"/>
      <c r="Q62" s="505"/>
      <c r="R62" s="505"/>
      <c r="S62" s="505"/>
      <c r="T62" s="505"/>
      <c r="U62" s="505"/>
      <c r="V62" s="505"/>
      <c r="W62" s="505"/>
      <c r="X62" s="505"/>
      <c r="Y62" s="505"/>
      <c r="Z62" s="505">
        <v>0</v>
      </c>
      <c r="AA62" s="505"/>
      <c r="AB62" s="505"/>
      <c r="AC62" s="505"/>
      <c r="AD62" s="640">
        <f t="shared" si="4"/>
        <v>0</v>
      </c>
      <c r="AE62" s="504">
        <f t="shared" si="5"/>
        <v>0</v>
      </c>
      <c r="AF62" s="479" t="str">
        <f t="shared" si="8"/>
        <v>sell</v>
      </c>
    </row>
    <row r="63" spans="1:32" s="361" customFormat="1" hidden="1" x14ac:dyDescent="0.25">
      <c r="A63" s="688" t="s">
        <v>277</v>
      </c>
      <c r="B63" s="500" t="s">
        <v>240</v>
      </c>
      <c r="C63" s="500" t="s">
        <v>278</v>
      </c>
      <c r="D63" s="501">
        <f t="shared" si="7"/>
        <v>-0.25</v>
      </c>
      <c r="E63" s="501"/>
      <c r="F63" s="505"/>
      <c r="G63" s="505"/>
      <c r="H63" s="505"/>
      <c r="I63" s="505"/>
      <c r="J63" s="505"/>
      <c r="K63" s="505"/>
      <c r="L63" s="505"/>
      <c r="M63" s="505"/>
      <c r="N63" s="505"/>
      <c r="O63" s="505"/>
      <c r="P63" s="505"/>
      <c r="Q63" s="505"/>
      <c r="R63" s="505"/>
      <c r="S63" s="505"/>
      <c r="T63" s="505"/>
      <c r="U63" s="505"/>
      <c r="V63" s="505"/>
      <c r="W63" s="505"/>
      <c r="X63" s="505"/>
      <c r="Y63" s="505"/>
      <c r="Z63" s="505"/>
      <c r="AA63" s="505">
        <v>0</v>
      </c>
      <c r="AB63" s="505"/>
      <c r="AC63" s="505"/>
      <c r="AD63" s="640">
        <f t="shared" si="4"/>
        <v>0</v>
      </c>
      <c r="AE63" s="504">
        <f t="shared" si="5"/>
        <v>0</v>
      </c>
      <c r="AF63" s="479" t="str">
        <f t="shared" si="8"/>
        <v>sell</v>
      </c>
    </row>
    <row r="64" spans="1:32" s="361" customFormat="1" hidden="1" x14ac:dyDescent="0.25">
      <c r="A64" s="688" t="s">
        <v>277</v>
      </c>
      <c r="B64" s="500" t="s">
        <v>240</v>
      </c>
      <c r="C64" s="500" t="s">
        <v>278</v>
      </c>
      <c r="D64" s="501">
        <f t="shared" si="7"/>
        <v>-0.25</v>
      </c>
      <c r="E64" s="501"/>
      <c r="F64" s="505"/>
      <c r="G64" s="505"/>
      <c r="H64" s="505"/>
      <c r="I64" s="505"/>
      <c r="J64" s="505"/>
      <c r="K64" s="505"/>
      <c r="L64" s="505"/>
      <c r="M64" s="505"/>
      <c r="N64" s="505"/>
      <c r="O64" s="505"/>
      <c r="P64" s="505"/>
      <c r="Q64" s="505"/>
      <c r="R64" s="505"/>
      <c r="S64" s="505"/>
      <c r="T64" s="505"/>
      <c r="U64" s="505"/>
      <c r="V64" s="505"/>
      <c r="W64" s="505"/>
      <c r="X64" s="505"/>
      <c r="Y64" s="505"/>
      <c r="Z64" s="505"/>
      <c r="AA64" s="505"/>
      <c r="AB64" s="505">
        <v>0</v>
      </c>
      <c r="AC64" s="505"/>
      <c r="AD64" s="640">
        <f t="shared" si="4"/>
        <v>0</v>
      </c>
      <c r="AE64" s="504">
        <f t="shared" si="5"/>
        <v>0</v>
      </c>
      <c r="AF64" s="479" t="str">
        <f t="shared" si="8"/>
        <v>sell</v>
      </c>
    </row>
    <row r="65" spans="1:33" s="361" customFormat="1" hidden="1" x14ac:dyDescent="0.25">
      <c r="A65" s="688"/>
      <c r="B65" s="500"/>
      <c r="C65" s="500"/>
      <c r="D65" s="501"/>
      <c r="E65" s="501"/>
      <c r="F65" s="505"/>
      <c r="G65" s="507"/>
      <c r="H65" s="505"/>
      <c r="I65" s="505"/>
      <c r="J65" s="505"/>
      <c r="K65" s="505"/>
      <c r="L65" s="505"/>
      <c r="M65" s="505"/>
      <c r="N65" s="505"/>
      <c r="O65" s="505"/>
      <c r="P65" s="505"/>
      <c r="Q65" s="505"/>
      <c r="R65" s="505"/>
      <c r="S65" s="505"/>
      <c r="T65" s="505"/>
      <c r="U65" s="505"/>
      <c r="V65" s="505"/>
      <c r="W65" s="505"/>
      <c r="X65" s="505"/>
      <c r="Y65" s="505"/>
      <c r="Z65" s="505"/>
      <c r="AA65" s="505"/>
      <c r="AB65" s="505"/>
      <c r="AC65" s="505"/>
      <c r="AD65" s="641">
        <f t="shared" si="4"/>
        <v>0</v>
      </c>
      <c r="AE65" s="630">
        <f t="shared" si="5"/>
        <v>0</v>
      </c>
      <c r="AF65" s="574" t="str">
        <f t="shared" si="8"/>
        <v>sell</v>
      </c>
    </row>
    <row r="66" spans="1:33" s="680" customFormat="1" ht="15" customHeight="1" x14ac:dyDescent="0.25">
      <c r="A66" s="692"/>
      <c r="B66" s="693"/>
      <c r="C66" s="693"/>
      <c r="D66" s="698"/>
      <c r="E66" s="702"/>
      <c r="F66" s="505"/>
      <c r="G66" s="505"/>
      <c r="H66" s="505"/>
      <c r="I66" s="505"/>
      <c r="J66" s="505"/>
      <c r="K66" s="505"/>
      <c r="L66" s="505"/>
      <c r="M66" s="505"/>
      <c r="N66" s="505"/>
      <c r="O66" s="505"/>
      <c r="P66" s="505"/>
      <c r="Q66" s="505"/>
      <c r="R66" s="505"/>
      <c r="S66" s="505"/>
      <c r="T66" s="505"/>
      <c r="U66" s="505"/>
      <c r="V66" s="505"/>
      <c r="W66" s="505"/>
      <c r="X66" s="505"/>
      <c r="Y66" s="505"/>
      <c r="Z66" s="505"/>
      <c r="AA66" s="505"/>
      <c r="AB66" s="505"/>
      <c r="AC66" s="505"/>
      <c r="AD66" s="641">
        <f>SUM(E66:AC66)</f>
        <v>0</v>
      </c>
      <c r="AE66" s="630">
        <f>AD66*D66</f>
        <v>0</v>
      </c>
      <c r="AF66" s="574" t="str">
        <f>IF(AD66&lt;0,"buy","sell")</f>
        <v>sell</v>
      </c>
    </row>
    <row r="67" spans="1:33" s="680" customFormat="1" x14ac:dyDescent="0.25">
      <c r="A67" s="694"/>
      <c r="B67" s="696"/>
      <c r="C67" s="696"/>
      <c r="D67" s="700"/>
      <c r="E67" s="702"/>
      <c r="F67" s="505"/>
      <c r="G67" s="505"/>
      <c r="H67" s="505"/>
      <c r="I67" s="505"/>
      <c r="J67" s="505"/>
      <c r="K67" s="505"/>
      <c r="L67" s="505"/>
      <c r="M67" s="505"/>
      <c r="N67" s="505"/>
      <c r="O67" s="505"/>
      <c r="P67" s="505"/>
      <c r="Q67" s="505"/>
      <c r="R67" s="505"/>
      <c r="S67" s="505"/>
      <c r="T67" s="505"/>
      <c r="U67" s="505"/>
      <c r="V67" s="505"/>
      <c r="W67" s="505"/>
      <c r="X67" s="505"/>
      <c r="Y67" s="505"/>
      <c r="Z67" s="505"/>
      <c r="AA67" s="505"/>
      <c r="AB67" s="505"/>
      <c r="AC67" s="505"/>
      <c r="AD67" s="641">
        <f>SUM(E67:AC67)</f>
        <v>0</v>
      </c>
      <c r="AE67" s="630">
        <f>AD67*D67</f>
        <v>0</v>
      </c>
      <c r="AF67" s="574" t="str">
        <f>IF(AD67&lt;0,"buy","sell")</f>
        <v>sell</v>
      </c>
    </row>
    <row r="68" spans="1:33" s="361" customFormat="1" x14ac:dyDescent="0.25">
      <c r="A68" s="695"/>
      <c r="B68" s="707"/>
      <c r="C68" s="707"/>
      <c r="D68" s="701"/>
      <c r="E68" s="690"/>
      <c r="F68" s="682"/>
      <c r="G68" s="682"/>
      <c r="H68" s="682"/>
      <c r="I68" s="682"/>
      <c r="J68" s="682"/>
      <c r="K68" s="682"/>
      <c r="L68" s="682"/>
      <c r="M68" s="682"/>
      <c r="N68" s="682"/>
      <c r="O68" s="682"/>
      <c r="P68" s="682"/>
      <c r="Q68" s="682"/>
      <c r="R68" s="682"/>
      <c r="S68" s="682"/>
      <c r="T68" s="682"/>
      <c r="U68" s="682"/>
      <c r="V68" s="682"/>
      <c r="W68" s="682"/>
      <c r="X68" s="682"/>
      <c r="Y68" s="682"/>
      <c r="Z68" s="682"/>
      <c r="AA68" s="682"/>
      <c r="AB68" s="682"/>
      <c r="AC68" s="682"/>
      <c r="AD68" s="641">
        <f>SUM(E68:AC68)</f>
        <v>0</v>
      </c>
      <c r="AE68" s="630">
        <f>AD68*D68</f>
        <v>0</v>
      </c>
      <c r="AF68" s="574" t="str">
        <f>IF(AD68&lt;0,"buy","sell")</f>
        <v>sell</v>
      </c>
    </row>
    <row r="69" spans="1:33" s="361" customFormat="1" x14ac:dyDescent="0.25">
      <c r="A69" s="695"/>
      <c r="B69" s="697"/>
      <c r="C69" s="697"/>
      <c r="D69" s="701"/>
      <c r="E69" s="690"/>
      <c r="F69" s="682"/>
      <c r="G69" s="682"/>
      <c r="H69" s="682"/>
      <c r="I69" s="682"/>
      <c r="J69" s="682"/>
      <c r="K69" s="682"/>
      <c r="L69" s="682"/>
      <c r="M69" s="682"/>
      <c r="N69" s="682"/>
      <c r="O69" s="682"/>
      <c r="P69" s="682"/>
      <c r="Q69" s="682"/>
      <c r="R69" s="682"/>
      <c r="S69" s="682"/>
      <c r="T69" s="682"/>
      <c r="U69" s="682"/>
      <c r="V69" s="682"/>
      <c r="W69" s="682"/>
      <c r="X69" s="682"/>
      <c r="Y69" s="682"/>
      <c r="Z69" s="682"/>
      <c r="AA69" s="682"/>
      <c r="AB69" s="682"/>
      <c r="AC69" s="682"/>
      <c r="AD69" s="641"/>
      <c r="AE69" s="630"/>
      <c r="AF69" s="574"/>
    </row>
    <row r="70" spans="1:33" s="361" customFormat="1" ht="14.25" customHeight="1" x14ac:dyDescent="0.25">
      <c r="A70" s="694"/>
      <c r="B70" s="696"/>
      <c r="C70" s="696"/>
      <c r="D70" s="699"/>
      <c r="E70" s="691"/>
      <c r="F70" s="505"/>
      <c r="G70" s="505"/>
      <c r="H70" s="505"/>
      <c r="I70" s="505"/>
      <c r="J70" s="505"/>
      <c r="K70" s="505"/>
      <c r="L70" s="505"/>
      <c r="M70" s="505"/>
      <c r="N70" s="505"/>
      <c r="O70" s="505"/>
      <c r="P70" s="505"/>
      <c r="Q70" s="505"/>
      <c r="R70" s="505"/>
      <c r="S70" s="505"/>
      <c r="T70" s="505"/>
      <c r="U70" s="505"/>
      <c r="V70" s="505"/>
      <c r="W70" s="505"/>
      <c r="X70" s="505"/>
      <c r="Y70" s="505"/>
      <c r="Z70" s="505"/>
      <c r="AA70" s="505"/>
      <c r="AB70" s="505"/>
      <c r="AC70" s="505"/>
      <c r="AD70" s="641">
        <f t="shared" si="4"/>
        <v>0</v>
      </c>
      <c r="AE70" s="630">
        <f t="shared" ref="AE70:AE75" si="9">AD70*D70</f>
        <v>0</v>
      </c>
      <c r="AF70" s="574" t="str">
        <f t="shared" ref="AF70:AF75" si="10">IF(AD70&lt;0,"buy","sell")</f>
        <v>sell</v>
      </c>
    </row>
    <row r="71" spans="1:33" s="680" customFormat="1" x14ac:dyDescent="0.25">
      <c r="A71" s="692" t="s">
        <v>370</v>
      </c>
      <c r="B71" s="693" t="s">
        <v>240</v>
      </c>
      <c r="C71" s="693" t="s">
        <v>151</v>
      </c>
      <c r="D71" s="698">
        <v>95.5</v>
      </c>
      <c r="E71" s="702"/>
      <c r="F71" s="505"/>
      <c r="G71" s="505"/>
      <c r="H71" s="505"/>
      <c r="I71" s="505"/>
      <c r="J71" s="505"/>
      <c r="K71" s="505"/>
      <c r="L71" s="505">
        <v>-25</v>
      </c>
      <c r="M71" s="505">
        <v>-25</v>
      </c>
      <c r="N71" s="505">
        <v>-25</v>
      </c>
      <c r="O71" s="505">
        <v>-25</v>
      </c>
      <c r="P71" s="505">
        <v>-25</v>
      </c>
      <c r="Q71" s="505">
        <v>-25</v>
      </c>
      <c r="R71" s="505">
        <v>-12</v>
      </c>
      <c r="S71" s="505">
        <v>-25</v>
      </c>
      <c r="T71" s="505">
        <v>-25</v>
      </c>
      <c r="U71" s="505">
        <v>-25</v>
      </c>
      <c r="V71" s="505">
        <v>-25</v>
      </c>
      <c r="W71" s="505">
        <v>-25</v>
      </c>
      <c r="X71" s="505">
        <v>-25</v>
      </c>
      <c r="Y71" s="505">
        <v>-25</v>
      </c>
      <c r="Z71" s="505">
        <v>-19</v>
      </c>
      <c r="AA71" s="505">
        <v>-25</v>
      </c>
      <c r="AB71" s="505"/>
      <c r="AC71" s="505"/>
      <c r="AD71" s="641">
        <f>SUM(E71:AC71)</f>
        <v>-381</v>
      </c>
      <c r="AE71" s="630">
        <f t="shared" si="9"/>
        <v>-36385.5</v>
      </c>
      <c r="AF71" s="574" t="str">
        <f t="shared" si="10"/>
        <v>buy</v>
      </c>
    </row>
    <row r="72" spans="1:33" s="680" customFormat="1" x14ac:dyDescent="0.25">
      <c r="A72" s="692" t="s">
        <v>367</v>
      </c>
      <c r="B72" s="693" t="s">
        <v>240</v>
      </c>
      <c r="C72" s="693" t="s">
        <v>151</v>
      </c>
      <c r="D72" s="708">
        <v>95.3</v>
      </c>
      <c r="E72" s="702"/>
      <c r="F72" s="505"/>
      <c r="G72" s="505"/>
      <c r="H72" s="505"/>
      <c r="I72" s="505"/>
      <c r="J72" s="505"/>
      <c r="K72" s="505"/>
      <c r="L72" s="505">
        <v>-25</v>
      </c>
      <c r="M72" s="505">
        <v>-25</v>
      </c>
      <c r="N72" s="505">
        <v>-25</v>
      </c>
      <c r="O72" s="505">
        <v>-25</v>
      </c>
      <c r="P72" s="505">
        <v>-25</v>
      </c>
      <c r="Q72" s="505">
        <v>-25</v>
      </c>
      <c r="R72" s="505">
        <v>-25</v>
      </c>
      <c r="S72" s="505">
        <v>-25</v>
      </c>
      <c r="T72" s="505">
        <v>-25</v>
      </c>
      <c r="U72" s="505">
        <v>-25</v>
      </c>
      <c r="V72" s="505">
        <v>-25</v>
      </c>
      <c r="W72" s="505">
        <v>-25</v>
      </c>
      <c r="X72" s="505">
        <v>-25</v>
      </c>
      <c r="Y72" s="505">
        <v>-25</v>
      </c>
      <c r="Z72" s="505">
        <v>-25</v>
      </c>
      <c r="AA72" s="505">
        <v>-25</v>
      </c>
      <c r="AB72" s="505"/>
      <c r="AC72" s="505"/>
      <c r="AD72" s="641">
        <f>SUM(E72:AC72)</f>
        <v>-400</v>
      </c>
      <c r="AE72" s="630">
        <f t="shared" si="9"/>
        <v>-38120</v>
      </c>
      <c r="AF72" s="574" t="str">
        <f t="shared" si="10"/>
        <v>buy</v>
      </c>
    </row>
    <row r="73" spans="1:33" s="680" customFormat="1" x14ac:dyDescent="0.25">
      <c r="A73" s="692" t="s">
        <v>367</v>
      </c>
      <c r="B73" s="693" t="s">
        <v>240</v>
      </c>
      <c r="C73" s="693" t="s">
        <v>151</v>
      </c>
      <c r="D73" s="708">
        <v>27.5</v>
      </c>
      <c r="E73" s="702"/>
      <c r="F73" s="505"/>
      <c r="G73" s="505"/>
      <c r="H73" s="505"/>
      <c r="I73" s="505"/>
      <c r="J73" s="505"/>
      <c r="K73" s="505"/>
      <c r="L73" s="505">
        <v>-50</v>
      </c>
      <c r="M73" s="505">
        <v>-50</v>
      </c>
      <c r="N73" s="505">
        <v>-50</v>
      </c>
      <c r="O73" s="505">
        <v>-50</v>
      </c>
      <c r="P73" s="505">
        <v>-50</v>
      </c>
      <c r="Q73" s="505">
        <v>-50</v>
      </c>
      <c r="R73" s="505">
        <v>-50</v>
      </c>
      <c r="S73" s="505">
        <v>-50</v>
      </c>
      <c r="T73" s="505">
        <v>-50</v>
      </c>
      <c r="U73" s="505">
        <v>-50</v>
      </c>
      <c r="V73" s="505">
        <v>-50</v>
      </c>
      <c r="W73" s="505">
        <v>-50</v>
      </c>
      <c r="X73" s="505">
        <v>-50</v>
      </c>
      <c r="Y73" s="505">
        <v>-50</v>
      </c>
      <c r="Z73" s="505">
        <v>-50</v>
      </c>
      <c r="AA73" s="505">
        <v>-50</v>
      </c>
      <c r="AB73" s="505"/>
      <c r="AC73" s="505"/>
      <c r="AD73" s="641">
        <f>SUM(E73:AC73)</f>
        <v>-800</v>
      </c>
      <c r="AE73" s="630">
        <f t="shared" si="9"/>
        <v>-22000</v>
      </c>
      <c r="AF73" s="574" t="str">
        <f t="shared" si="10"/>
        <v>buy</v>
      </c>
    </row>
    <row r="74" spans="1:33" s="680" customFormat="1" x14ac:dyDescent="0.25">
      <c r="A74" s="692" t="s">
        <v>371</v>
      </c>
      <c r="B74" s="693" t="s">
        <v>240</v>
      </c>
      <c r="C74" s="693" t="s">
        <v>151</v>
      </c>
      <c r="D74" s="708">
        <v>26</v>
      </c>
      <c r="E74" s="702"/>
      <c r="F74" s="505"/>
      <c r="G74" s="505"/>
      <c r="H74" s="505"/>
      <c r="I74" s="505"/>
      <c r="J74" s="505"/>
      <c r="K74" s="505"/>
      <c r="L74" s="505">
        <v>-50</v>
      </c>
      <c r="M74" s="505">
        <v>-50</v>
      </c>
      <c r="N74" s="505">
        <v>-50</v>
      </c>
      <c r="O74" s="505">
        <v>-50</v>
      </c>
      <c r="P74" s="505">
        <v>-50</v>
      </c>
      <c r="Q74" s="505">
        <v>-50</v>
      </c>
      <c r="R74" s="505">
        <v>-50</v>
      </c>
      <c r="S74" s="505">
        <v>-50</v>
      </c>
      <c r="T74" s="505">
        <v>-50</v>
      </c>
      <c r="U74" s="505">
        <v>-50</v>
      </c>
      <c r="V74" s="505">
        <v>-50</v>
      </c>
      <c r="W74" s="505">
        <v>-50</v>
      </c>
      <c r="X74" s="505">
        <v>-50</v>
      </c>
      <c r="Y74" s="505">
        <v>-50</v>
      </c>
      <c r="Z74" s="505">
        <v>-50</v>
      </c>
      <c r="AA74" s="505">
        <v>-50</v>
      </c>
      <c r="AB74" s="505"/>
      <c r="AC74" s="505"/>
      <c r="AD74" s="641">
        <f>SUM(E74:AC74)</f>
        <v>-800</v>
      </c>
      <c r="AE74" s="630">
        <f t="shared" si="9"/>
        <v>-20800</v>
      </c>
      <c r="AF74" s="574" t="str">
        <f t="shared" si="10"/>
        <v>buy</v>
      </c>
    </row>
    <row r="75" spans="1:33" s="361" customFormat="1" x14ac:dyDescent="0.25">
      <c r="A75" s="694"/>
      <c r="B75" s="696"/>
      <c r="C75" s="696"/>
      <c r="D75" s="699"/>
      <c r="E75" s="691"/>
      <c r="F75" s="505"/>
      <c r="G75" s="505"/>
      <c r="H75" s="505"/>
      <c r="I75" s="505"/>
      <c r="J75" s="505"/>
      <c r="K75" s="505"/>
      <c r="L75" s="505"/>
      <c r="M75" s="505"/>
      <c r="N75" s="505"/>
      <c r="O75" s="505"/>
      <c r="P75" s="505"/>
      <c r="Q75" s="505"/>
      <c r="R75" s="505"/>
      <c r="S75" s="505"/>
      <c r="T75" s="505"/>
      <c r="U75" s="505"/>
      <c r="V75" s="505"/>
      <c r="W75" s="505"/>
      <c r="X75" s="505"/>
      <c r="Y75" s="505"/>
      <c r="Z75" s="505"/>
      <c r="AA75" s="505"/>
      <c r="AB75" s="505"/>
      <c r="AC75" s="505"/>
      <c r="AD75" s="641">
        <f>SUM(F75:AC75)</f>
        <v>0</v>
      </c>
      <c r="AE75" s="630">
        <f t="shared" si="9"/>
        <v>0</v>
      </c>
      <c r="AF75" s="574" t="str">
        <f t="shared" si="10"/>
        <v>sell</v>
      </c>
    </row>
    <row r="76" spans="1:33" s="361" customFormat="1" x14ac:dyDescent="0.25">
      <c r="A76" s="628"/>
      <c r="B76" s="587"/>
      <c r="C76" s="587"/>
      <c r="D76" s="587"/>
      <c r="E76" s="681"/>
      <c r="F76" s="587"/>
      <c r="G76" s="587"/>
      <c r="H76" s="587"/>
      <c r="I76" s="587"/>
      <c r="J76" s="587"/>
      <c r="K76" s="587"/>
      <c r="L76" s="587"/>
      <c r="M76" s="587"/>
      <c r="N76" s="587"/>
      <c r="O76" s="587"/>
      <c r="P76" s="587"/>
      <c r="Q76" s="587"/>
      <c r="R76" s="587"/>
      <c r="S76" s="587"/>
      <c r="T76" s="587"/>
      <c r="U76" s="587"/>
      <c r="V76" s="587"/>
      <c r="W76" s="587"/>
      <c r="X76" s="587"/>
      <c r="Y76" s="587"/>
      <c r="Z76" s="587"/>
      <c r="AA76" s="587"/>
      <c r="AB76" s="587"/>
      <c r="AC76" s="587"/>
      <c r="AD76" s="587"/>
      <c r="AE76" s="587"/>
      <c r="AF76" s="587"/>
      <c r="AG76" s="495"/>
    </row>
    <row r="77" spans="1:33" s="361" customFormat="1" x14ac:dyDescent="0.25">
      <c r="A77" s="695"/>
      <c r="B77" s="697"/>
      <c r="C77" s="697"/>
      <c r="D77" s="701"/>
      <c r="E77" s="690"/>
      <c r="F77" s="682"/>
      <c r="G77" s="682"/>
      <c r="H77" s="682"/>
      <c r="I77" s="682"/>
      <c r="J77" s="682"/>
      <c r="K77" s="682"/>
      <c r="L77" s="682"/>
      <c r="M77" s="682"/>
      <c r="N77" s="682"/>
      <c r="O77" s="682"/>
      <c r="P77" s="682"/>
      <c r="Q77" s="682"/>
      <c r="R77" s="682"/>
      <c r="S77" s="682"/>
      <c r="T77" s="682"/>
      <c r="U77" s="682"/>
      <c r="V77" s="682"/>
      <c r="W77" s="682"/>
      <c r="X77" s="682"/>
      <c r="Y77" s="682"/>
      <c r="Z77" s="682"/>
      <c r="AA77" s="682"/>
      <c r="AB77" s="682"/>
      <c r="AC77" s="682"/>
      <c r="AD77" s="641"/>
      <c r="AE77" s="630"/>
      <c r="AF77" s="574"/>
    </row>
    <row r="78" spans="1:33" s="361" customFormat="1" x14ac:dyDescent="0.25">
      <c r="A78" s="711" t="s">
        <v>63</v>
      </c>
      <c r="B78" s="712" t="s">
        <v>369</v>
      </c>
      <c r="C78" s="712" t="s">
        <v>151</v>
      </c>
      <c r="D78" s="713">
        <v>22</v>
      </c>
      <c r="E78" s="622"/>
      <c r="F78" s="623"/>
      <c r="G78" s="624"/>
      <c r="H78" s="624"/>
      <c r="I78" s="624"/>
      <c r="J78" s="624"/>
      <c r="K78" s="624"/>
      <c r="L78" s="624"/>
      <c r="M78" s="624"/>
      <c r="N78" s="624"/>
      <c r="O78" s="624"/>
      <c r="P78" s="624"/>
      <c r="Q78" s="624"/>
      <c r="R78" s="624"/>
      <c r="S78" s="624"/>
      <c r="T78" s="624"/>
      <c r="U78" s="624"/>
      <c r="V78" s="624"/>
      <c r="W78" s="624"/>
      <c r="X78" s="624"/>
      <c r="Y78" s="624"/>
      <c r="Z78" s="624"/>
      <c r="AA78" s="624"/>
      <c r="AB78" s="624">
        <v>-30</v>
      </c>
      <c r="AC78" s="624"/>
      <c r="AD78" s="641">
        <f>SUM(E78:AC78)</f>
        <v>-30</v>
      </c>
      <c r="AE78" s="630">
        <f>AD78*D78</f>
        <v>-660</v>
      </c>
      <c r="AF78" s="574" t="str">
        <f>IF(AD78&lt;0,"buy","sell")</f>
        <v>buy</v>
      </c>
    </row>
    <row r="79" spans="1:33" s="361" customFormat="1" x14ac:dyDescent="0.25">
      <c r="A79" s="711" t="s">
        <v>65</v>
      </c>
      <c r="B79" s="712" t="s">
        <v>369</v>
      </c>
      <c r="C79" s="712" t="s">
        <v>151</v>
      </c>
      <c r="D79" s="713">
        <v>22</v>
      </c>
      <c r="E79" s="622"/>
      <c r="F79" s="714"/>
      <c r="G79" s="715"/>
      <c r="H79" s="715"/>
      <c r="I79" s="715"/>
      <c r="J79" s="715"/>
      <c r="K79" s="715"/>
      <c r="L79" s="715"/>
      <c r="M79" s="715"/>
      <c r="N79" s="715"/>
      <c r="O79" s="715"/>
      <c r="P79" s="715"/>
      <c r="Q79" s="715"/>
      <c r="R79" s="715"/>
      <c r="S79" s="715"/>
      <c r="T79" s="715"/>
      <c r="U79" s="715"/>
      <c r="V79" s="715"/>
      <c r="W79" s="715"/>
      <c r="X79" s="715"/>
      <c r="Y79" s="715"/>
      <c r="Z79" s="715"/>
      <c r="AA79" s="715"/>
      <c r="AB79" s="715"/>
      <c r="AC79" s="715">
        <v>-75</v>
      </c>
      <c r="AD79" s="641">
        <f>SUM(E79:AC79)</f>
        <v>-75</v>
      </c>
      <c r="AE79" s="630">
        <f>AD79*D79</f>
        <v>-1650</v>
      </c>
      <c r="AF79" s="574" t="str">
        <f>IF(AD79&lt;0,"buy","sell")</f>
        <v>buy</v>
      </c>
    </row>
    <row r="80" spans="1:33" s="361" customFormat="1" x14ac:dyDescent="0.25">
      <c r="A80" s="711" t="s">
        <v>65</v>
      </c>
      <c r="B80" s="712" t="s">
        <v>369</v>
      </c>
      <c r="C80" s="712" t="s">
        <v>151</v>
      </c>
      <c r="D80" s="713">
        <v>25</v>
      </c>
      <c r="E80" s="622"/>
      <c r="F80" s="714"/>
      <c r="G80" s="715"/>
      <c r="H80" s="715"/>
      <c r="I80" s="715"/>
      <c r="J80" s="715"/>
      <c r="K80" s="715"/>
      <c r="L80" s="715"/>
      <c r="M80" s="715"/>
      <c r="N80" s="715"/>
      <c r="O80" s="715"/>
      <c r="P80" s="715"/>
      <c r="Q80" s="715"/>
      <c r="R80" s="715"/>
      <c r="S80" s="715"/>
      <c r="T80" s="715"/>
      <c r="U80" s="715"/>
      <c r="V80" s="715"/>
      <c r="W80" s="715"/>
      <c r="X80" s="715"/>
      <c r="Y80" s="715"/>
      <c r="Z80" s="715"/>
      <c r="AA80" s="715"/>
      <c r="AB80" s="715">
        <v>-75</v>
      </c>
      <c r="AC80" s="715"/>
      <c r="AD80" s="641">
        <f>SUM(E80:AC80)</f>
        <v>-75</v>
      </c>
      <c r="AE80" s="630">
        <f>AD80*D80</f>
        <v>-1875</v>
      </c>
      <c r="AF80" s="574" t="str">
        <f>IF(AD80&lt;0,"buy","sell")</f>
        <v>buy</v>
      </c>
    </row>
    <row r="81" spans="1:33" s="361" customFormat="1" x14ac:dyDescent="0.25">
      <c r="A81" s="711" t="s">
        <v>65</v>
      </c>
      <c r="B81" s="712" t="s">
        <v>369</v>
      </c>
      <c r="C81" s="712" t="s">
        <v>151</v>
      </c>
      <c r="D81" s="713">
        <v>15</v>
      </c>
      <c r="E81" s="622"/>
      <c r="F81" s="714">
        <v>-125</v>
      </c>
      <c r="G81" s="715">
        <v>-125</v>
      </c>
      <c r="H81" s="715">
        <v>-100</v>
      </c>
      <c r="I81" s="715">
        <v>-100</v>
      </c>
      <c r="J81" s="715">
        <v>-125</v>
      </c>
      <c r="K81" s="715">
        <v>-125</v>
      </c>
      <c r="L81" s="715"/>
      <c r="M81" s="715"/>
      <c r="N81" s="715"/>
      <c r="O81" s="715"/>
      <c r="P81" s="715"/>
      <c r="Q81" s="715"/>
      <c r="R81" s="715"/>
      <c r="S81" s="715"/>
      <c r="T81" s="715"/>
      <c r="U81" s="715"/>
      <c r="V81" s="715"/>
      <c r="W81" s="715"/>
      <c r="X81" s="715"/>
      <c r="Y81" s="715"/>
      <c r="Z81" s="715"/>
      <c r="AA81" s="715"/>
      <c r="AB81" s="715"/>
      <c r="AC81" s="715"/>
      <c r="AD81" s="641">
        <f t="shared" ref="AD81:AD87" si="11">SUM(E81:AC81)</f>
        <v>-700</v>
      </c>
      <c r="AE81" s="630">
        <f t="shared" ref="AE81:AE91" si="12">AD81*D81</f>
        <v>-10500</v>
      </c>
      <c r="AF81" s="574" t="str">
        <f t="shared" ref="AF81:AF91" si="13">IF(AD81&lt;0,"buy","sell")</f>
        <v>buy</v>
      </c>
    </row>
    <row r="82" spans="1:33" s="361" customFormat="1" x14ac:dyDescent="0.25">
      <c r="A82" s="711" t="s">
        <v>66</v>
      </c>
      <c r="B82" s="712" t="s">
        <v>369</v>
      </c>
      <c r="C82" s="712" t="s">
        <v>278</v>
      </c>
      <c r="D82" s="713">
        <v>26</v>
      </c>
      <c r="E82" s="622"/>
      <c r="F82" s="623"/>
      <c r="G82" s="624"/>
      <c r="H82" s="624"/>
      <c r="I82" s="624"/>
      <c r="J82" s="624"/>
      <c r="K82" s="624"/>
      <c r="L82" s="624"/>
      <c r="M82" s="624"/>
      <c r="N82" s="624"/>
      <c r="O82" s="624"/>
      <c r="P82" s="624"/>
      <c r="Q82" s="624"/>
      <c r="R82" s="715">
        <v>-25</v>
      </c>
      <c r="S82" s="624"/>
      <c r="T82" s="624"/>
      <c r="U82" s="624"/>
      <c r="V82" s="624"/>
      <c r="W82" s="624"/>
      <c r="X82" s="624"/>
      <c r="Y82" s="624"/>
      <c r="Z82" s="624"/>
      <c r="AA82" s="624"/>
      <c r="AB82" s="624"/>
      <c r="AC82" s="624"/>
      <c r="AD82" s="641">
        <f t="shared" si="11"/>
        <v>-25</v>
      </c>
      <c r="AE82" s="630">
        <f t="shared" si="12"/>
        <v>-650</v>
      </c>
      <c r="AF82" s="574" t="str">
        <f t="shared" si="13"/>
        <v>buy</v>
      </c>
    </row>
    <row r="83" spans="1:33" s="361" customFormat="1" x14ac:dyDescent="0.25">
      <c r="A83" s="711" t="s">
        <v>372</v>
      </c>
      <c r="B83" s="712" t="s">
        <v>369</v>
      </c>
      <c r="C83" s="712" t="s">
        <v>151</v>
      </c>
      <c r="D83" s="713">
        <v>24</v>
      </c>
      <c r="E83" s="622"/>
      <c r="F83" s="623"/>
      <c r="G83" s="624"/>
      <c r="H83" s="624"/>
      <c r="I83" s="624"/>
      <c r="J83" s="624"/>
      <c r="K83" s="624"/>
      <c r="L83" s="624"/>
      <c r="M83" s="624"/>
      <c r="N83" s="624"/>
      <c r="O83" s="624"/>
      <c r="P83" s="624"/>
      <c r="Q83" s="624"/>
      <c r="R83" s="624"/>
      <c r="S83" s="715"/>
      <c r="T83" s="715"/>
      <c r="U83" s="715"/>
      <c r="V83" s="715"/>
      <c r="W83" s="715">
        <v>-50</v>
      </c>
      <c r="X83" s="715">
        <v>-50</v>
      </c>
      <c r="Y83" s="715">
        <v>-50</v>
      </c>
      <c r="Z83" s="624"/>
      <c r="AA83" s="624"/>
      <c r="AB83" s="624"/>
      <c r="AC83" s="624"/>
      <c r="AD83" s="641">
        <f>SUM(E83:AC83)</f>
        <v>-150</v>
      </c>
      <c r="AE83" s="630">
        <f>AD83*D83</f>
        <v>-3600</v>
      </c>
      <c r="AF83" s="574" t="str">
        <f>IF(AD83&lt;0,"buy","sell")</f>
        <v>buy</v>
      </c>
    </row>
    <row r="84" spans="1:33" s="361" customFormat="1" x14ac:dyDescent="0.25">
      <c r="A84" s="711" t="s">
        <v>372</v>
      </c>
      <c r="B84" s="712" t="s">
        <v>369</v>
      </c>
      <c r="C84" s="712" t="s">
        <v>151</v>
      </c>
      <c r="D84" s="713">
        <v>25</v>
      </c>
      <c r="E84" s="622"/>
      <c r="F84" s="623"/>
      <c r="G84" s="624"/>
      <c r="H84" s="624"/>
      <c r="I84" s="624"/>
      <c r="J84" s="624"/>
      <c r="K84" s="624"/>
      <c r="L84" s="624"/>
      <c r="M84" s="624"/>
      <c r="N84" s="624"/>
      <c r="O84" s="624"/>
      <c r="P84" s="624"/>
      <c r="Q84" s="624"/>
      <c r="R84" s="624"/>
      <c r="S84" s="715">
        <v>-75</v>
      </c>
      <c r="T84" s="715">
        <v>-50</v>
      </c>
      <c r="U84" s="715">
        <v>-75</v>
      </c>
      <c r="V84" s="715">
        <v>-50</v>
      </c>
      <c r="W84" s="715"/>
      <c r="X84" s="715"/>
      <c r="Y84" s="715"/>
      <c r="Z84" s="624"/>
      <c r="AA84" s="624"/>
      <c r="AB84" s="624"/>
      <c r="AC84" s="624"/>
      <c r="AD84" s="641">
        <f t="shared" si="11"/>
        <v>-250</v>
      </c>
      <c r="AE84" s="630">
        <f t="shared" si="12"/>
        <v>-6250</v>
      </c>
      <c r="AF84" s="574" t="str">
        <f t="shared" si="13"/>
        <v>buy</v>
      </c>
    </row>
    <row r="85" spans="1:33" s="361" customFormat="1" x14ac:dyDescent="0.25">
      <c r="A85" s="711" t="s">
        <v>372</v>
      </c>
      <c r="B85" s="712" t="s">
        <v>369</v>
      </c>
      <c r="C85" s="712" t="s">
        <v>151</v>
      </c>
      <c r="D85" s="713">
        <v>26</v>
      </c>
      <c r="E85" s="622"/>
      <c r="F85" s="623"/>
      <c r="G85" s="624"/>
      <c r="H85" s="624"/>
      <c r="I85" s="624"/>
      <c r="J85" s="624"/>
      <c r="K85" s="624"/>
      <c r="L85" s="624"/>
      <c r="M85" s="624"/>
      <c r="N85" s="624"/>
      <c r="O85" s="624"/>
      <c r="P85" s="624"/>
      <c r="Q85" s="624"/>
      <c r="R85" s="624"/>
      <c r="S85" s="624"/>
      <c r="T85" s="715">
        <v>-25</v>
      </c>
      <c r="U85" s="715"/>
      <c r="V85" s="715"/>
      <c r="W85" s="715"/>
      <c r="X85" s="715"/>
      <c r="Y85" s="624"/>
      <c r="Z85" s="624"/>
      <c r="AA85" s="624"/>
      <c r="AB85" s="624"/>
      <c r="AC85" s="624"/>
      <c r="AD85" s="641">
        <f t="shared" si="11"/>
        <v>-25</v>
      </c>
      <c r="AE85" s="630">
        <f t="shared" si="12"/>
        <v>-650</v>
      </c>
      <c r="AF85" s="574" t="str">
        <f t="shared" si="13"/>
        <v>buy</v>
      </c>
    </row>
    <row r="86" spans="1:33" s="361" customFormat="1" x14ac:dyDescent="0.25">
      <c r="A86" s="711" t="s">
        <v>66</v>
      </c>
      <c r="B86" s="712" t="s">
        <v>369</v>
      </c>
      <c r="C86" s="712" t="s">
        <v>278</v>
      </c>
      <c r="D86" s="713">
        <v>24</v>
      </c>
      <c r="E86" s="622"/>
      <c r="F86" s="623"/>
      <c r="G86" s="624"/>
      <c r="H86" s="624"/>
      <c r="I86" s="624"/>
      <c r="J86" s="624"/>
      <c r="K86" s="624"/>
      <c r="L86" s="624"/>
      <c r="M86" s="624"/>
      <c r="N86" s="624"/>
      <c r="O86" s="624"/>
      <c r="P86" s="624"/>
      <c r="Q86" s="624"/>
      <c r="R86" s="624"/>
      <c r="S86" s="624"/>
      <c r="T86" s="715"/>
      <c r="U86" s="715">
        <v>-50</v>
      </c>
      <c r="V86" s="715">
        <v>-50</v>
      </c>
      <c r="W86" s="715">
        <v>-50</v>
      </c>
      <c r="X86" s="715">
        <v>-50</v>
      </c>
      <c r="Y86" s="624"/>
      <c r="Z86" s="624"/>
      <c r="AA86" s="624"/>
      <c r="AB86" s="624"/>
      <c r="AC86" s="624"/>
      <c r="AD86" s="641">
        <f t="shared" si="11"/>
        <v>-200</v>
      </c>
      <c r="AE86" s="630">
        <f t="shared" si="12"/>
        <v>-4800</v>
      </c>
      <c r="AF86" s="574" t="str">
        <f t="shared" si="13"/>
        <v>buy</v>
      </c>
    </row>
    <row r="87" spans="1:33" s="361" customFormat="1" x14ac:dyDescent="0.25">
      <c r="A87" s="711"/>
      <c r="B87" s="712"/>
      <c r="C87" s="712"/>
      <c r="D87" s="713"/>
      <c r="E87" s="622"/>
      <c r="F87" s="623"/>
      <c r="G87" s="624"/>
      <c r="H87" s="624"/>
      <c r="I87" s="624"/>
      <c r="J87" s="624"/>
      <c r="K87" s="624"/>
      <c r="L87" s="624"/>
      <c r="M87" s="624"/>
      <c r="N87" s="624"/>
      <c r="O87" s="624"/>
      <c r="P87" s="624"/>
      <c r="Q87" s="624"/>
      <c r="R87" s="624"/>
      <c r="S87" s="624"/>
      <c r="T87" s="624"/>
      <c r="U87" s="624"/>
      <c r="V87" s="624"/>
      <c r="W87" s="624"/>
      <c r="X87" s="624"/>
      <c r="Y87" s="624"/>
      <c r="Z87" s="624"/>
      <c r="AA87" s="624"/>
      <c r="AB87" s="624"/>
      <c r="AC87" s="624"/>
      <c r="AD87" s="641">
        <f t="shared" si="11"/>
        <v>0</v>
      </c>
      <c r="AE87" s="630">
        <f t="shared" si="12"/>
        <v>0</v>
      </c>
      <c r="AF87" s="574" t="str">
        <f t="shared" si="13"/>
        <v>sell</v>
      </c>
    </row>
    <row r="88" spans="1:33" s="361" customFormat="1" x14ac:dyDescent="0.25">
      <c r="A88" s="620"/>
      <c r="B88" s="621"/>
      <c r="C88" s="621"/>
      <c r="D88" s="622"/>
      <c r="E88" s="622"/>
      <c r="F88" s="623"/>
      <c r="G88" s="624"/>
      <c r="H88" s="624"/>
      <c r="I88" s="624"/>
      <c r="J88" s="624"/>
      <c r="K88" s="624"/>
      <c r="L88" s="624"/>
      <c r="M88" s="624"/>
      <c r="N88" s="624"/>
      <c r="O88" s="624"/>
      <c r="P88" s="624"/>
      <c r="Q88" s="624"/>
      <c r="R88" s="624"/>
      <c r="S88" s="624"/>
      <c r="T88" s="624"/>
      <c r="U88" s="624"/>
      <c r="V88" s="624"/>
      <c r="W88" s="624"/>
      <c r="X88" s="624"/>
      <c r="Y88" s="624"/>
      <c r="Z88" s="624"/>
      <c r="AA88" s="624"/>
      <c r="AB88" s="624"/>
      <c r="AC88" s="624"/>
      <c r="AD88" s="629">
        <f>SUM(F88:AC88)</f>
        <v>0</v>
      </c>
      <c r="AE88" s="630">
        <f t="shared" si="12"/>
        <v>0</v>
      </c>
      <c r="AF88" s="574" t="str">
        <f t="shared" si="13"/>
        <v>sell</v>
      </c>
    </row>
    <row r="89" spans="1:33" s="361" customFormat="1" ht="13.8" thickBot="1" x14ac:dyDescent="0.3">
      <c r="A89" s="511" t="s">
        <v>279</v>
      </c>
      <c r="B89" s="512"/>
      <c r="C89" s="512"/>
      <c r="D89" s="513"/>
      <c r="E89" s="513"/>
      <c r="F89" s="514"/>
      <c r="G89" s="514"/>
      <c r="H89" s="514"/>
      <c r="I89" s="514"/>
      <c r="J89" s="514"/>
      <c r="K89" s="514"/>
      <c r="L89" s="514"/>
      <c r="M89" s="514"/>
      <c r="N89" s="514"/>
      <c r="O89" s="514"/>
      <c r="P89" s="514"/>
      <c r="Q89" s="514"/>
      <c r="R89" s="514"/>
      <c r="S89" s="514"/>
      <c r="T89" s="514"/>
      <c r="U89" s="514"/>
      <c r="V89" s="514"/>
      <c r="W89" s="514"/>
      <c r="X89" s="514"/>
      <c r="Y89" s="514"/>
      <c r="Z89" s="514"/>
      <c r="AA89" s="514"/>
      <c r="AB89" s="514"/>
      <c r="AC89" s="515"/>
      <c r="AD89" s="629">
        <f>SUM(F89:AC89)</f>
        <v>0</v>
      </c>
      <c r="AE89" s="630">
        <f t="shared" si="12"/>
        <v>0</v>
      </c>
      <c r="AF89" s="574" t="str">
        <f t="shared" si="13"/>
        <v>sell</v>
      </c>
    </row>
    <row r="90" spans="1:33" s="361" customFormat="1" x14ac:dyDescent="0.25">
      <c r="A90" s="594"/>
      <c r="B90" s="709"/>
      <c r="C90" s="709"/>
      <c r="D90" s="595"/>
      <c r="E90" s="595"/>
      <c r="F90" s="596"/>
      <c r="G90" s="597"/>
      <c r="H90" s="596"/>
      <c r="I90" s="596"/>
      <c r="J90" s="596"/>
      <c r="K90" s="596"/>
      <c r="L90" s="596"/>
      <c r="M90" s="596"/>
      <c r="N90" s="596"/>
      <c r="O90" s="596"/>
      <c r="P90" s="596"/>
      <c r="Q90" s="596"/>
      <c r="R90" s="596"/>
      <c r="S90" s="596"/>
      <c r="T90" s="596"/>
      <c r="U90" s="596"/>
      <c r="V90" s="596"/>
      <c r="W90" s="596"/>
      <c r="X90" s="596"/>
      <c r="Y90" s="596"/>
      <c r="Z90" s="596"/>
      <c r="AA90" s="596"/>
      <c r="AB90" s="596"/>
      <c r="AC90" s="598"/>
      <c r="AD90" s="629">
        <f>SUM(E90:AC90)</f>
        <v>0</v>
      </c>
      <c r="AE90" s="630">
        <f t="shared" si="12"/>
        <v>0</v>
      </c>
      <c r="AF90" s="574" t="str">
        <f t="shared" si="13"/>
        <v>sell</v>
      </c>
    </row>
    <row r="91" spans="1:33" s="361" customFormat="1" x14ac:dyDescent="0.25">
      <c r="A91" s="594"/>
      <c r="B91" s="603"/>
      <c r="C91" s="603"/>
      <c r="D91" s="595"/>
      <c r="E91" s="595"/>
      <c r="F91" s="596"/>
      <c r="G91" s="597"/>
      <c r="H91" s="596"/>
      <c r="I91" s="596"/>
      <c r="J91" s="596"/>
      <c r="K91" s="596"/>
      <c r="L91" s="596"/>
      <c r="M91" s="596"/>
      <c r="N91" s="596"/>
      <c r="O91" s="596"/>
      <c r="P91" s="596"/>
      <c r="Q91" s="596"/>
      <c r="R91" s="596"/>
      <c r="S91" s="596"/>
      <c r="T91" s="596"/>
      <c r="U91" s="599"/>
      <c r="V91" s="596"/>
      <c r="W91" s="596"/>
      <c r="X91" s="596"/>
      <c r="Y91" s="596"/>
      <c r="Z91" s="596"/>
      <c r="AA91" s="596"/>
      <c r="AB91" s="596"/>
      <c r="AC91" s="598"/>
      <c r="AD91" s="629">
        <f>SUM(F91:AC91)</f>
        <v>0</v>
      </c>
      <c r="AE91" s="630">
        <f t="shared" si="12"/>
        <v>0</v>
      </c>
      <c r="AF91" s="574" t="str">
        <f t="shared" si="13"/>
        <v>sell</v>
      </c>
    </row>
    <row r="92" spans="1:33" s="361" customFormat="1" x14ac:dyDescent="0.25">
      <c r="A92" s="601" t="s">
        <v>206</v>
      </c>
      <c r="B92" s="519"/>
      <c r="C92" s="519"/>
      <c r="D92" s="519"/>
      <c r="E92" s="519"/>
      <c r="F92" s="519"/>
      <c r="G92" s="519"/>
      <c r="H92" s="519"/>
      <c r="I92" s="519"/>
      <c r="J92" s="519"/>
      <c r="K92" s="519"/>
      <c r="L92" s="519"/>
      <c r="M92" s="519"/>
      <c r="N92" s="519"/>
      <c r="O92" s="519"/>
      <c r="P92" s="519"/>
      <c r="Q92" s="519"/>
      <c r="R92" s="519"/>
      <c r="S92" s="519"/>
      <c r="T92" s="519"/>
      <c r="U92" s="519"/>
      <c r="V92" s="519"/>
      <c r="W92" s="519"/>
      <c r="X92" s="519"/>
      <c r="Y92" s="519"/>
      <c r="Z92" s="519"/>
      <c r="AA92" s="519"/>
      <c r="AB92" s="519"/>
      <c r="AC92" s="519"/>
      <c r="AD92" s="519"/>
      <c r="AE92" s="519"/>
      <c r="AF92" s="519"/>
    </row>
    <row r="93" spans="1:33" x14ac:dyDescent="0.25">
      <c r="A93" s="361"/>
      <c r="B93" s="379"/>
      <c r="C93" s="379"/>
      <c r="D93" s="380"/>
      <c r="E93" s="380"/>
      <c r="F93" s="379"/>
      <c r="G93" s="381"/>
      <c r="H93" s="381"/>
      <c r="I93" s="381"/>
      <c r="J93" s="381"/>
      <c r="K93" s="381"/>
      <c r="L93" s="381"/>
      <c r="M93" s="381"/>
      <c r="N93" s="381"/>
      <c r="O93" s="381"/>
      <c r="P93" s="381"/>
      <c r="Q93" s="381"/>
      <c r="R93" s="381"/>
      <c r="S93" s="381"/>
      <c r="T93" s="381"/>
      <c r="U93" s="381"/>
      <c r="V93" s="381"/>
      <c r="W93" s="381"/>
      <c r="X93" s="381"/>
      <c r="Y93" s="381"/>
      <c r="Z93" s="466"/>
      <c r="AA93" s="466"/>
      <c r="AB93" s="466"/>
      <c r="AC93" s="578"/>
      <c r="AD93" s="485"/>
      <c r="AE93" s="486"/>
      <c r="AF93" s="466"/>
      <c r="AG93" s="361"/>
    </row>
    <row r="94" spans="1:33" s="361" customFormat="1" ht="17.399999999999999" x14ac:dyDescent="0.3">
      <c r="A94" s="451" t="s">
        <v>241</v>
      </c>
      <c r="B94" s="452"/>
      <c r="C94" s="588"/>
      <c r="D94" s="453"/>
      <c r="E94" s="453"/>
      <c r="F94" s="454"/>
      <c r="G94" s="455"/>
      <c r="H94" s="385"/>
      <c r="I94" s="385"/>
      <c r="J94" s="385"/>
      <c r="K94" s="386"/>
      <c r="L94" s="385"/>
      <c r="M94" s="385"/>
      <c r="N94" s="385"/>
      <c r="O94" s="385"/>
      <c r="P94" s="385"/>
      <c r="Q94" s="385"/>
      <c r="R94" s="385"/>
      <c r="S94" s="385" t="s">
        <v>15</v>
      </c>
      <c r="T94" s="385"/>
      <c r="U94" s="385"/>
      <c r="V94" s="385"/>
      <c r="W94" s="385"/>
      <c r="X94" s="385"/>
      <c r="Y94" s="385"/>
      <c r="Z94" s="387"/>
      <c r="AA94" s="387"/>
      <c r="AB94" s="387"/>
      <c r="AC94" s="579"/>
      <c r="AD94" s="485"/>
      <c r="AE94" s="486"/>
      <c r="AF94" s="387"/>
    </row>
    <row r="95" spans="1:33" s="361" customFormat="1" ht="13.8" thickBot="1" x14ac:dyDescent="0.3">
      <c r="A95" s="456"/>
      <c r="B95" s="457"/>
      <c r="C95" s="457"/>
      <c r="D95" s="453"/>
      <c r="E95" s="453"/>
      <c r="F95" s="455"/>
      <c r="G95" s="455"/>
      <c r="H95" s="385"/>
      <c r="I95" s="385"/>
      <c r="J95" s="385"/>
      <c r="K95" s="388"/>
      <c r="L95" s="388"/>
      <c r="M95" s="385"/>
      <c r="N95" s="385"/>
      <c r="O95" s="385"/>
      <c r="P95" s="385"/>
      <c r="Q95" s="385"/>
      <c r="R95" s="385"/>
      <c r="S95" s="385"/>
      <c r="T95" s="385"/>
      <c r="U95" s="385"/>
      <c r="V95" s="385"/>
      <c r="W95" s="385"/>
      <c r="X95" s="385"/>
      <c r="Y95" s="385"/>
      <c r="Z95" s="387"/>
      <c r="AA95" s="387"/>
      <c r="AB95" s="387"/>
      <c r="AC95" s="579"/>
      <c r="AD95" s="485"/>
      <c r="AE95" s="486"/>
      <c r="AF95" s="387"/>
    </row>
    <row r="96" spans="1:33" s="361" customFormat="1" ht="18" thickBot="1" x14ac:dyDescent="0.35">
      <c r="A96" s="458" t="s">
        <v>7</v>
      </c>
      <c r="B96" s="459"/>
      <c r="C96" s="459" t="s">
        <v>265</v>
      </c>
      <c r="D96" s="460" t="s">
        <v>9</v>
      </c>
      <c r="E96" s="459"/>
      <c r="F96" s="462" t="s">
        <v>271</v>
      </c>
      <c r="G96" s="463"/>
      <c r="H96" s="385"/>
      <c r="I96" s="385"/>
      <c r="J96" s="385"/>
      <c r="K96" s="388"/>
      <c r="L96" s="386"/>
      <c r="M96" s="385"/>
      <c r="N96" s="385"/>
      <c r="O96" s="385"/>
      <c r="P96" s="385"/>
      <c r="Q96" s="385"/>
      <c r="R96" s="385"/>
      <c r="S96" s="385"/>
      <c r="T96" s="385"/>
      <c r="U96" s="385"/>
      <c r="V96" s="385"/>
      <c r="W96" s="385"/>
      <c r="X96" s="385"/>
      <c r="Y96" s="385"/>
      <c r="AA96" s="387"/>
      <c r="AB96" s="387"/>
      <c r="AC96" s="579"/>
      <c r="AD96" s="485"/>
      <c r="AE96" s="486"/>
      <c r="AF96" s="387"/>
    </row>
    <row r="97" spans="1:33" s="361" customFormat="1" ht="17.399999999999999" x14ac:dyDescent="0.3">
      <c r="A97" s="464" t="s">
        <v>243</v>
      </c>
      <c r="B97" s="465" t="s">
        <v>244</v>
      </c>
      <c r="C97" s="465"/>
      <c r="D97" s="626"/>
      <c r="E97" s="465"/>
      <c r="F97" s="461" t="s">
        <v>319</v>
      </c>
      <c r="G97" s="455" t="s">
        <v>320</v>
      </c>
      <c r="H97" s="385"/>
      <c r="I97" s="385"/>
      <c r="J97" s="385"/>
      <c r="K97" s="388"/>
      <c r="L97" s="386"/>
      <c r="M97" s="385"/>
      <c r="N97" s="385"/>
      <c r="O97" s="385"/>
      <c r="P97" s="385"/>
      <c r="Q97" s="385"/>
      <c r="R97" s="385"/>
      <c r="S97" s="385"/>
      <c r="T97" s="385"/>
      <c r="U97" s="385"/>
      <c r="V97" s="385"/>
      <c r="W97" s="385"/>
      <c r="X97" s="385"/>
      <c r="Y97" s="385"/>
      <c r="Z97" s="387" t="s">
        <v>207</v>
      </c>
      <c r="AA97" s="387"/>
      <c r="AB97" s="387"/>
      <c r="AC97" s="580"/>
      <c r="AD97" s="481"/>
      <c r="AE97" s="482"/>
      <c r="AF97" s="387"/>
    </row>
    <row r="98" spans="1:33" s="361" customFormat="1" x14ac:dyDescent="0.25">
      <c r="A98" s="457">
        <v>24</v>
      </c>
      <c r="B98" s="457">
        <v>1</v>
      </c>
      <c r="C98" s="466">
        <v>1</v>
      </c>
      <c r="D98" s="631"/>
      <c r="E98" s="577"/>
      <c r="F98" s="638">
        <f>D98-0.25</f>
        <v>-0.25</v>
      </c>
      <c r="G98" s="602">
        <f>D98+0.56</f>
        <v>0.56000000000000005</v>
      </c>
      <c r="H98" s="385"/>
      <c r="I98" s="385"/>
      <c r="J98" s="385"/>
      <c r="K98" s="388"/>
      <c r="L98" s="385"/>
      <c r="M98" s="385"/>
      <c r="N98" s="385"/>
      <c r="O98" s="385"/>
      <c r="P98" s="385"/>
      <c r="Q98" s="385"/>
      <c r="R98" s="385"/>
      <c r="S98" s="385"/>
      <c r="T98" s="385"/>
      <c r="U98" s="385"/>
      <c r="V98" s="385"/>
      <c r="W98" s="385"/>
      <c r="X98" s="385"/>
      <c r="Y98" s="385"/>
      <c r="Z98" s="387"/>
      <c r="AA98" s="581"/>
      <c r="AB98" s="581"/>
      <c r="AC98" s="580"/>
      <c r="AD98" s="419"/>
      <c r="AE98" s="419"/>
      <c r="AF98" s="581"/>
    </row>
    <row r="99" spans="1:33" s="361" customFormat="1" x14ac:dyDescent="0.25">
      <c r="A99" s="455">
        <v>1</v>
      </c>
      <c r="B99" s="455">
        <v>2</v>
      </c>
      <c r="C99" s="466">
        <v>1</v>
      </c>
      <c r="D99" s="631"/>
      <c r="E99" s="524"/>
      <c r="F99" s="638">
        <f t="shared" ref="F99:F122" si="14">D99-0.25</f>
        <v>-0.25</v>
      </c>
      <c r="G99" s="602">
        <f t="shared" ref="G99:G122" si="15">D99+0.56</f>
        <v>0.56000000000000005</v>
      </c>
      <c r="H99" s="385"/>
      <c r="I99" s="385"/>
      <c r="J99" s="385"/>
      <c r="K99" s="388"/>
      <c r="L99" s="385"/>
      <c r="M99" s="385"/>
      <c r="N99" s="385"/>
      <c r="O99" s="385"/>
      <c r="P99" s="385"/>
      <c r="Q99" s="385"/>
      <c r="R99" s="385"/>
      <c r="S99" s="385"/>
      <c r="T99" s="385"/>
      <c r="U99" s="385"/>
      <c r="V99" s="385"/>
      <c r="W99" s="385"/>
      <c r="X99" s="385"/>
      <c r="Y99" s="385"/>
      <c r="Z99" s="581" t="s">
        <v>266</v>
      </c>
      <c r="AA99" s="581"/>
      <c r="AB99" s="581"/>
      <c r="AC99" s="580"/>
      <c r="AD99" s="502">
        <f>SUM(AD16:AD69)</f>
        <v>0</v>
      </c>
      <c r="AE99" s="502">
        <f>SUM(AE16:AE69)</f>
        <v>0</v>
      </c>
      <c r="AF99" s="581"/>
    </row>
    <row r="100" spans="1:33" s="361" customFormat="1" x14ac:dyDescent="0.25">
      <c r="A100" s="457">
        <v>2</v>
      </c>
      <c r="B100" s="457">
        <v>3</v>
      </c>
      <c r="C100" s="466">
        <v>1</v>
      </c>
      <c r="D100" s="631"/>
      <c r="E100" s="524"/>
      <c r="F100" s="638">
        <f t="shared" si="14"/>
        <v>-0.25</v>
      </c>
      <c r="G100" s="602">
        <f t="shared" si="15"/>
        <v>0.56000000000000005</v>
      </c>
      <c r="H100" s="385"/>
      <c r="I100" s="385"/>
      <c r="J100" s="385"/>
      <c r="K100" s="388"/>
      <c r="L100" s="385"/>
      <c r="M100" s="385"/>
      <c r="N100" s="385"/>
      <c r="O100" s="385"/>
      <c r="P100" s="385"/>
      <c r="Q100" s="385"/>
      <c r="R100" s="385"/>
      <c r="S100" s="385"/>
      <c r="T100" s="385"/>
      <c r="U100" s="385"/>
      <c r="V100" s="385"/>
      <c r="W100" s="385"/>
      <c r="X100" s="385"/>
      <c r="Y100" s="385"/>
      <c r="Z100" s="581" t="s">
        <v>267</v>
      </c>
      <c r="AA100" s="581"/>
      <c r="AB100" s="581"/>
      <c r="AC100" s="582"/>
      <c r="AD100" s="489">
        <f>SUM(AD70:AD88)</f>
        <v>-3911</v>
      </c>
      <c r="AE100" s="489">
        <f>SUM(AE70:AE88)</f>
        <v>-147940.5</v>
      </c>
      <c r="AF100" s="581"/>
    </row>
    <row r="101" spans="1:33" s="361" customFormat="1" x14ac:dyDescent="0.25">
      <c r="A101" s="455">
        <v>3</v>
      </c>
      <c r="B101" s="455">
        <v>4</v>
      </c>
      <c r="C101" s="466">
        <v>1</v>
      </c>
      <c r="D101" s="631"/>
      <c r="E101" s="524"/>
      <c r="F101" s="638">
        <f t="shared" si="14"/>
        <v>-0.25</v>
      </c>
      <c r="G101" s="602">
        <f t="shared" si="15"/>
        <v>0.56000000000000005</v>
      </c>
      <c r="H101" s="392"/>
      <c r="I101" s="392"/>
      <c r="J101" s="392"/>
      <c r="K101" s="393"/>
      <c r="L101" s="392"/>
      <c r="M101" s="385"/>
      <c r="N101" s="385"/>
      <c r="O101" s="392"/>
      <c r="P101" s="392"/>
      <c r="Q101" s="392"/>
      <c r="R101" s="392"/>
      <c r="S101" s="392"/>
      <c r="T101" s="392"/>
      <c r="U101" s="392"/>
      <c r="V101" s="392"/>
      <c r="W101" s="392"/>
      <c r="X101" s="392"/>
      <c r="Y101" s="392"/>
      <c r="Z101" s="399"/>
      <c r="AA101" s="399"/>
      <c r="AB101" s="399"/>
      <c r="AC101" s="495"/>
      <c r="AF101" s="399"/>
    </row>
    <row r="102" spans="1:33" s="419" customFormat="1" x14ac:dyDescent="0.25">
      <c r="A102" s="457">
        <v>4</v>
      </c>
      <c r="B102" s="457">
        <v>5</v>
      </c>
      <c r="C102" s="466">
        <v>1</v>
      </c>
      <c r="D102" s="631"/>
      <c r="E102" s="524"/>
      <c r="F102" s="638">
        <f t="shared" si="14"/>
        <v>-0.25</v>
      </c>
      <c r="G102" s="602">
        <f t="shared" si="15"/>
        <v>0.56000000000000005</v>
      </c>
      <c r="H102" s="392"/>
      <c r="I102" s="361"/>
      <c r="J102" s="361"/>
      <c r="K102" s="361"/>
      <c r="L102" s="361"/>
      <c r="M102" s="361"/>
      <c r="N102" s="361"/>
      <c r="O102" s="385"/>
      <c r="P102" s="385"/>
      <c r="Q102" s="396"/>
      <c r="R102" s="396"/>
      <c r="S102" s="396"/>
      <c r="T102" s="396"/>
      <c r="U102" s="396"/>
      <c r="V102" s="396"/>
      <c r="W102" s="396"/>
      <c r="X102" s="396"/>
      <c r="Y102" s="396"/>
      <c r="Z102" s="583" t="s">
        <v>280</v>
      </c>
      <c r="AA102" s="583"/>
      <c r="AB102" s="583"/>
      <c r="AC102" s="584"/>
      <c r="AD102" s="516"/>
      <c r="AE102" s="517"/>
      <c r="AG102" s="361"/>
    </row>
    <row r="103" spans="1:33" s="419" customFormat="1" x14ac:dyDescent="0.25">
      <c r="A103" s="455">
        <v>5</v>
      </c>
      <c r="B103" s="455">
        <v>6</v>
      </c>
      <c r="C103" s="466">
        <v>1</v>
      </c>
      <c r="D103" s="631"/>
      <c r="E103" s="524"/>
      <c r="F103" s="638">
        <f t="shared" si="14"/>
        <v>-0.25</v>
      </c>
      <c r="G103" s="602">
        <f t="shared" si="15"/>
        <v>0.56000000000000005</v>
      </c>
      <c r="H103" s="385"/>
      <c r="I103" s="361"/>
      <c r="J103" s="361"/>
      <c r="K103" s="361"/>
      <c r="L103" s="361"/>
      <c r="M103" s="361"/>
      <c r="N103" s="361"/>
      <c r="O103" s="385"/>
      <c r="P103" s="385"/>
      <c r="Q103" s="385"/>
      <c r="R103" s="385"/>
      <c r="S103" s="385"/>
      <c r="T103" s="385"/>
      <c r="U103" s="385"/>
      <c r="V103" s="385"/>
      <c r="W103" s="385"/>
      <c r="X103" s="385"/>
      <c r="Y103" s="385"/>
      <c r="Z103" s="583"/>
      <c r="AA103" s="583"/>
      <c r="AB103" s="583"/>
      <c r="AC103" s="584"/>
      <c r="AD103" s="516"/>
      <c r="AE103" s="517"/>
      <c r="AG103" s="385"/>
    </row>
    <row r="104" spans="1:33" s="419" customFormat="1" x14ac:dyDescent="0.25">
      <c r="A104" s="457">
        <v>6</v>
      </c>
      <c r="B104" s="457">
        <v>7</v>
      </c>
      <c r="C104" s="466">
        <v>1</v>
      </c>
      <c r="D104" s="631"/>
      <c r="E104" s="524"/>
      <c r="F104" s="638">
        <f t="shared" si="14"/>
        <v>-0.25</v>
      </c>
      <c r="G104" s="602">
        <f t="shared" si="15"/>
        <v>0.56000000000000005</v>
      </c>
      <c r="H104" s="397"/>
      <c r="I104" s="361"/>
      <c r="J104" s="361"/>
      <c r="K104" s="361"/>
      <c r="L104" s="361"/>
      <c r="M104" s="361"/>
      <c r="N104" s="361"/>
      <c r="O104" s="385"/>
      <c r="P104" s="385"/>
      <c r="Q104" s="397"/>
      <c r="R104" s="397"/>
      <c r="S104" s="397"/>
      <c r="T104" s="397"/>
      <c r="U104" s="397"/>
      <c r="V104" s="397"/>
      <c r="W104" s="397"/>
      <c r="X104" s="397"/>
      <c r="Y104" s="397"/>
      <c r="Z104" s="583" t="s">
        <v>267</v>
      </c>
      <c r="AA104" s="583"/>
      <c r="AB104" s="583"/>
      <c r="AC104" s="584"/>
      <c r="AD104" s="518">
        <f>SUM(AD89:AD92)</f>
        <v>0</v>
      </c>
      <c r="AE104" s="518">
        <f>SUM(AE89:AE92)</f>
        <v>0</v>
      </c>
      <c r="AG104" s="361"/>
    </row>
    <row r="105" spans="1:33" s="419" customFormat="1" x14ac:dyDescent="0.25">
      <c r="A105" s="455">
        <v>7</v>
      </c>
      <c r="B105" s="455">
        <v>8</v>
      </c>
      <c r="C105" s="466">
        <v>1</v>
      </c>
      <c r="D105" s="631"/>
      <c r="E105" s="524"/>
      <c r="F105" s="638">
        <f t="shared" si="14"/>
        <v>-0.25</v>
      </c>
      <c r="G105" s="602">
        <f t="shared" si="15"/>
        <v>0.56000000000000005</v>
      </c>
      <c r="H105" s="397"/>
      <c r="I105" s="361"/>
      <c r="J105" s="361"/>
      <c r="K105" s="361"/>
      <c r="L105" s="361"/>
      <c r="M105" s="361"/>
      <c r="N105" s="361"/>
      <c r="O105" s="385"/>
      <c r="P105" s="385"/>
      <c r="Q105" s="397"/>
      <c r="R105" s="397"/>
      <c r="S105" s="397"/>
      <c r="T105" s="397"/>
      <c r="U105" s="397"/>
      <c r="V105" s="397"/>
      <c r="W105" s="397"/>
      <c r="X105" s="397"/>
      <c r="Y105" s="397"/>
      <c r="AC105" s="496"/>
      <c r="AG105" s="361"/>
    </row>
    <row r="106" spans="1:33" s="419" customFormat="1" x14ac:dyDescent="0.25">
      <c r="A106" s="457">
        <v>8</v>
      </c>
      <c r="B106" s="457">
        <v>9</v>
      </c>
      <c r="C106" s="466">
        <v>1</v>
      </c>
      <c r="D106" s="631"/>
      <c r="E106" s="524"/>
      <c r="F106" s="638">
        <f t="shared" si="14"/>
        <v>-0.25</v>
      </c>
      <c r="G106" s="602">
        <f t="shared" si="15"/>
        <v>0.56000000000000005</v>
      </c>
      <c r="H106" s="385"/>
      <c r="I106" s="361"/>
      <c r="J106" s="361"/>
      <c r="K106" s="361"/>
      <c r="L106" s="361"/>
      <c r="M106" s="361"/>
      <c r="N106" s="361"/>
      <c r="O106" s="385"/>
      <c r="P106" s="385"/>
      <c r="Q106" s="385"/>
      <c r="R106" s="385"/>
      <c r="S106" s="385"/>
      <c r="T106" s="385"/>
      <c r="U106" s="385"/>
      <c r="V106" s="385"/>
      <c r="W106" s="385"/>
      <c r="X106" s="385"/>
      <c r="Y106" s="385"/>
      <c r="AC106" s="496"/>
      <c r="AG106" s="361"/>
    </row>
    <row r="107" spans="1:33" s="419" customFormat="1" x14ac:dyDescent="0.25">
      <c r="A107" s="455">
        <v>9</v>
      </c>
      <c r="B107" s="455">
        <v>10</v>
      </c>
      <c r="C107" s="466">
        <v>1</v>
      </c>
      <c r="D107" s="631"/>
      <c r="E107" s="524"/>
      <c r="F107" s="638">
        <f t="shared" si="14"/>
        <v>-0.25</v>
      </c>
      <c r="G107" s="602">
        <f t="shared" si="15"/>
        <v>0.56000000000000005</v>
      </c>
      <c r="H107" s="385"/>
      <c r="I107" s="361"/>
      <c r="J107" s="361"/>
      <c r="K107" s="361"/>
      <c r="L107" s="361"/>
      <c r="M107" s="361"/>
      <c r="N107" s="361"/>
      <c r="O107" s="385"/>
      <c r="P107" s="385"/>
      <c r="Q107" s="385"/>
      <c r="R107" s="385"/>
      <c r="S107" s="385"/>
      <c r="T107" s="385"/>
      <c r="U107" s="385"/>
      <c r="V107" s="385"/>
      <c r="W107" s="385"/>
      <c r="X107" s="385"/>
      <c r="Y107" s="385"/>
      <c r="AC107" s="496"/>
      <c r="AG107" s="361"/>
    </row>
    <row r="108" spans="1:33" s="419" customFormat="1" x14ac:dyDescent="0.25">
      <c r="A108" s="457">
        <v>10</v>
      </c>
      <c r="B108" s="457">
        <v>11</v>
      </c>
      <c r="C108" s="466">
        <v>1</v>
      </c>
      <c r="D108" s="631"/>
      <c r="E108" s="524"/>
      <c r="F108" s="638">
        <f t="shared" si="14"/>
        <v>-0.25</v>
      </c>
      <c r="G108" s="602">
        <f t="shared" si="15"/>
        <v>0.56000000000000005</v>
      </c>
      <c r="H108" s="398"/>
      <c r="I108" s="421"/>
      <c r="J108" s="421"/>
      <c r="K108" s="421"/>
      <c r="L108" s="421"/>
      <c r="M108" s="421"/>
      <c r="N108" s="421"/>
      <c r="O108" s="398"/>
      <c r="P108" s="398"/>
      <c r="Q108" s="398"/>
      <c r="R108" s="398"/>
      <c r="S108" s="398"/>
      <c r="T108" s="398"/>
      <c r="U108" s="398"/>
      <c r="V108" s="398"/>
      <c r="W108" s="398"/>
      <c r="X108" s="398"/>
      <c r="Y108" s="398"/>
      <c r="AC108" s="496"/>
      <c r="AG108" s="361"/>
    </row>
    <row r="109" spans="1:33" s="419" customFormat="1" x14ac:dyDescent="0.25">
      <c r="A109" s="455">
        <v>11</v>
      </c>
      <c r="B109" s="455">
        <v>12</v>
      </c>
      <c r="C109" s="466">
        <v>1</v>
      </c>
      <c r="D109" s="631"/>
      <c r="E109" s="524"/>
      <c r="F109" s="638">
        <f t="shared" si="14"/>
        <v>-0.25</v>
      </c>
      <c r="G109" s="602">
        <f t="shared" si="15"/>
        <v>0.56000000000000005</v>
      </c>
      <c r="H109" s="399"/>
      <c r="I109" s="361"/>
      <c r="J109" s="361"/>
      <c r="K109" s="361"/>
      <c r="L109" s="361"/>
      <c r="M109" s="361"/>
      <c r="N109" s="361"/>
      <c r="O109" s="399"/>
      <c r="P109" s="399"/>
      <c r="Q109" s="399"/>
      <c r="R109" s="399"/>
      <c r="S109" s="399"/>
      <c r="T109" s="399"/>
      <c r="U109" s="399"/>
      <c r="V109" s="399"/>
      <c r="W109" s="399"/>
      <c r="X109" s="399"/>
      <c r="Y109" s="399"/>
      <c r="AC109" s="496"/>
      <c r="AG109" s="361"/>
    </row>
    <row r="110" spans="1:33" s="419" customFormat="1" x14ac:dyDescent="0.25">
      <c r="A110" s="457">
        <v>12</v>
      </c>
      <c r="B110" s="457">
        <v>13</v>
      </c>
      <c r="C110" s="466">
        <v>1</v>
      </c>
      <c r="D110" s="631"/>
      <c r="E110" s="524"/>
      <c r="F110" s="638">
        <f t="shared" si="14"/>
        <v>-0.25</v>
      </c>
      <c r="G110" s="602">
        <f t="shared" si="15"/>
        <v>0.56000000000000005</v>
      </c>
      <c r="H110" s="399"/>
      <c r="I110" s="361"/>
      <c r="J110" s="361"/>
      <c r="K110" s="361"/>
      <c r="L110" s="361"/>
      <c r="M110" s="361"/>
      <c r="N110" s="361"/>
      <c r="O110" s="399"/>
      <c r="P110" s="399"/>
      <c r="Q110" s="399"/>
      <c r="R110" s="399"/>
      <c r="S110" s="399"/>
      <c r="T110" s="399"/>
      <c r="U110" s="399"/>
      <c r="V110" s="399"/>
      <c r="W110" s="399"/>
      <c r="X110" s="399"/>
      <c r="Y110" s="399"/>
      <c r="Z110" s="399"/>
      <c r="AA110" s="399"/>
      <c r="AB110" s="399"/>
      <c r="AC110" s="495"/>
      <c r="AG110" s="361"/>
    </row>
    <row r="111" spans="1:33" s="419" customFormat="1" x14ac:dyDescent="0.25">
      <c r="A111" s="455">
        <v>13</v>
      </c>
      <c r="B111" s="455">
        <v>14</v>
      </c>
      <c r="C111" s="466">
        <v>1</v>
      </c>
      <c r="D111" s="631"/>
      <c r="E111" s="524"/>
      <c r="F111" s="638">
        <f t="shared" si="14"/>
        <v>-0.25</v>
      </c>
      <c r="G111" s="602">
        <f t="shared" si="15"/>
        <v>0.56000000000000005</v>
      </c>
      <c r="H111" s="399"/>
      <c r="I111" s="361"/>
      <c r="J111" s="361"/>
      <c r="K111" s="361"/>
      <c r="L111" s="361"/>
      <c r="M111" s="361"/>
      <c r="N111" s="361"/>
      <c r="O111" s="399"/>
      <c r="P111" s="399"/>
      <c r="Q111" s="399"/>
      <c r="R111" s="399"/>
      <c r="S111" s="399"/>
      <c r="T111" s="399"/>
      <c r="U111" s="399"/>
      <c r="V111" s="399"/>
      <c r="W111" s="399"/>
      <c r="X111" s="399"/>
      <c r="Y111" s="399"/>
      <c r="Z111" s="399"/>
      <c r="AA111" s="399"/>
      <c r="AB111" s="399"/>
      <c r="AC111" s="495"/>
      <c r="AD111" s="485"/>
      <c r="AE111" s="486"/>
      <c r="AF111" s="487"/>
      <c r="AG111" s="361"/>
    </row>
    <row r="112" spans="1:33" s="419" customFormat="1" x14ac:dyDescent="0.25">
      <c r="A112" s="457">
        <v>14</v>
      </c>
      <c r="B112" s="457">
        <v>15</v>
      </c>
      <c r="C112" s="466">
        <v>1</v>
      </c>
      <c r="D112" s="631"/>
      <c r="E112" s="524"/>
      <c r="F112" s="638">
        <f t="shared" si="14"/>
        <v>-0.25</v>
      </c>
      <c r="G112" s="602">
        <f t="shared" si="15"/>
        <v>0.56000000000000005</v>
      </c>
      <c r="H112" s="399"/>
      <c r="I112" s="361"/>
      <c r="J112" s="361"/>
      <c r="K112" s="361"/>
      <c r="L112" s="361"/>
      <c r="M112" s="361"/>
      <c r="N112" s="361"/>
      <c r="O112" s="399"/>
      <c r="P112" s="399"/>
      <c r="Q112" s="399"/>
      <c r="R112" s="399"/>
      <c r="S112" s="399"/>
      <c r="T112" s="399"/>
      <c r="U112" s="399"/>
      <c r="V112" s="399"/>
      <c r="W112" s="399"/>
      <c r="X112" s="399"/>
      <c r="Y112" s="399"/>
      <c r="Z112" s="399"/>
      <c r="AA112" s="399"/>
      <c r="AB112" s="399"/>
      <c r="AC112" s="495"/>
      <c r="AD112" s="485"/>
      <c r="AE112" s="486"/>
      <c r="AF112" s="487"/>
    </row>
    <row r="113" spans="1:33" s="488" customFormat="1" ht="13.8" thickBot="1" x14ac:dyDescent="0.3">
      <c r="A113" s="455">
        <v>15</v>
      </c>
      <c r="B113" s="455">
        <v>16</v>
      </c>
      <c r="C113" s="466">
        <v>1</v>
      </c>
      <c r="D113" s="631"/>
      <c r="E113" s="524"/>
      <c r="F113" s="638">
        <f t="shared" si="14"/>
        <v>-0.25</v>
      </c>
      <c r="G113" s="602">
        <f t="shared" si="15"/>
        <v>0.56000000000000005</v>
      </c>
      <c r="H113" s="399"/>
      <c r="I113" s="361"/>
      <c r="J113" s="361"/>
      <c r="K113" s="361"/>
      <c r="L113" s="361"/>
      <c r="M113" s="361"/>
      <c r="N113" s="361"/>
      <c r="O113" s="399"/>
      <c r="P113" s="399"/>
      <c r="Q113" s="399"/>
      <c r="R113" s="399"/>
      <c r="S113" s="399"/>
      <c r="T113" s="399"/>
      <c r="U113" s="399"/>
      <c r="V113" s="399"/>
      <c r="W113" s="399"/>
      <c r="X113" s="399"/>
      <c r="Y113" s="399"/>
      <c r="Z113" s="399"/>
      <c r="AA113" s="399"/>
      <c r="AB113" s="399"/>
      <c r="AC113" s="495"/>
      <c r="AD113" s="485"/>
      <c r="AE113" s="486"/>
      <c r="AF113" s="487"/>
      <c r="AG113" s="419"/>
    </row>
    <row r="114" spans="1:33" s="419" customFormat="1" x14ac:dyDescent="0.25">
      <c r="A114" s="457">
        <v>16</v>
      </c>
      <c r="B114" s="457">
        <v>17</v>
      </c>
      <c r="C114" s="466">
        <v>1</v>
      </c>
      <c r="D114" s="631"/>
      <c r="E114" s="524"/>
      <c r="F114" s="638">
        <f t="shared" si="14"/>
        <v>-0.25</v>
      </c>
      <c r="G114" s="602">
        <f t="shared" si="15"/>
        <v>0.56000000000000005</v>
      </c>
      <c r="H114" s="399"/>
      <c r="I114" s="361"/>
      <c r="J114" s="361"/>
      <c r="K114" s="361"/>
      <c r="L114" s="361"/>
      <c r="M114" s="361"/>
      <c r="N114" s="361"/>
      <c r="O114" s="399"/>
      <c r="P114" s="399"/>
      <c r="Q114" s="399"/>
      <c r="R114" s="399"/>
      <c r="S114" s="399"/>
      <c r="T114" s="399"/>
      <c r="U114" s="399"/>
      <c r="V114" s="399"/>
      <c r="W114" s="399"/>
      <c r="X114" s="399"/>
      <c r="Y114" s="399"/>
      <c r="Z114" s="399"/>
      <c r="AA114" s="399"/>
      <c r="AB114" s="399"/>
      <c r="AC114" s="495"/>
      <c r="AD114" s="485"/>
      <c r="AE114" s="486"/>
      <c r="AF114" s="487"/>
    </row>
    <row r="115" spans="1:33" s="361" customFormat="1" x14ac:dyDescent="0.25">
      <c r="A115" s="455">
        <v>17</v>
      </c>
      <c r="B115" s="455">
        <v>18</v>
      </c>
      <c r="C115" s="466">
        <v>1</v>
      </c>
      <c r="D115" s="631"/>
      <c r="E115" s="524"/>
      <c r="F115" s="638">
        <f t="shared" si="14"/>
        <v>-0.25</v>
      </c>
      <c r="G115" s="602">
        <f t="shared" si="15"/>
        <v>0.56000000000000005</v>
      </c>
      <c r="H115" s="399"/>
      <c r="O115" s="399"/>
      <c r="P115" s="399"/>
      <c r="Q115" s="399"/>
      <c r="R115" s="399"/>
      <c r="S115" s="399"/>
      <c r="T115" s="399"/>
      <c r="U115" s="399"/>
      <c r="V115" s="399"/>
      <c r="W115" s="399"/>
      <c r="X115" s="399"/>
      <c r="Y115" s="399"/>
      <c r="Z115" s="399"/>
      <c r="AA115" s="399"/>
      <c r="AB115" s="399"/>
      <c r="AC115" s="495"/>
      <c r="AD115" s="485"/>
      <c r="AE115" s="585"/>
      <c r="AF115" s="419"/>
      <c r="AG115" s="419"/>
    </row>
    <row r="116" spans="1:33" s="361" customFormat="1" x14ac:dyDescent="0.25">
      <c r="A116" s="457">
        <v>18</v>
      </c>
      <c r="B116" s="457">
        <v>19</v>
      </c>
      <c r="C116" s="466">
        <v>1</v>
      </c>
      <c r="D116" s="631"/>
      <c r="E116" s="524"/>
      <c r="F116" s="638">
        <f t="shared" si="14"/>
        <v>-0.25</v>
      </c>
      <c r="G116" s="602">
        <f t="shared" si="15"/>
        <v>0.56000000000000005</v>
      </c>
      <c r="H116" s="402"/>
      <c r="O116" s="401"/>
      <c r="P116" s="401"/>
      <c r="Q116" s="402"/>
      <c r="R116" s="402"/>
      <c r="S116" s="402"/>
      <c r="T116" s="402"/>
      <c r="U116" s="402"/>
      <c r="V116" s="402"/>
      <c r="W116" s="402"/>
      <c r="X116" s="402"/>
      <c r="Y116" s="402"/>
      <c r="Z116" s="402"/>
      <c r="AA116" s="402"/>
      <c r="AB116" s="402"/>
      <c r="AC116" s="497"/>
      <c r="AD116" s="419"/>
      <c r="AE116" s="419"/>
      <c r="AF116" s="419"/>
      <c r="AG116" s="419"/>
    </row>
    <row r="117" spans="1:33" s="361" customFormat="1" x14ac:dyDescent="0.25">
      <c r="A117" s="455">
        <v>19</v>
      </c>
      <c r="B117" s="455">
        <v>20</v>
      </c>
      <c r="C117" s="466">
        <v>1</v>
      </c>
      <c r="D117" s="631"/>
      <c r="E117" s="524"/>
      <c r="F117" s="638">
        <f t="shared" si="14"/>
        <v>-0.25</v>
      </c>
      <c r="G117" s="602">
        <f t="shared" si="15"/>
        <v>0.56000000000000005</v>
      </c>
      <c r="H117" s="403"/>
      <c r="O117" s="428"/>
      <c r="P117" s="428"/>
      <c r="Q117" s="403"/>
      <c r="R117" s="403"/>
      <c r="S117" s="403"/>
      <c r="T117" s="403"/>
      <c r="U117" s="403"/>
      <c r="V117" s="403"/>
      <c r="W117" s="403"/>
      <c r="X117" s="403"/>
      <c r="Y117" s="403"/>
      <c r="Z117" s="403"/>
      <c r="AA117" s="403"/>
      <c r="AB117" s="403"/>
      <c r="AC117" s="498"/>
      <c r="AD117" s="586"/>
      <c r="AE117" s="489"/>
      <c r="AF117" s="419"/>
      <c r="AG117" s="419"/>
    </row>
    <row r="118" spans="1:33" s="419" customFormat="1" x14ac:dyDescent="0.25">
      <c r="A118" s="457">
        <v>20</v>
      </c>
      <c r="B118" s="457">
        <v>21</v>
      </c>
      <c r="C118" s="466">
        <v>1</v>
      </c>
      <c r="D118" s="631"/>
      <c r="E118" s="524"/>
      <c r="F118" s="638">
        <f t="shared" si="14"/>
        <v>-0.25</v>
      </c>
      <c r="G118" s="602">
        <f t="shared" si="15"/>
        <v>0.56000000000000005</v>
      </c>
      <c r="H118" s="403"/>
      <c r="I118" s="361"/>
      <c r="J118" s="361"/>
      <c r="K118" s="361"/>
      <c r="L118" s="361"/>
      <c r="M118" s="361"/>
      <c r="N118" s="361"/>
      <c r="O118" s="428"/>
      <c r="P118" s="428"/>
      <c r="Q118" s="403"/>
      <c r="R118" s="403"/>
      <c r="S118" s="403"/>
      <c r="T118" s="403"/>
      <c r="U118" s="403"/>
      <c r="V118" s="403"/>
      <c r="W118" s="403"/>
      <c r="X118" s="403"/>
      <c r="Y118" s="403"/>
      <c r="Z118" s="403"/>
      <c r="AA118" s="403"/>
      <c r="AB118" s="403"/>
      <c r="AC118" s="498"/>
      <c r="AD118" s="489"/>
      <c r="AE118" s="489"/>
    </row>
    <row r="119" spans="1:33" s="419" customFormat="1" x14ac:dyDescent="0.25">
      <c r="A119" s="455">
        <v>21</v>
      </c>
      <c r="B119" s="455">
        <v>22</v>
      </c>
      <c r="C119" s="466">
        <v>1</v>
      </c>
      <c r="D119" s="631"/>
      <c r="E119" s="524"/>
      <c r="F119" s="638">
        <f t="shared" si="14"/>
        <v>-0.25</v>
      </c>
      <c r="G119" s="602">
        <f t="shared" si="15"/>
        <v>0.56000000000000005</v>
      </c>
      <c r="H119" s="403"/>
      <c r="I119" s="361"/>
      <c r="J119" s="448"/>
      <c r="K119" s="361"/>
      <c r="L119" s="361"/>
      <c r="M119" s="361"/>
      <c r="N119" s="361"/>
      <c r="O119" s="428"/>
      <c r="P119" s="428"/>
      <c r="Q119" s="403"/>
      <c r="R119" s="403"/>
      <c r="S119" s="403"/>
      <c r="T119" s="403"/>
      <c r="U119" s="403"/>
      <c r="V119" s="403"/>
      <c r="W119" s="403"/>
      <c r="X119" s="403"/>
      <c r="Y119" s="403"/>
      <c r="Z119" s="403"/>
      <c r="AA119" s="403"/>
      <c r="AB119" s="403"/>
      <c r="AC119" s="498"/>
      <c r="AD119" s="361"/>
      <c r="AE119" s="361"/>
    </row>
    <row r="120" spans="1:33" s="419" customFormat="1" x14ac:dyDescent="0.25">
      <c r="A120" s="457">
        <v>22</v>
      </c>
      <c r="B120" s="457">
        <v>23</v>
      </c>
      <c r="C120" s="466">
        <v>1</v>
      </c>
      <c r="D120" s="631"/>
      <c r="E120" s="524"/>
      <c r="F120" s="638">
        <f t="shared" si="14"/>
        <v>-0.25</v>
      </c>
      <c r="G120" s="602">
        <f t="shared" si="15"/>
        <v>0.56000000000000005</v>
      </c>
      <c r="H120" s="403"/>
      <c r="I120" s="361"/>
      <c r="J120" s="361"/>
      <c r="K120" s="361"/>
      <c r="L120" s="361"/>
      <c r="M120" s="361"/>
      <c r="N120" s="361"/>
      <c r="O120" s="428"/>
      <c r="P120" s="428"/>
      <c r="Q120" s="403"/>
      <c r="R120" s="403"/>
      <c r="S120" s="403"/>
      <c r="T120" s="403"/>
      <c r="U120" s="403"/>
      <c r="V120" s="403"/>
      <c r="W120" s="403"/>
      <c r="X120" s="403"/>
      <c r="Y120" s="403"/>
      <c r="Z120" s="403"/>
      <c r="AA120" s="403"/>
      <c r="AB120" s="403"/>
      <c r="AC120" s="498"/>
      <c r="AD120" s="485"/>
      <c r="AE120" s="585"/>
      <c r="AF120" s="587"/>
    </row>
    <row r="121" spans="1:33" s="419" customFormat="1" x14ac:dyDescent="0.25">
      <c r="A121" s="457">
        <v>23</v>
      </c>
      <c r="B121" s="455">
        <v>24</v>
      </c>
      <c r="C121" s="466">
        <v>1</v>
      </c>
      <c r="D121" s="631"/>
      <c r="E121" s="577"/>
      <c r="F121" s="638">
        <f t="shared" si="14"/>
        <v>-0.25</v>
      </c>
      <c r="G121" s="602">
        <f t="shared" si="15"/>
        <v>0.56000000000000005</v>
      </c>
      <c r="H121" s="406"/>
      <c r="I121" s="361"/>
      <c r="J121" s="361"/>
      <c r="K121" s="361"/>
      <c r="L121" s="361"/>
      <c r="M121" s="361"/>
      <c r="N121" s="361"/>
      <c r="O121" s="429"/>
      <c r="P121" s="429"/>
      <c r="Q121" s="406"/>
      <c r="R121" s="406"/>
      <c r="S121" s="406"/>
      <c r="T121" s="406"/>
      <c r="U121" s="406"/>
      <c r="V121" s="406"/>
      <c r="W121" s="406"/>
      <c r="X121" s="406"/>
      <c r="Y121" s="406"/>
      <c r="Z121" s="403"/>
      <c r="AA121" s="403"/>
      <c r="AB121" s="403"/>
      <c r="AC121" s="498"/>
      <c r="AD121" s="485"/>
      <c r="AE121" s="585"/>
      <c r="AF121" s="587"/>
    </row>
    <row r="122" spans="1:33" s="419" customFormat="1" x14ac:dyDescent="0.25">
      <c r="A122" s="625">
        <v>24</v>
      </c>
      <c r="B122" s="457">
        <v>1</v>
      </c>
      <c r="C122" s="466">
        <v>1</v>
      </c>
      <c r="D122" s="633"/>
      <c r="E122" s="520"/>
      <c r="F122" s="638">
        <f t="shared" si="14"/>
        <v>-0.25</v>
      </c>
      <c r="G122" s="602">
        <f t="shared" si="15"/>
        <v>0.56000000000000005</v>
      </c>
      <c r="H122" s="406"/>
      <c r="I122" s="361"/>
      <c r="J122" s="361"/>
      <c r="K122" s="361"/>
      <c r="L122" s="361"/>
      <c r="M122" s="361"/>
      <c r="N122" s="361"/>
      <c r="O122" s="429"/>
      <c r="P122" s="429"/>
      <c r="Q122" s="406"/>
      <c r="R122" s="406"/>
      <c r="S122" s="406"/>
      <c r="T122" s="406"/>
      <c r="U122" s="406"/>
      <c r="V122" s="406"/>
      <c r="W122" s="406"/>
      <c r="X122" s="406"/>
      <c r="Y122" s="406"/>
      <c r="Z122" s="403"/>
      <c r="AA122" s="403"/>
      <c r="AB122" s="403"/>
      <c r="AC122" s="498"/>
      <c r="AD122" s="489"/>
      <c r="AE122" s="489"/>
      <c r="AF122" s="587"/>
    </row>
    <row r="123" spans="1:33" s="419" customFormat="1" ht="13.8" thickBot="1" x14ac:dyDescent="0.3">
      <c r="A123" s="361"/>
      <c r="B123" s="361"/>
      <c r="C123" s="361"/>
      <c r="D123" s="631"/>
      <c r="E123" s="361"/>
      <c r="F123" s="361"/>
      <c r="G123" s="455"/>
      <c r="H123" s="406"/>
      <c r="I123" s="361"/>
      <c r="J123" s="361"/>
      <c r="K123" s="361"/>
      <c r="L123" s="361"/>
      <c r="M123" s="361"/>
      <c r="N123" s="361"/>
      <c r="O123" s="429"/>
      <c r="P123" s="429"/>
      <c r="Q123" s="406"/>
      <c r="R123" s="406"/>
      <c r="S123" s="406"/>
      <c r="T123" s="406"/>
      <c r="U123" s="406"/>
      <c r="V123" s="406"/>
      <c r="W123" s="406"/>
      <c r="X123" s="406"/>
      <c r="Y123" s="406"/>
      <c r="Z123" s="403"/>
      <c r="AA123" s="403"/>
      <c r="AB123" s="403"/>
      <c r="AC123" s="498"/>
      <c r="AF123" s="483"/>
      <c r="AG123" s="488"/>
    </row>
    <row r="124" spans="1:33" s="419" customFormat="1" ht="17.399999999999999" x14ac:dyDescent="0.3">
      <c r="A124" s="454"/>
      <c r="B124" s="468" t="s">
        <v>242</v>
      </c>
      <c r="C124" s="469"/>
      <c r="D124" s="634"/>
      <c r="E124" s="469"/>
      <c r="F124" s="469"/>
      <c r="G124" s="455"/>
      <c r="H124" s="455"/>
      <c r="I124" s="361"/>
      <c r="J124" s="361"/>
      <c r="K124" s="361"/>
      <c r="L124" s="361"/>
      <c r="M124" s="361"/>
      <c r="N124" s="361"/>
      <c r="O124" s="471"/>
      <c r="P124" s="471"/>
      <c r="Q124" s="455"/>
      <c r="R124" s="455"/>
      <c r="S124" s="455"/>
      <c r="T124" s="455"/>
      <c r="U124" s="455"/>
      <c r="V124" s="455"/>
      <c r="W124" s="455"/>
      <c r="X124" s="455"/>
      <c r="Y124" s="406"/>
      <c r="Z124" s="403"/>
      <c r="AA124" s="403"/>
      <c r="AB124" s="403"/>
      <c r="AC124" s="498"/>
      <c r="AF124" s="483"/>
    </row>
    <row r="125" spans="1:33" s="419" customFormat="1" ht="13.8" thickBot="1" x14ac:dyDescent="0.3">
      <c r="A125" s="455"/>
      <c r="B125" s="455"/>
      <c r="C125" s="455"/>
      <c r="D125" s="635"/>
      <c r="E125" s="455"/>
      <c r="F125" s="455"/>
      <c r="G125" s="455"/>
      <c r="H125" s="455"/>
      <c r="I125" s="361"/>
      <c r="J125" s="361"/>
      <c r="K125" s="361"/>
      <c r="L125" s="361"/>
      <c r="M125" s="361"/>
      <c r="N125" s="361"/>
      <c r="O125" s="471"/>
      <c r="P125" s="471"/>
      <c r="Q125" s="455"/>
      <c r="R125" s="455"/>
      <c r="S125" s="455"/>
      <c r="T125" s="455"/>
      <c r="U125" s="455"/>
      <c r="V125" s="455"/>
      <c r="W125" s="455"/>
      <c r="X125" s="455"/>
      <c r="Y125" s="406"/>
      <c r="Z125" s="403"/>
      <c r="AA125" s="403"/>
      <c r="AB125" s="403"/>
      <c r="AC125" s="498"/>
      <c r="AF125" s="361"/>
      <c r="AG125" s="361"/>
    </row>
    <row r="126" spans="1:33" s="419" customFormat="1" ht="18" thickBot="1" x14ac:dyDescent="0.35">
      <c r="A126" s="458" t="s">
        <v>7</v>
      </c>
      <c r="B126" s="459"/>
      <c r="C126" s="459" t="s">
        <v>265</v>
      </c>
      <c r="D126" s="632"/>
      <c r="E126" s="459"/>
      <c r="F126" s="470" t="s">
        <v>271</v>
      </c>
      <c r="G126" s="460"/>
      <c r="H126" s="455" t="s">
        <v>272</v>
      </c>
      <c r="I126" s="361"/>
      <c r="J126" s="361"/>
      <c r="K126" s="361"/>
      <c r="L126" s="361"/>
      <c r="M126" s="361"/>
      <c r="N126" s="361"/>
      <c r="O126" s="471"/>
      <c r="P126" s="471"/>
      <c r="Q126" s="455"/>
      <c r="R126" s="455"/>
      <c r="S126" s="455"/>
      <c r="T126" s="455"/>
      <c r="U126" s="455"/>
      <c r="V126" s="455"/>
      <c r="W126" s="455"/>
      <c r="X126" s="455"/>
      <c r="Y126" s="406"/>
      <c r="Z126" s="406"/>
      <c r="AA126" s="406"/>
      <c r="AB126" s="406"/>
      <c r="AC126" s="499"/>
      <c r="AF126" s="361"/>
      <c r="AG126" s="361"/>
    </row>
    <row r="127" spans="1:33" s="419" customFormat="1" ht="17.399999999999999" x14ac:dyDescent="0.3">
      <c r="A127" s="464" t="s">
        <v>243</v>
      </c>
      <c r="B127" s="465" t="s">
        <v>244</v>
      </c>
      <c r="C127" s="465"/>
      <c r="D127" s="636"/>
      <c r="E127" s="461"/>
      <c r="F127" s="461" t="s">
        <v>319</v>
      </c>
      <c r="G127" s="455" t="s">
        <v>320</v>
      </c>
      <c r="H127" s="472">
        <v>4.3999999999999997E-2</v>
      </c>
      <c r="I127" s="473" t="s">
        <v>274</v>
      </c>
      <c r="J127" s="361"/>
      <c r="K127" s="361"/>
      <c r="L127" s="361"/>
      <c r="M127" s="474" t="s">
        <v>275</v>
      </c>
      <c r="N127" s="475"/>
      <c r="O127" s="471"/>
      <c r="P127" s="471"/>
      <c r="Q127" s="455"/>
      <c r="R127" s="455"/>
      <c r="S127" s="455"/>
      <c r="T127" s="455"/>
      <c r="U127" s="455"/>
      <c r="V127" s="455"/>
      <c r="W127" s="455"/>
      <c r="X127" s="455"/>
      <c r="Y127" s="406"/>
      <c r="Z127" s="406"/>
      <c r="AA127" s="406"/>
      <c r="AB127" s="406"/>
      <c r="AC127" s="499"/>
      <c r="AF127" s="361"/>
      <c r="AG127" s="361"/>
    </row>
    <row r="128" spans="1:33" s="419" customFormat="1" x14ac:dyDescent="0.25">
      <c r="A128" s="457">
        <v>24</v>
      </c>
      <c r="B128" s="455">
        <v>1</v>
      </c>
      <c r="C128" s="466">
        <v>1</v>
      </c>
      <c r="D128" s="631"/>
      <c r="E128" s="577"/>
      <c r="F128" s="638">
        <f t="shared" ref="F128:F152" si="16">D128-0.25</f>
        <v>-0.25</v>
      </c>
      <c r="G128" s="602">
        <f>D128+0.56</f>
        <v>0.56000000000000005</v>
      </c>
      <c r="I128" s="476" t="s">
        <v>273</v>
      </c>
      <c r="J128" s="477"/>
      <c r="K128" s="361"/>
      <c r="L128" s="361"/>
      <c r="M128" s="361"/>
      <c r="N128" s="361"/>
      <c r="O128" s="471"/>
      <c r="P128" s="471"/>
      <c r="Q128" s="455"/>
      <c r="R128" s="455"/>
      <c r="S128" s="455"/>
      <c r="T128" s="455"/>
      <c r="U128" s="455"/>
      <c r="V128" s="455"/>
      <c r="W128" s="455"/>
      <c r="X128" s="455"/>
      <c r="Y128" s="406"/>
      <c r="Z128" s="406"/>
      <c r="AA128" s="480"/>
      <c r="AB128" s="406"/>
      <c r="AC128" s="499"/>
      <c r="AD128" s="361"/>
      <c r="AE128" s="361"/>
      <c r="AF128" s="361"/>
    </row>
    <row r="129" spans="1:32" s="419" customFormat="1" x14ac:dyDescent="0.25">
      <c r="A129" s="455">
        <v>1</v>
      </c>
      <c r="B129" s="455">
        <v>2</v>
      </c>
      <c r="C129" s="466">
        <v>1</v>
      </c>
      <c r="D129" s="637"/>
      <c r="E129" s="524"/>
      <c r="F129" s="638">
        <f t="shared" si="16"/>
        <v>-0.25</v>
      </c>
      <c r="G129" s="602">
        <f t="shared" ref="G129:G151" si="17">D129+0.56</f>
        <v>0.56000000000000005</v>
      </c>
      <c r="I129" s="476"/>
      <c r="J129" s="477"/>
      <c r="K129" s="361"/>
      <c r="L129" s="361"/>
      <c r="M129" s="361"/>
      <c r="N129" s="361"/>
      <c r="O129" s="471"/>
      <c r="P129" s="471"/>
      <c r="Q129" s="455"/>
      <c r="R129" s="455"/>
      <c r="S129" s="455"/>
      <c r="T129" s="455"/>
      <c r="U129" s="455"/>
      <c r="V129" s="455"/>
      <c r="W129" s="455"/>
      <c r="X129" s="455"/>
      <c r="Y129" s="406"/>
      <c r="Z129" s="406"/>
      <c r="AA129" s="480"/>
      <c r="AB129" s="406"/>
      <c r="AC129" s="499"/>
      <c r="AD129" s="420"/>
      <c r="AE129" s="361"/>
      <c r="AF129" s="361"/>
    </row>
    <row r="130" spans="1:32" s="419" customFormat="1" x14ac:dyDescent="0.25">
      <c r="A130" s="457">
        <v>2</v>
      </c>
      <c r="B130" s="455">
        <v>3</v>
      </c>
      <c r="C130" s="466">
        <v>1</v>
      </c>
      <c r="D130" s="633"/>
      <c r="E130" s="524"/>
      <c r="F130" s="638">
        <f t="shared" si="16"/>
        <v>-0.25</v>
      </c>
      <c r="G130" s="602">
        <f t="shared" si="17"/>
        <v>0.56000000000000005</v>
      </c>
      <c r="I130" s="476"/>
      <c r="J130" s="477"/>
      <c r="K130" s="391"/>
      <c r="L130" s="391"/>
      <c r="M130" s="391"/>
      <c r="N130" s="391"/>
      <c r="O130" s="471"/>
      <c r="P130" s="471"/>
      <c r="Q130" s="455"/>
      <c r="R130" s="455"/>
      <c r="S130" s="455"/>
      <c r="T130" s="455"/>
      <c r="U130" s="455"/>
      <c r="V130" s="455"/>
      <c r="W130" s="455"/>
      <c r="X130" s="455"/>
      <c r="Y130" s="406"/>
      <c r="Z130" s="406"/>
      <c r="AA130" s="480"/>
      <c r="AB130" s="406"/>
      <c r="AC130" s="499"/>
      <c r="AF130" s="361"/>
    </row>
    <row r="131" spans="1:32" s="419" customFormat="1" x14ac:dyDescent="0.25">
      <c r="A131" s="455">
        <v>3</v>
      </c>
      <c r="B131" s="455">
        <v>4</v>
      </c>
      <c r="C131" s="466">
        <v>1</v>
      </c>
      <c r="D131" s="633"/>
      <c r="E131" s="524"/>
      <c r="F131" s="638">
        <f t="shared" si="16"/>
        <v>-0.25</v>
      </c>
      <c r="G131" s="602">
        <f t="shared" si="17"/>
        <v>0.56000000000000005</v>
      </c>
      <c r="I131" s="478"/>
      <c r="J131" s="477"/>
      <c r="K131" s="455"/>
      <c r="L131" s="455"/>
      <c r="M131" s="471"/>
      <c r="N131" s="471"/>
      <c r="O131" s="455"/>
      <c r="P131" s="455"/>
      <c r="Q131" s="455"/>
      <c r="R131" s="455"/>
      <c r="S131" s="455"/>
      <c r="T131" s="455"/>
      <c r="U131" s="455"/>
      <c r="V131" s="455"/>
      <c r="W131" s="455"/>
      <c r="X131" s="455"/>
      <c r="Y131" s="406"/>
      <c r="Z131" s="406"/>
      <c r="AA131" s="480"/>
      <c r="AB131" s="406"/>
      <c r="AC131" s="499"/>
      <c r="AD131" s="449"/>
      <c r="AE131" s="450"/>
      <c r="AF131" s="361"/>
    </row>
    <row r="132" spans="1:32" s="419" customFormat="1" x14ac:dyDescent="0.25">
      <c r="A132" s="457">
        <v>4</v>
      </c>
      <c r="B132" s="455">
        <v>5</v>
      </c>
      <c r="C132" s="466">
        <v>1</v>
      </c>
      <c r="D132" s="633"/>
      <c r="E132" s="524"/>
      <c r="F132" s="638">
        <f t="shared" si="16"/>
        <v>-0.25</v>
      </c>
      <c r="G132" s="602">
        <f t="shared" si="17"/>
        <v>0.56000000000000005</v>
      </c>
      <c r="I132" s="478"/>
      <c r="J132" s="477"/>
      <c r="K132" s="455"/>
      <c r="L132" s="455"/>
      <c r="M132" s="471"/>
      <c r="N132" s="471"/>
      <c r="O132" s="455"/>
      <c r="P132" s="455"/>
      <c r="Q132" s="455"/>
      <c r="R132" s="455"/>
      <c r="S132" s="455"/>
      <c r="T132" s="455"/>
      <c r="U132" s="455"/>
      <c r="V132" s="455"/>
      <c r="W132" s="455"/>
      <c r="X132" s="455"/>
      <c r="Y132" s="406"/>
      <c r="Z132" s="406"/>
      <c r="AA132" s="480"/>
      <c r="AB132" s="406"/>
      <c r="AC132" s="499"/>
      <c r="AD132" s="420"/>
      <c r="AE132" s="361"/>
      <c r="AF132" s="361"/>
    </row>
    <row r="133" spans="1:32" s="419" customFormat="1" x14ac:dyDescent="0.25">
      <c r="A133" s="455">
        <v>5</v>
      </c>
      <c r="B133" s="455">
        <v>6</v>
      </c>
      <c r="C133" s="466">
        <v>1</v>
      </c>
      <c r="D133" s="633"/>
      <c r="E133" s="524"/>
      <c r="F133" s="638">
        <f t="shared" si="16"/>
        <v>-0.25</v>
      </c>
      <c r="G133" s="602">
        <f t="shared" si="17"/>
        <v>0.56000000000000005</v>
      </c>
      <c r="I133" s="478"/>
      <c r="J133" s="477"/>
      <c r="K133" s="455"/>
      <c r="L133" s="455"/>
      <c r="M133" s="471"/>
      <c r="N133" s="471"/>
      <c r="O133" s="455"/>
      <c r="P133" s="455"/>
      <c r="Q133" s="455"/>
      <c r="R133" s="455"/>
      <c r="S133" s="455"/>
      <c r="T133" s="455"/>
      <c r="U133" s="455"/>
      <c r="V133" s="455"/>
      <c r="W133" s="455"/>
      <c r="X133" s="455"/>
      <c r="Y133" s="406"/>
      <c r="Z133" s="406"/>
      <c r="AA133" s="480"/>
      <c r="AB133" s="406"/>
      <c r="AC133" s="499"/>
      <c r="AD133" s="420"/>
      <c r="AE133" s="361"/>
      <c r="AF133" s="361"/>
    </row>
    <row r="134" spans="1:32" s="419" customFormat="1" x14ac:dyDescent="0.25">
      <c r="A134" s="457">
        <v>6</v>
      </c>
      <c r="B134" s="455">
        <v>7</v>
      </c>
      <c r="C134" s="466">
        <v>1</v>
      </c>
      <c r="D134" s="633"/>
      <c r="E134" s="524"/>
      <c r="F134" s="638">
        <f t="shared" si="16"/>
        <v>-0.25</v>
      </c>
      <c r="G134" s="602">
        <f t="shared" si="17"/>
        <v>0.56000000000000005</v>
      </c>
      <c r="I134" s="478"/>
      <c r="J134" s="477"/>
      <c r="K134" s="455"/>
      <c r="L134" s="455"/>
      <c r="M134" s="471"/>
      <c r="N134" s="471"/>
      <c r="O134" s="455"/>
      <c r="P134" s="455"/>
      <c r="Q134" s="455"/>
      <c r="R134" s="455"/>
      <c r="S134" s="455"/>
      <c r="T134" s="455"/>
      <c r="U134" s="455"/>
      <c r="V134" s="455"/>
      <c r="W134" s="455"/>
      <c r="X134" s="455"/>
      <c r="Y134" s="406"/>
      <c r="Z134" s="385"/>
      <c r="AA134" s="480"/>
      <c r="AB134" s="385"/>
      <c r="AC134" s="494"/>
      <c r="AD134" s="420"/>
      <c r="AE134" s="361"/>
      <c r="AF134" s="361"/>
    </row>
    <row r="135" spans="1:32" s="419" customFormat="1" x14ac:dyDescent="0.25">
      <c r="A135" s="455">
        <v>7</v>
      </c>
      <c r="B135" s="455">
        <v>8</v>
      </c>
      <c r="C135" s="466">
        <v>1</v>
      </c>
      <c r="D135" s="633"/>
      <c r="E135" s="524"/>
      <c r="F135" s="638">
        <f t="shared" si="16"/>
        <v>-0.25</v>
      </c>
      <c r="G135" s="602">
        <f t="shared" si="17"/>
        <v>0.56000000000000005</v>
      </c>
      <c r="I135" s="478"/>
      <c r="J135" s="477"/>
      <c r="K135" s="455"/>
      <c r="L135" s="455"/>
      <c r="M135" s="471"/>
      <c r="N135" s="471"/>
      <c r="O135" s="455"/>
      <c r="P135" s="455"/>
      <c r="Q135" s="455"/>
      <c r="R135" s="455"/>
      <c r="S135" s="455"/>
      <c r="T135" s="455"/>
      <c r="U135" s="455"/>
      <c r="V135" s="455"/>
      <c r="W135" s="455"/>
      <c r="X135" s="455"/>
      <c r="Y135" s="406"/>
      <c r="Z135" s="385"/>
      <c r="AA135" s="480"/>
      <c r="AB135" s="385"/>
      <c r="AC135" s="494"/>
      <c r="AD135" s="420"/>
      <c r="AE135" s="361"/>
      <c r="AF135" s="361"/>
    </row>
    <row r="136" spans="1:32" s="419" customFormat="1" x14ac:dyDescent="0.25">
      <c r="A136" s="457">
        <v>8</v>
      </c>
      <c r="B136" s="455">
        <v>9</v>
      </c>
      <c r="C136" s="466">
        <v>1</v>
      </c>
      <c r="D136" s="633"/>
      <c r="E136" s="524"/>
      <c r="F136" s="638">
        <f t="shared" si="16"/>
        <v>-0.25</v>
      </c>
      <c r="G136" s="602">
        <f t="shared" si="17"/>
        <v>0.56000000000000005</v>
      </c>
      <c r="I136" s="478"/>
      <c r="J136" s="477"/>
      <c r="K136" s="455"/>
      <c r="L136" s="455"/>
      <c r="M136" s="471"/>
      <c r="N136" s="471"/>
      <c r="O136" s="455"/>
      <c r="P136" s="455"/>
      <c r="Q136" s="455"/>
      <c r="R136" s="455"/>
      <c r="S136" s="455"/>
      <c r="T136" s="455"/>
      <c r="U136" s="455"/>
      <c r="V136" s="455"/>
      <c r="W136" s="455"/>
      <c r="X136" s="455"/>
      <c r="Y136" s="406"/>
      <c r="Z136" s="385"/>
      <c r="AA136" s="480"/>
      <c r="AB136" s="385"/>
      <c r="AC136" s="494"/>
      <c r="AD136" s="411"/>
      <c r="AE136" s="412"/>
      <c r="AF136" s="420"/>
    </row>
    <row r="137" spans="1:32" s="419" customFormat="1" x14ac:dyDescent="0.25">
      <c r="A137" s="455">
        <v>9</v>
      </c>
      <c r="B137" s="455">
        <v>10</v>
      </c>
      <c r="C137" s="466">
        <v>1</v>
      </c>
      <c r="D137" s="633"/>
      <c r="E137" s="524"/>
      <c r="F137" s="638">
        <f t="shared" si="16"/>
        <v>-0.25</v>
      </c>
      <c r="G137" s="602">
        <f t="shared" si="17"/>
        <v>0.56000000000000005</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13"/>
      <c r="AE137" s="413"/>
      <c r="AF137" s="420"/>
    </row>
    <row r="138" spans="1:32" s="419" customFormat="1" x14ac:dyDescent="0.25">
      <c r="A138" s="457">
        <v>10</v>
      </c>
      <c r="B138" s="455">
        <v>11</v>
      </c>
      <c r="C138" s="466">
        <v>1</v>
      </c>
      <c r="D138" s="633"/>
      <c r="E138" s="524"/>
      <c r="F138" s="638">
        <f t="shared" si="16"/>
        <v>-0.25</v>
      </c>
      <c r="G138" s="602">
        <f t="shared" si="17"/>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11"/>
      <c r="AE138" s="412"/>
      <c r="AF138" s="420"/>
    </row>
    <row r="139" spans="1:32" s="419" customFormat="1" x14ac:dyDescent="0.25">
      <c r="A139" s="455">
        <v>11</v>
      </c>
      <c r="B139" s="455">
        <v>12</v>
      </c>
      <c r="C139" s="466">
        <v>1</v>
      </c>
      <c r="D139" s="633"/>
      <c r="E139" s="524"/>
      <c r="F139" s="638">
        <f t="shared" si="16"/>
        <v>-0.25</v>
      </c>
      <c r="G139" s="602">
        <f t="shared" si="17"/>
        <v>0.56000000000000005</v>
      </c>
      <c r="I139" s="478"/>
      <c r="J139" s="477"/>
      <c r="K139" s="455"/>
      <c r="L139" s="455"/>
      <c r="M139" s="471"/>
      <c r="N139" s="471"/>
      <c r="O139" s="455"/>
      <c r="P139" s="455"/>
      <c r="Q139" s="455"/>
      <c r="R139" s="455"/>
      <c r="S139" s="455"/>
      <c r="T139" s="455"/>
      <c r="U139" s="455"/>
      <c r="V139" s="455"/>
      <c r="W139" s="455"/>
      <c r="X139" s="455"/>
      <c r="Y139" s="406"/>
      <c r="Z139" s="385"/>
      <c r="AA139" s="480"/>
      <c r="AB139" s="385"/>
      <c r="AC139" s="494"/>
      <c r="AD139" s="416"/>
      <c r="AE139" s="414"/>
      <c r="AF139" s="420"/>
    </row>
    <row r="140" spans="1:32" s="419" customFormat="1" x14ac:dyDescent="0.25">
      <c r="A140" s="457">
        <v>12</v>
      </c>
      <c r="B140" s="455">
        <v>13</v>
      </c>
      <c r="C140" s="466">
        <v>1</v>
      </c>
      <c r="D140" s="633"/>
      <c r="E140" s="524"/>
      <c r="F140" s="638">
        <f t="shared" si="16"/>
        <v>-0.25</v>
      </c>
      <c r="G140" s="602">
        <f t="shared" si="17"/>
        <v>0.56000000000000005</v>
      </c>
      <c r="I140" s="478"/>
      <c r="J140" s="477"/>
      <c r="K140" s="455"/>
      <c r="L140" s="455"/>
      <c r="M140" s="471"/>
      <c r="N140" s="471"/>
      <c r="O140" s="455"/>
      <c r="P140" s="455"/>
      <c r="Q140" s="455"/>
      <c r="R140" s="455"/>
      <c r="S140" s="455"/>
      <c r="T140" s="455"/>
      <c r="U140" s="455"/>
      <c r="V140" s="455"/>
      <c r="W140" s="455"/>
      <c r="X140" s="455"/>
      <c r="Y140" s="406"/>
      <c r="Z140" s="385"/>
      <c r="AA140" s="480"/>
      <c r="AB140" s="385"/>
      <c r="AC140" s="494"/>
      <c r="AD140" s="416"/>
      <c r="AE140" s="414"/>
      <c r="AF140" s="420"/>
    </row>
    <row r="141" spans="1:32" s="419" customFormat="1" x14ac:dyDescent="0.25">
      <c r="A141" s="455">
        <v>13</v>
      </c>
      <c r="B141" s="455">
        <v>14</v>
      </c>
      <c r="C141" s="466">
        <v>1</v>
      </c>
      <c r="D141" s="633"/>
      <c r="E141" s="524"/>
      <c r="F141" s="638">
        <f t="shared" si="16"/>
        <v>-0.25</v>
      </c>
      <c r="G141" s="602">
        <f t="shared" si="17"/>
        <v>0.56000000000000005</v>
      </c>
      <c r="I141" s="478"/>
      <c r="J141" s="477"/>
      <c r="K141" s="455"/>
      <c r="L141" s="455"/>
      <c r="M141" s="471"/>
      <c r="N141" s="471"/>
      <c r="O141" s="455"/>
      <c r="P141" s="455"/>
      <c r="Q141" s="455"/>
      <c r="R141" s="455"/>
      <c r="S141" s="455"/>
      <c r="T141" s="455"/>
      <c r="U141" s="455"/>
      <c r="V141" s="455"/>
      <c r="W141" s="455"/>
      <c r="X141" s="455"/>
      <c r="Y141" s="406"/>
      <c r="Z141" s="385"/>
      <c r="AA141" s="480"/>
      <c r="AB141" s="385"/>
      <c r="AC141" s="494"/>
      <c r="AD141" s="416"/>
      <c r="AE141" s="430"/>
      <c r="AF141" s="420"/>
    </row>
    <row r="142" spans="1:32" s="419" customFormat="1" x14ac:dyDescent="0.25">
      <c r="A142" s="457">
        <v>14</v>
      </c>
      <c r="B142" s="455">
        <v>15</v>
      </c>
      <c r="C142" s="466">
        <v>1</v>
      </c>
      <c r="D142" s="633"/>
      <c r="E142" s="524"/>
      <c r="F142" s="638">
        <f t="shared" si="16"/>
        <v>-0.25</v>
      </c>
      <c r="G142" s="602">
        <f t="shared" si="17"/>
        <v>0.56000000000000005</v>
      </c>
      <c r="H142" s="419" t="s">
        <v>169</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16"/>
      <c r="AE142" s="431"/>
      <c r="AF142" s="361"/>
    </row>
    <row r="143" spans="1:32" s="419" customFormat="1" x14ac:dyDescent="0.25">
      <c r="A143" s="455">
        <v>15</v>
      </c>
      <c r="B143" s="455">
        <v>16</v>
      </c>
      <c r="C143" s="466">
        <v>1</v>
      </c>
      <c r="D143" s="633"/>
      <c r="E143" s="524"/>
      <c r="F143" s="638">
        <f t="shared" si="16"/>
        <v>-0.25</v>
      </c>
      <c r="G143" s="602">
        <f t="shared" si="17"/>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11"/>
      <c r="AE143" s="412"/>
      <c r="AF143" s="361"/>
    </row>
    <row r="144" spans="1:32" s="419" customFormat="1" x14ac:dyDescent="0.25">
      <c r="A144" s="457">
        <v>16</v>
      </c>
      <c r="B144" s="455">
        <v>17</v>
      </c>
      <c r="C144" s="466">
        <v>1</v>
      </c>
      <c r="D144" s="633"/>
      <c r="E144" s="524"/>
      <c r="F144" s="638">
        <f t="shared" si="16"/>
        <v>-0.25</v>
      </c>
      <c r="G144" s="602">
        <f t="shared" si="17"/>
        <v>0.56000000000000005</v>
      </c>
      <c r="I144" s="478"/>
      <c r="J144" s="477"/>
      <c r="K144" s="455"/>
      <c r="L144" s="455"/>
      <c r="M144" s="471"/>
      <c r="N144" s="471"/>
      <c r="O144" s="455"/>
      <c r="R144" s="455"/>
      <c r="S144" s="455"/>
      <c r="T144" s="455"/>
      <c r="U144" s="455"/>
      <c r="V144" s="455"/>
      <c r="W144" s="455"/>
      <c r="X144" s="455"/>
      <c r="Y144" s="406"/>
      <c r="Z144" s="385"/>
      <c r="AA144" s="480"/>
      <c r="AB144" s="385"/>
      <c r="AC144" s="494"/>
      <c r="AD144" s="411"/>
      <c r="AE144" s="412"/>
      <c r="AF144" s="413"/>
    </row>
    <row r="145" spans="1:32" s="419" customFormat="1" x14ac:dyDescent="0.25">
      <c r="A145" s="455">
        <v>17</v>
      </c>
      <c r="B145" s="455">
        <v>18</v>
      </c>
      <c r="C145" s="466">
        <v>1</v>
      </c>
      <c r="D145" s="633"/>
      <c r="E145" s="524"/>
      <c r="F145" s="638">
        <f t="shared" si="16"/>
        <v>-0.25</v>
      </c>
      <c r="G145" s="602">
        <f t="shared" si="17"/>
        <v>0.56000000000000005</v>
      </c>
      <c r="I145" s="478"/>
      <c r="J145" s="477"/>
      <c r="K145" s="455"/>
      <c r="L145" s="455"/>
      <c r="M145" s="471"/>
      <c r="N145" s="471"/>
      <c r="O145" s="455"/>
      <c r="R145" s="455"/>
      <c r="S145" s="455"/>
      <c r="T145" s="455"/>
      <c r="U145" s="455"/>
      <c r="V145" s="455"/>
      <c r="W145" s="455"/>
      <c r="X145" s="455"/>
      <c r="Y145" s="406"/>
      <c r="Z145" s="385"/>
      <c r="AA145" s="480"/>
      <c r="AB145" s="385"/>
      <c r="AC145" s="494"/>
      <c r="AD145" s="396"/>
      <c r="AE145" s="396"/>
      <c r="AF145" s="411"/>
    </row>
    <row r="146" spans="1:32" s="419" customFormat="1" x14ac:dyDescent="0.25">
      <c r="A146" s="457">
        <v>18</v>
      </c>
      <c r="B146" s="455">
        <v>19</v>
      </c>
      <c r="C146" s="466">
        <v>1</v>
      </c>
      <c r="D146" s="633"/>
      <c r="E146" s="524"/>
      <c r="F146" s="638">
        <f t="shared" si="16"/>
        <v>-0.25</v>
      </c>
      <c r="G146" s="602">
        <f t="shared" si="17"/>
        <v>0.56000000000000005</v>
      </c>
      <c r="I146" s="478"/>
      <c r="J146" s="477"/>
      <c r="K146" s="455"/>
      <c r="L146" s="455"/>
      <c r="M146" s="471"/>
      <c r="N146" s="471"/>
      <c r="O146" s="455"/>
      <c r="R146" s="455"/>
      <c r="S146" s="455"/>
      <c r="T146" s="455"/>
      <c r="U146" s="455"/>
      <c r="V146" s="455"/>
      <c r="W146" s="455"/>
      <c r="X146" s="455"/>
      <c r="Y146" s="406"/>
      <c r="Z146" s="385"/>
      <c r="AA146" s="480"/>
      <c r="AB146" s="385"/>
      <c r="AC146" s="494"/>
      <c r="AD146" s="385"/>
      <c r="AE146" s="385"/>
      <c r="AF146" s="411"/>
    </row>
    <row r="147" spans="1:32" s="419" customFormat="1" x14ac:dyDescent="0.25">
      <c r="A147" s="455">
        <v>19</v>
      </c>
      <c r="B147" s="455">
        <v>20</v>
      </c>
      <c r="C147" s="466">
        <v>1</v>
      </c>
      <c r="D147" s="633"/>
      <c r="E147" s="524"/>
      <c r="F147" s="638">
        <f t="shared" si="16"/>
        <v>-0.25</v>
      </c>
      <c r="G147" s="602">
        <f t="shared" si="17"/>
        <v>0.56000000000000005</v>
      </c>
      <c r="I147" s="478"/>
      <c r="J147" s="477"/>
      <c r="K147" s="455"/>
      <c r="L147" s="455"/>
      <c r="M147" s="471"/>
      <c r="N147" s="471"/>
      <c r="O147" s="455"/>
      <c r="R147" s="455"/>
      <c r="S147" s="455"/>
      <c r="T147" s="455"/>
      <c r="U147" s="455"/>
      <c r="V147" s="455"/>
      <c r="W147" s="455"/>
      <c r="X147" s="455"/>
      <c r="Y147" s="406"/>
      <c r="Z147" s="385"/>
      <c r="AA147" s="480"/>
      <c r="AB147" s="385"/>
      <c r="AC147" s="494"/>
      <c r="AD147" s="397"/>
      <c r="AE147" s="397"/>
      <c r="AF147" s="409"/>
    </row>
    <row r="148" spans="1:32" s="419" customFormat="1" x14ac:dyDescent="0.25">
      <c r="A148" s="457">
        <v>20</v>
      </c>
      <c r="B148" s="455">
        <v>21</v>
      </c>
      <c r="C148" s="466">
        <v>1</v>
      </c>
      <c r="D148" s="633"/>
      <c r="E148" s="524"/>
      <c r="F148" s="638">
        <f t="shared" si="16"/>
        <v>-0.25</v>
      </c>
      <c r="G148" s="602">
        <f t="shared" si="17"/>
        <v>0.56000000000000005</v>
      </c>
      <c r="I148" s="478"/>
      <c r="J148" s="477"/>
      <c r="K148" s="455"/>
      <c r="L148" s="455"/>
      <c r="M148" s="471"/>
      <c r="N148" s="471"/>
      <c r="O148" s="455"/>
      <c r="R148" s="455"/>
      <c r="S148" s="455"/>
      <c r="T148" s="455"/>
      <c r="U148" s="455"/>
      <c r="V148" s="455"/>
      <c r="W148" s="455"/>
      <c r="X148" s="455"/>
      <c r="Y148" s="406"/>
      <c r="Z148" s="385"/>
      <c r="AA148" s="480"/>
      <c r="AB148" s="385"/>
      <c r="AC148" s="494"/>
      <c r="AD148" s="397"/>
      <c r="AE148" s="397"/>
      <c r="AF148" s="382"/>
    </row>
    <row r="149" spans="1:32" s="419" customFormat="1" x14ac:dyDescent="0.25">
      <c r="A149" s="455">
        <v>21</v>
      </c>
      <c r="B149" s="455">
        <v>22</v>
      </c>
      <c r="C149" s="466">
        <v>1</v>
      </c>
      <c r="D149" s="633"/>
      <c r="E149" s="524"/>
      <c r="F149" s="638">
        <f t="shared" si="16"/>
        <v>-0.25</v>
      </c>
      <c r="G149" s="602">
        <f t="shared" si="17"/>
        <v>0.56000000000000005</v>
      </c>
      <c r="I149" s="478"/>
      <c r="J149" s="477"/>
      <c r="K149" s="455"/>
      <c r="L149" s="455"/>
      <c r="M149" s="471"/>
      <c r="N149" s="471"/>
      <c r="O149" s="455"/>
      <c r="R149" s="455"/>
      <c r="S149" s="455"/>
      <c r="T149" s="455"/>
      <c r="U149" s="455"/>
      <c r="V149" s="455"/>
      <c r="W149" s="455"/>
      <c r="X149" s="455"/>
      <c r="Y149" s="406"/>
      <c r="Z149" s="385"/>
      <c r="AA149" s="480"/>
      <c r="AB149" s="385"/>
      <c r="AC149" s="494"/>
      <c r="AD149" s="385"/>
      <c r="AE149" s="385"/>
      <c r="AF149" s="382"/>
    </row>
    <row r="150" spans="1:32" s="419" customFormat="1" x14ac:dyDescent="0.25">
      <c r="A150" s="457">
        <v>22</v>
      </c>
      <c r="B150" s="455">
        <v>23</v>
      </c>
      <c r="C150" s="466">
        <v>1</v>
      </c>
      <c r="D150" s="633"/>
      <c r="E150" s="524"/>
      <c r="F150" s="638">
        <f t="shared" si="16"/>
        <v>-0.25</v>
      </c>
      <c r="G150" s="602">
        <f t="shared" si="17"/>
        <v>0.56000000000000005</v>
      </c>
      <c r="I150" s="478"/>
      <c r="J150" s="477"/>
      <c r="K150" s="455"/>
      <c r="L150" s="455"/>
      <c r="M150" s="471"/>
      <c r="N150" s="471"/>
      <c r="O150" s="455"/>
      <c r="R150" s="455"/>
      <c r="S150" s="455"/>
      <c r="T150" s="455"/>
      <c r="U150" s="455"/>
      <c r="V150" s="455"/>
      <c r="W150" s="455"/>
      <c r="X150" s="455"/>
      <c r="Y150" s="406"/>
      <c r="Z150" s="385"/>
      <c r="AA150" s="480"/>
      <c r="AB150" s="385"/>
      <c r="AC150" s="494"/>
      <c r="AD150" s="385"/>
      <c r="AE150" s="385"/>
      <c r="AF150" s="382"/>
    </row>
    <row r="151" spans="1:32" s="419" customFormat="1" x14ac:dyDescent="0.25">
      <c r="A151" s="457">
        <v>23</v>
      </c>
      <c r="B151" s="455">
        <v>24</v>
      </c>
      <c r="C151" s="466">
        <v>1</v>
      </c>
      <c r="D151" s="633"/>
      <c r="E151" s="577"/>
      <c r="F151" s="638">
        <f t="shared" si="16"/>
        <v>-0.25</v>
      </c>
      <c r="G151" s="602">
        <f t="shared" si="17"/>
        <v>0.56000000000000005</v>
      </c>
      <c r="I151" s="478"/>
      <c r="J151" s="477"/>
      <c r="K151" s="455"/>
      <c r="L151" s="455"/>
      <c r="M151" s="471"/>
      <c r="N151" s="471"/>
      <c r="O151" s="455"/>
      <c r="R151" s="455"/>
      <c r="S151" s="455"/>
      <c r="T151" s="455"/>
      <c r="U151" s="455"/>
      <c r="V151" s="455"/>
      <c r="W151" s="455"/>
      <c r="X151" s="455"/>
      <c r="Y151" s="406"/>
      <c r="Z151" s="385"/>
      <c r="AA151" s="480"/>
      <c r="AB151" s="385"/>
      <c r="AC151" s="494"/>
      <c r="AD151" s="398"/>
      <c r="AE151" s="398"/>
      <c r="AF151" s="389"/>
    </row>
    <row r="152" spans="1:32" s="419" customFormat="1" x14ac:dyDescent="0.25">
      <c r="A152" s="385">
        <v>24</v>
      </c>
      <c r="B152" s="455">
        <v>1</v>
      </c>
      <c r="C152" s="466">
        <v>1</v>
      </c>
      <c r="D152" s="633"/>
      <c r="E152" s="520"/>
      <c r="F152" s="638">
        <f t="shared" si="16"/>
        <v>-0.25</v>
      </c>
      <c r="G152" s="602">
        <f>D152+0.56</f>
        <v>0.56000000000000005</v>
      </c>
      <c r="H152" s="467"/>
      <c r="I152" s="478"/>
      <c r="J152" s="477"/>
      <c r="K152" s="455"/>
      <c r="L152" s="455"/>
      <c r="M152" s="471"/>
      <c r="N152" s="471"/>
      <c r="O152" s="455"/>
      <c r="R152" s="455"/>
      <c r="S152" s="455"/>
      <c r="T152" s="455"/>
      <c r="U152" s="455"/>
      <c r="V152" s="455"/>
      <c r="W152" s="455"/>
      <c r="X152" s="455"/>
      <c r="Y152" s="385"/>
      <c r="Z152" s="385"/>
      <c r="AA152" s="385"/>
      <c r="AB152" s="385"/>
      <c r="AC152" s="494"/>
      <c r="AD152" s="399"/>
      <c r="AE152" s="399"/>
      <c r="AF152" s="389"/>
    </row>
    <row r="153" spans="1:32" s="419" customFormat="1" x14ac:dyDescent="0.25">
      <c r="A153" s="385"/>
      <c r="B153" s="385"/>
      <c r="C153" s="385"/>
      <c r="D153" s="627"/>
      <c r="E153" s="523"/>
      <c r="F153" s="385"/>
      <c r="G153" s="385"/>
      <c r="H153" s="408"/>
      <c r="I153" s="385"/>
      <c r="J153" s="385"/>
      <c r="K153" s="385"/>
      <c r="L153" s="385"/>
      <c r="M153" s="400"/>
      <c r="N153" s="400"/>
      <c r="O153" s="385"/>
      <c r="R153" s="385"/>
      <c r="S153" s="385"/>
      <c r="T153" s="385"/>
      <c r="U153" s="385"/>
      <c r="V153" s="385"/>
      <c r="W153" s="385"/>
      <c r="X153" s="385"/>
      <c r="Y153" s="385"/>
      <c r="Z153" s="385"/>
      <c r="AA153" s="385"/>
      <c r="AB153" s="385"/>
      <c r="AC153" s="494"/>
      <c r="AD153" s="399"/>
      <c r="AE153" s="399"/>
      <c r="AF153" s="389"/>
    </row>
    <row r="154" spans="1:32" s="419" customFormat="1" x14ac:dyDescent="0.25">
      <c r="A154" s="385"/>
      <c r="B154" s="385"/>
      <c r="C154" s="385"/>
      <c r="D154" s="385"/>
      <c r="E154" s="385"/>
      <c r="F154" s="385"/>
      <c r="G154" s="385"/>
      <c r="H154" s="385"/>
      <c r="I154" s="385"/>
      <c r="J154" s="385"/>
      <c r="K154" s="385"/>
      <c r="L154" s="385"/>
      <c r="M154" s="400"/>
      <c r="N154" s="400"/>
      <c r="O154" s="385"/>
      <c r="R154" s="385"/>
      <c r="S154" s="385"/>
      <c r="T154" s="385"/>
      <c r="U154" s="385"/>
      <c r="V154" s="385"/>
      <c r="W154" s="385"/>
      <c r="X154" s="385"/>
      <c r="Y154" s="385"/>
      <c r="Z154" s="385"/>
      <c r="AA154" s="385"/>
      <c r="AB154" s="385"/>
      <c r="AC154" s="494"/>
      <c r="AD154" s="399"/>
      <c r="AE154" s="399"/>
      <c r="AF154" s="394"/>
    </row>
    <row r="155" spans="1:32" s="419" customFormat="1" x14ac:dyDescent="0.25">
      <c r="A155" s="385"/>
      <c r="B155" s="385"/>
      <c r="C155" s="385"/>
      <c r="D155" s="385"/>
      <c r="E155" s="385"/>
      <c r="F155" s="385"/>
      <c r="G155" s="385"/>
      <c r="H155" s="385"/>
      <c r="I155" s="385"/>
      <c r="J155" s="385"/>
      <c r="K155" s="385"/>
      <c r="L155" s="385"/>
      <c r="M155" s="400"/>
      <c r="N155" s="400"/>
      <c r="O155" s="385"/>
      <c r="R155" s="385"/>
      <c r="S155" s="385"/>
      <c r="T155" s="385"/>
      <c r="U155" s="385"/>
      <c r="V155" s="385"/>
      <c r="W155" s="385"/>
      <c r="X155" s="385"/>
      <c r="Y155" s="385"/>
      <c r="Z155" s="385"/>
      <c r="AA155" s="385"/>
      <c r="AB155" s="385"/>
      <c r="AC155" s="494"/>
      <c r="AD155" s="399"/>
      <c r="AE155" s="399"/>
      <c r="AF155" s="396"/>
    </row>
    <row r="156" spans="1:32" s="419" customFormat="1" x14ac:dyDescent="0.25">
      <c r="A156" s="385"/>
      <c r="B156" s="385"/>
      <c r="C156" s="385"/>
      <c r="D156" s="385"/>
      <c r="E156" s="385"/>
      <c r="F156" s="385"/>
      <c r="G156" s="385"/>
      <c r="H156" s="385"/>
      <c r="I156" s="385"/>
      <c r="J156" s="385"/>
      <c r="K156" s="385"/>
      <c r="L156" s="385"/>
      <c r="M156" s="400"/>
      <c r="N156" s="400"/>
      <c r="O156" s="385"/>
      <c r="R156" s="385"/>
      <c r="S156" s="385"/>
      <c r="T156" s="385"/>
      <c r="U156" s="385"/>
      <c r="V156" s="385"/>
      <c r="W156" s="385"/>
      <c r="X156" s="385"/>
      <c r="Y156" s="385"/>
      <c r="Z156" s="385"/>
      <c r="AA156" s="385"/>
      <c r="AB156" s="385"/>
      <c r="AC156" s="494"/>
      <c r="AD156" s="399"/>
      <c r="AE156" s="399"/>
      <c r="AF156" s="385"/>
    </row>
    <row r="157" spans="1:32" s="419" customFormat="1" x14ac:dyDescent="0.25">
      <c r="A157" s="385"/>
      <c r="B157" s="385"/>
      <c r="C157" s="385"/>
      <c r="D157" s="385"/>
      <c r="E157" s="385"/>
      <c r="F157" s="385"/>
      <c r="G157" s="385"/>
      <c r="H157" s="385"/>
      <c r="I157" s="385"/>
      <c r="J157" s="385"/>
      <c r="K157" s="385"/>
      <c r="L157" s="385"/>
      <c r="M157" s="400"/>
      <c r="N157" s="400"/>
      <c r="O157" s="385"/>
      <c r="R157" s="385"/>
      <c r="S157" s="385"/>
      <c r="T157" s="385"/>
      <c r="U157" s="385"/>
      <c r="V157" s="385"/>
      <c r="W157" s="385"/>
      <c r="X157" s="385"/>
      <c r="Y157" s="385"/>
      <c r="Z157" s="385"/>
      <c r="AA157" s="385"/>
      <c r="AB157" s="385"/>
      <c r="AC157" s="494"/>
      <c r="AD157" s="399"/>
      <c r="AE157" s="399"/>
      <c r="AF157" s="397"/>
    </row>
    <row r="158" spans="1:32" s="419" customFormat="1" x14ac:dyDescent="0.25">
      <c r="A158" s="385"/>
      <c r="B158" s="385"/>
      <c r="C158" s="385"/>
      <c r="D158" s="385"/>
      <c r="E158" s="385"/>
      <c r="F158" s="385"/>
      <c r="G158" s="385"/>
      <c r="H158" s="385"/>
      <c r="I158" s="385"/>
      <c r="L158" s="385"/>
      <c r="M158" s="400"/>
      <c r="N158" s="400"/>
      <c r="O158" s="385"/>
      <c r="R158" s="385"/>
      <c r="S158" s="385"/>
      <c r="T158" s="385"/>
      <c r="U158" s="385"/>
      <c r="V158" s="385"/>
      <c r="W158" s="385"/>
      <c r="X158" s="385"/>
      <c r="Y158" s="385"/>
      <c r="Z158" s="385"/>
      <c r="AA158" s="385"/>
      <c r="AB158" s="385"/>
      <c r="AC158" s="494"/>
      <c r="AD158" s="399"/>
      <c r="AE158" s="399"/>
      <c r="AF158" s="397"/>
    </row>
    <row r="159" spans="1:32" s="419" customFormat="1" x14ac:dyDescent="0.25">
      <c r="A159" s="385"/>
      <c r="B159" s="385"/>
      <c r="C159" s="385"/>
      <c r="D159" s="385"/>
      <c r="E159" s="385"/>
      <c r="F159" s="385"/>
      <c r="G159" s="385"/>
      <c r="H159" s="385"/>
      <c r="I159" s="385"/>
      <c r="L159" s="385"/>
      <c r="M159" s="400"/>
      <c r="N159" s="400"/>
      <c r="O159" s="385"/>
      <c r="R159" s="385"/>
      <c r="S159" s="385"/>
      <c r="T159" s="385"/>
      <c r="U159" s="385"/>
      <c r="V159" s="385"/>
      <c r="W159" s="385"/>
      <c r="X159" s="385"/>
      <c r="Y159" s="385"/>
      <c r="Z159" s="385"/>
      <c r="AA159" s="385"/>
      <c r="AB159" s="385"/>
      <c r="AC159" s="494"/>
      <c r="AD159" s="402"/>
      <c r="AE159" s="402"/>
      <c r="AF159" s="385"/>
    </row>
    <row r="160" spans="1:32" s="419" customFormat="1" x14ac:dyDescent="0.25">
      <c r="A160" s="385"/>
      <c r="B160" s="385"/>
      <c r="C160" s="385"/>
      <c r="D160" s="385"/>
      <c r="E160" s="385"/>
      <c r="F160" s="385"/>
      <c r="G160" s="385"/>
      <c r="H160" s="385"/>
      <c r="I160" s="385"/>
      <c r="L160" s="385"/>
      <c r="M160" s="400"/>
      <c r="N160" s="400"/>
      <c r="O160" s="385"/>
      <c r="R160" s="385"/>
      <c r="S160" s="385"/>
      <c r="T160" s="385"/>
      <c r="U160" s="385"/>
      <c r="V160" s="385"/>
      <c r="W160" s="385"/>
      <c r="X160" s="385"/>
      <c r="Y160" s="385"/>
      <c r="Z160" s="385"/>
      <c r="AA160" s="385"/>
      <c r="AB160" s="385"/>
      <c r="AC160" s="494"/>
      <c r="AD160" s="403"/>
      <c r="AE160" s="403"/>
      <c r="AF160" s="398"/>
    </row>
    <row r="161" spans="1:32" s="419" customFormat="1" x14ac:dyDescent="0.25">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403"/>
      <c r="AE161" s="403"/>
      <c r="AF161" s="399"/>
    </row>
    <row r="162" spans="1:32" s="419" customFormat="1" x14ac:dyDescent="0.25">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3"/>
      <c r="AE162" s="403"/>
      <c r="AF162" s="399"/>
    </row>
    <row r="163" spans="1:32" s="419" customFormat="1" x14ac:dyDescent="0.25">
      <c r="A163" s="385"/>
      <c r="B163" s="385"/>
      <c r="C163" s="385"/>
      <c r="D163" s="385"/>
      <c r="E163" s="385"/>
      <c r="F163" s="385"/>
      <c r="G163" s="385"/>
      <c r="H163" s="385"/>
      <c r="I163" s="385"/>
      <c r="L163" s="385"/>
      <c r="M163" s="400"/>
      <c r="N163" s="400"/>
      <c r="O163" s="385"/>
      <c r="R163" s="385"/>
      <c r="S163" s="385"/>
      <c r="T163" s="385"/>
      <c r="U163" s="385"/>
      <c r="V163" s="385"/>
      <c r="W163" s="385"/>
      <c r="X163" s="385"/>
      <c r="Y163" s="385"/>
      <c r="Z163" s="385"/>
      <c r="AA163" s="385"/>
      <c r="AB163" s="385"/>
      <c r="AC163" s="494"/>
      <c r="AD163" s="403"/>
      <c r="AE163" s="403"/>
      <c r="AF163" s="399"/>
    </row>
    <row r="164" spans="1:32" s="419" customFormat="1" x14ac:dyDescent="0.25">
      <c r="A164" s="385"/>
      <c r="B164" s="385"/>
      <c r="C164" s="385"/>
      <c r="D164" s="385"/>
      <c r="E164" s="385"/>
      <c r="F164" s="385"/>
      <c r="G164" s="385"/>
      <c r="H164" s="385"/>
      <c r="I164" s="385"/>
      <c r="L164" s="385"/>
      <c r="M164" s="400"/>
      <c r="N164" s="400"/>
      <c r="O164" s="385"/>
      <c r="R164" s="385"/>
      <c r="S164" s="385"/>
      <c r="T164" s="385"/>
      <c r="U164" s="385"/>
      <c r="V164" s="385"/>
      <c r="W164" s="385"/>
      <c r="X164" s="385"/>
      <c r="Y164" s="385"/>
      <c r="Z164" s="385"/>
      <c r="AA164" s="385"/>
      <c r="AB164" s="385"/>
      <c r="AC164" s="494"/>
      <c r="AD164" s="403"/>
      <c r="AE164" s="406"/>
      <c r="AF164" s="399"/>
    </row>
    <row r="165" spans="1:32" s="419" customFormat="1" x14ac:dyDescent="0.25">
      <c r="A165" s="385"/>
      <c r="B165" s="385"/>
      <c r="C165" s="385"/>
      <c r="D165" s="385"/>
      <c r="E165" s="385"/>
      <c r="F165" s="385"/>
      <c r="G165" s="385"/>
      <c r="H165" s="385"/>
      <c r="I165" s="385"/>
      <c r="L165" s="385"/>
      <c r="M165" s="400"/>
      <c r="N165" s="400"/>
      <c r="O165" s="385"/>
      <c r="R165" s="385"/>
      <c r="S165" s="385"/>
      <c r="T165" s="385"/>
      <c r="U165" s="385"/>
      <c r="V165" s="385"/>
      <c r="W165" s="385"/>
      <c r="X165" s="385"/>
      <c r="Y165" s="385"/>
      <c r="Z165" s="385"/>
      <c r="AA165" s="385"/>
      <c r="AB165" s="385"/>
      <c r="AC165" s="494"/>
      <c r="AD165" s="403"/>
      <c r="AE165" s="406"/>
      <c r="AF165" s="399"/>
    </row>
    <row r="166" spans="1:32" s="419" customFormat="1" x14ac:dyDescent="0.25">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403"/>
      <c r="AE166" s="406"/>
      <c r="AF166" s="399"/>
    </row>
    <row r="167" spans="1:32" s="419" customFormat="1" x14ac:dyDescent="0.25">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3"/>
      <c r="AE167" s="406"/>
      <c r="AF167" s="399"/>
    </row>
    <row r="168" spans="1:32" s="419" customFormat="1" x14ac:dyDescent="0.25">
      <c r="A168" s="385"/>
      <c r="B168" s="385"/>
      <c r="C168" s="385"/>
      <c r="D168" s="385"/>
      <c r="E168" s="385"/>
      <c r="F168" s="385"/>
      <c r="G168" s="385"/>
      <c r="H168" s="385"/>
      <c r="I168" s="385"/>
      <c r="L168" s="385"/>
      <c r="M168" s="400"/>
      <c r="N168" s="400"/>
      <c r="O168" s="385"/>
      <c r="P168" s="385"/>
      <c r="Q168" s="385"/>
      <c r="R168" s="385"/>
      <c r="S168" s="385"/>
      <c r="T168" s="385"/>
      <c r="U168" s="385"/>
      <c r="V168" s="385"/>
      <c r="W168" s="385"/>
      <c r="X168" s="385"/>
      <c r="Y168" s="385"/>
      <c r="Z168" s="385"/>
      <c r="AA168" s="385"/>
      <c r="AB168" s="385"/>
      <c r="AC168" s="494"/>
      <c r="AD168" s="403"/>
      <c r="AE168" s="406"/>
      <c r="AF168" s="401"/>
    </row>
    <row r="169" spans="1:32" s="419" customFormat="1" x14ac:dyDescent="0.25">
      <c r="A169" s="385"/>
      <c r="B169" s="385"/>
      <c r="C169" s="385"/>
      <c r="D169" s="385"/>
      <c r="E169" s="385"/>
      <c r="F169" s="385"/>
      <c r="G169" s="385"/>
      <c r="H169" s="385"/>
      <c r="I169" s="385"/>
      <c r="L169" s="385"/>
      <c r="M169" s="400"/>
      <c r="N169" s="400"/>
      <c r="O169" s="385"/>
      <c r="P169" s="385"/>
      <c r="Q169" s="385"/>
      <c r="R169" s="385"/>
      <c r="S169" s="385"/>
      <c r="T169" s="385"/>
      <c r="U169" s="385"/>
      <c r="V169" s="385"/>
      <c r="W169" s="385"/>
      <c r="X169" s="385"/>
      <c r="Y169" s="385"/>
      <c r="Z169" s="385"/>
      <c r="AA169" s="385"/>
      <c r="AB169" s="385"/>
      <c r="AC169" s="494"/>
      <c r="AD169" s="406"/>
      <c r="AE169" s="406"/>
      <c r="AF169" s="403"/>
    </row>
    <row r="170" spans="1:32" s="419" customFormat="1" x14ac:dyDescent="0.25">
      <c r="A170" s="385"/>
      <c r="B170" s="385"/>
      <c r="C170" s="385"/>
      <c r="D170" s="385"/>
      <c r="E170" s="385"/>
      <c r="F170" s="385"/>
      <c r="G170" s="385"/>
      <c r="H170" s="385"/>
      <c r="I170" s="385"/>
      <c r="L170" s="385"/>
      <c r="M170" s="400"/>
      <c r="N170" s="400"/>
      <c r="O170" s="385"/>
      <c r="P170" s="385"/>
      <c r="Q170" s="385"/>
      <c r="R170" s="385"/>
      <c r="S170" s="385"/>
      <c r="T170" s="385"/>
      <c r="U170" s="385"/>
      <c r="V170" s="385"/>
      <c r="W170" s="385"/>
      <c r="X170" s="385"/>
      <c r="Y170" s="385"/>
      <c r="Z170" s="385"/>
      <c r="AA170" s="385"/>
      <c r="AB170" s="385"/>
      <c r="AC170" s="494"/>
      <c r="AD170" s="406"/>
      <c r="AE170" s="406"/>
      <c r="AF170" s="403"/>
    </row>
    <row r="171" spans="1:32" s="419" customFormat="1" x14ac:dyDescent="0.25">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6"/>
      <c r="AE171" s="406"/>
      <c r="AF171" s="403"/>
    </row>
    <row r="172" spans="1:32" s="419" customFormat="1" x14ac:dyDescent="0.25">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6"/>
      <c r="AE172" s="406"/>
      <c r="AF172" s="403"/>
    </row>
    <row r="173" spans="1:32" s="419" customFormat="1" x14ac:dyDescent="0.25">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6"/>
      <c r="AE173" s="406"/>
      <c r="AF173" s="404"/>
    </row>
    <row r="174" spans="1:32" s="419" customFormat="1" x14ac:dyDescent="0.25">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4"/>
      <c r="AE174" s="405"/>
      <c r="AF174" s="399"/>
    </row>
    <row r="175" spans="1:32" s="419" customFormat="1" x14ac:dyDescent="0.25">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4"/>
      <c r="AE175" s="404"/>
      <c r="AF175" s="401"/>
    </row>
    <row r="176" spans="1:32" s="419" customFormat="1" x14ac:dyDescent="0.25">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4"/>
      <c r="AE176" s="407"/>
      <c r="AF176" s="403"/>
    </row>
    <row r="177" spans="1:32" s="419" customFormat="1" x14ac:dyDescent="0.25">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403"/>
    </row>
    <row r="178" spans="1:32" s="419" customFormat="1" x14ac:dyDescent="0.25">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4"/>
      <c r="AE178" s="405"/>
      <c r="AF178" s="403"/>
    </row>
    <row r="179" spans="1:32" s="419" customFormat="1" x14ac:dyDescent="0.25">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4"/>
      <c r="AE179" s="405"/>
      <c r="AF179" s="403"/>
    </row>
    <row r="180" spans="1:32" s="419" customFormat="1" ht="12.75" customHeight="1" x14ac:dyDescent="0.25">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4"/>
      <c r="AE180" s="404"/>
      <c r="AF180" s="403"/>
    </row>
    <row r="181" spans="1:32" s="419" customFormat="1" x14ac:dyDescent="0.25">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4"/>
      <c r="AE181" s="407"/>
      <c r="AF181" s="403"/>
    </row>
    <row r="182" spans="1:32" s="419" customFormat="1" x14ac:dyDescent="0.25">
      <c r="A182" s="385"/>
      <c r="B182" s="385"/>
      <c r="C182" s="385"/>
      <c r="D182" s="385"/>
      <c r="E182" s="385"/>
      <c r="F182" s="385"/>
      <c r="G182" s="385"/>
      <c r="H182" s="385"/>
      <c r="I182" s="385"/>
      <c r="J182" s="385"/>
      <c r="K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403"/>
    </row>
    <row r="183" spans="1:32" s="419" customFormat="1" x14ac:dyDescent="0.25">
      <c r="A183" s="385"/>
      <c r="B183" s="385"/>
      <c r="C183" s="385"/>
      <c r="D183" s="385"/>
      <c r="E183" s="385"/>
      <c r="F183" s="385"/>
      <c r="G183" s="385"/>
      <c r="H183" s="385"/>
      <c r="I183" s="385"/>
      <c r="J183" s="385"/>
      <c r="K183" s="385"/>
      <c r="L183" s="385"/>
      <c r="M183" s="400"/>
      <c r="N183" s="400"/>
      <c r="O183" s="385"/>
      <c r="P183" s="385"/>
      <c r="Q183" s="385"/>
      <c r="R183" s="385"/>
      <c r="S183" s="385"/>
      <c r="T183" s="385"/>
      <c r="U183" s="385"/>
      <c r="V183" s="385"/>
      <c r="W183" s="385"/>
      <c r="X183" s="385"/>
      <c r="Y183" s="385"/>
      <c r="Z183" s="385"/>
      <c r="AA183" s="385"/>
      <c r="AB183" s="385"/>
      <c r="AC183" s="494"/>
      <c r="AD183" s="406"/>
      <c r="AE183" s="404"/>
      <c r="AF183" s="403"/>
    </row>
    <row r="184" spans="1:32" s="419" customFormat="1" x14ac:dyDescent="0.25">
      <c r="A184" s="385"/>
      <c r="B184" s="385"/>
      <c r="C184" s="385"/>
      <c r="D184" s="385"/>
      <c r="E184" s="385"/>
      <c r="F184" s="385"/>
      <c r="G184" s="385"/>
      <c r="H184" s="385"/>
      <c r="I184" s="385"/>
      <c r="J184" s="385"/>
      <c r="K184" s="385"/>
      <c r="L184" s="385"/>
      <c r="M184" s="400"/>
      <c r="N184" s="400"/>
      <c r="O184" s="385"/>
      <c r="P184" s="385"/>
      <c r="Q184" s="385"/>
      <c r="R184" s="385"/>
      <c r="S184" s="385"/>
      <c r="T184" s="385"/>
      <c r="U184" s="385"/>
      <c r="V184" s="385"/>
      <c r="W184" s="385"/>
      <c r="X184" s="385"/>
      <c r="Y184" s="385"/>
      <c r="Z184" s="385"/>
      <c r="AA184" s="385"/>
      <c r="AB184" s="385"/>
      <c r="AC184" s="494"/>
      <c r="AD184" s="406"/>
      <c r="AE184" s="404"/>
      <c r="AF184" s="403"/>
    </row>
    <row r="185" spans="1:32" s="419" customFormat="1" x14ac:dyDescent="0.25">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406"/>
      <c r="AE185" s="404"/>
      <c r="AF185" s="406"/>
    </row>
    <row r="186" spans="1:32" s="419" customFormat="1" x14ac:dyDescent="0.25">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385"/>
      <c r="AE186" s="389"/>
      <c r="AF186" s="406"/>
    </row>
    <row r="187" spans="1:32" s="419" customFormat="1" x14ac:dyDescent="0.25">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385"/>
      <c r="AE187" s="389"/>
      <c r="AF187" s="406"/>
    </row>
    <row r="188" spans="1:32" s="419" customFormat="1" x14ac:dyDescent="0.25">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385"/>
      <c r="AE188" s="389"/>
      <c r="AF188" s="406"/>
    </row>
    <row r="189" spans="1:32" s="419" customFormat="1" x14ac:dyDescent="0.25">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406"/>
    </row>
    <row r="190" spans="1:32" s="419" customFormat="1" x14ac:dyDescent="0.25">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406"/>
    </row>
    <row r="191" spans="1:32" s="419" customFormat="1" ht="12" customHeight="1" x14ac:dyDescent="0.25">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406"/>
    </row>
    <row r="192" spans="1:32" s="419" customFormat="1" ht="12" customHeight="1" x14ac:dyDescent="0.25">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406"/>
    </row>
    <row r="193" spans="1:32" s="419" customFormat="1" ht="12" customHeight="1" x14ac:dyDescent="0.25">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385"/>
    </row>
    <row r="194" spans="1:32" s="419" customFormat="1" ht="12" customHeight="1" x14ac:dyDescent="0.25">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385"/>
    </row>
    <row r="195" spans="1:32" s="419" customFormat="1" ht="12" customHeight="1" x14ac:dyDescent="0.25">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385"/>
    </row>
    <row r="196" spans="1:32" s="419" customFormat="1" ht="12" customHeight="1" x14ac:dyDescent="0.25">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2" s="419" customFormat="1" ht="12" customHeight="1" x14ac:dyDescent="0.25">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2" s="419" customFormat="1" ht="12" customHeight="1" x14ac:dyDescent="0.25">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2" s="419" customFormat="1" ht="12" customHeight="1" x14ac:dyDescent="0.25">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2" s="419" customFormat="1" ht="12" customHeight="1" x14ac:dyDescent="0.25">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2" s="419" customFormat="1" ht="12" customHeight="1" x14ac:dyDescent="0.25">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5">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5">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5">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5">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5">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5">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5">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5">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361" customFormat="1" x14ac:dyDescent="0.25">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c r="AG210" s="419"/>
    </row>
    <row r="211" spans="1:33" s="361" customFormat="1" x14ac:dyDescent="0.25">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c r="AG211" s="419"/>
    </row>
    <row r="212" spans="1:33" s="361" customFormat="1" x14ac:dyDescent="0.25">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c r="AG212" s="419"/>
    </row>
    <row r="213" spans="1:33" s="361" customFormat="1" x14ac:dyDescent="0.25">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5">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5">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c r="AG215" s="419"/>
    </row>
    <row r="216" spans="1:33" s="361" customFormat="1" x14ac:dyDescent="0.25">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c r="AG216" s="419"/>
    </row>
    <row r="217" spans="1:33" s="361" customFormat="1" x14ac:dyDescent="0.25">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c r="AG217" s="419"/>
    </row>
    <row r="218" spans="1:33" s="361" customFormat="1" x14ac:dyDescent="0.25">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5">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5">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row>
    <row r="221" spans="1:33" s="361" customFormat="1" x14ac:dyDescent="0.25">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row>
    <row r="222" spans="1:33" s="361" customFormat="1" x14ac:dyDescent="0.25">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row>
    <row r="223" spans="1:33" s="361" customFormat="1" x14ac:dyDescent="0.25">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5">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5">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5">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5">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5">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5">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5">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5">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5">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4" s="361" customFormat="1" x14ac:dyDescent="0.25">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4" s="361" customFormat="1" x14ac:dyDescent="0.25">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4" s="361" customFormat="1" x14ac:dyDescent="0.25">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4" s="361" customFormat="1" x14ac:dyDescent="0.25">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4" s="361" customFormat="1" x14ac:dyDescent="0.25">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c r="AH237" s="413"/>
    </row>
    <row r="238" spans="1:34" s="361" customFormat="1" x14ac:dyDescent="0.25">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c r="AG238" s="420"/>
      <c r="AH238" s="413"/>
    </row>
    <row r="239" spans="1:34" s="361" customFormat="1" x14ac:dyDescent="0.25">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c r="AG239" s="420"/>
      <c r="AH239" s="415"/>
    </row>
    <row r="240" spans="1:34" s="361" customFormat="1" x14ac:dyDescent="0.25">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G240" s="420"/>
      <c r="AH240" s="413"/>
    </row>
    <row r="241" spans="1:34" s="361" customFormat="1" ht="14.25" customHeight="1" x14ac:dyDescent="0.25">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G241" s="420"/>
      <c r="AH241" s="412"/>
    </row>
    <row r="242" spans="1:34" s="361" customFormat="1" x14ac:dyDescent="0.25">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H242" s="412"/>
    </row>
    <row r="243" spans="1:34" s="421" customFormat="1" ht="12" customHeight="1" x14ac:dyDescent="0.25">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361"/>
      <c r="AH243" s="413"/>
    </row>
    <row r="244" spans="1:34" s="361" customFormat="1" x14ac:dyDescent="0.25">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H244" s="413"/>
    </row>
    <row r="245" spans="1:34" s="361" customFormat="1" ht="17.25" customHeight="1" x14ac:dyDescent="0.25">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3"/>
    </row>
    <row r="246" spans="1:34" s="361" customFormat="1" x14ac:dyDescent="0.25">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H246" s="403"/>
    </row>
    <row r="247" spans="1:34" s="361" customFormat="1" x14ac:dyDescent="0.25">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412"/>
      <c r="AH247" s="384"/>
    </row>
    <row r="248" spans="1:34" s="361" customFormat="1" x14ac:dyDescent="0.25">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412"/>
      <c r="AH248" s="384"/>
    </row>
    <row r="249" spans="1:34" s="361" customFormat="1" ht="13.5" customHeight="1" x14ac:dyDescent="0.25">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410"/>
      <c r="AH249" s="385"/>
    </row>
    <row r="250" spans="1:34" s="361" customFormat="1" x14ac:dyDescent="0.25">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383"/>
      <c r="AH250" s="385"/>
    </row>
    <row r="251" spans="1:34" s="361" customFormat="1" x14ac:dyDescent="0.25">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83"/>
      <c r="AH251" s="385"/>
    </row>
    <row r="252" spans="1:34" s="361" customFormat="1" x14ac:dyDescent="0.25">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383"/>
      <c r="AH252" s="385"/>
    </row>
    <row r="253" spans="1:34" s="361" customFormat="1" x14ac:dyDescent="0.25">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90"/>
      <c r="AH253" s="392"/>
    </row>
    <row r="254" spans="1:34" s="361" customFormat="1" ht="15.75" customHeight="1" x14ac:dyDescent="0.25">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90"/>
      <c r="AH254" s="396"/>
    </row>
    <row r="255" spans="1:34" s="361" customFormat="1" ht="15.75" customHeight="1" x14ac:dyDescent="0.25">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90"/>
      <c r="AH255" s="385"/>
    </row>
    <row r="256" spans="1:34" s="361" customFormat="1" ht="12.75" customHeight="1" x14ac:dyDescent="0.25">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95"/>
      <c r="AH256" s="397"/>
    </row>
    <row r="257" spans="1:34" s="361" customFormat="1" x14ac:dyDescent="0.25">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6"/>
      <c r="AH257" s="397"/>
    </row>
    <row r="258" spans="1:34" s="361" customFormat="1" x14ac:dyDescent="0.25">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85"/>
      <c r="AH258" s="385"/>
    </row>
    <row r="259" spans="1:34" s="361" customFormat="1" x14ac:dyDescent="0.25">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7"/>
      <c r="AH259" s="398"/>
    </row>
    <row r="260" spans="1:34" s="361" customFormat="1" x14ac:dyDescent="0.25">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7"/>
      <c r="AH260" s="399"/>
    </row>
    <row r="261" spans="1:34" s="361" customFormat="1" x14ac:dyDescent="0.25">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85"/>
      <c r="AH261" s="399"/>
    </row>
    <row r="262" spans="1:34" s="361" customFormat="1" ht="14.25" customHeight="1" x14ac:dyDescent="0.25">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8"/>
      <c r="AH262" s="399"/>
    </row>
    <row r="263" spans="1:34" s="361" customFormat="1" x14ac:dyDescent="0.25">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9"/>
      <c r="AH263" s="399"/>
    </row>
    <row r="264" spans="1:34" s="361" customFormat="1" x14ac:dyDescent="0.25">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9"/>
      <c r="AH264" s="399"/>
    </row>
    <row r="265" spans="1:34" s="391" customFormat="1" x14ac:dyDescent="0.25">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9"/>
      <c r="AH265" s="399"/>
    </row>
    <row r="266" spans="1:34" s="391" customFormat="1" ht="12" customHeight="1" x14ac:dyDescent="0.25">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99"/>
    </row>
    <row r="267" spans="1:34" s="391" customFormat="1" x14ac:dyDescent="0.25">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9"/>
    </row>
    <row r="268" spans="1:34" s="392" customFormat="1" ht="11.25" customHeight="1" x14ac:dyDescent="0.25">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9"/>
    </row>
    <row r="269" spans="1:34" s="396" customFormat="1" x14ac:dyDescent="0.25">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99"/>
    </row>
    <row r="270" spans="1:34" x14ac:dyDescent="0.25">
      <c r="AG270" s="401"/>
    </row>
    <row r="271" spans="1:34" s="397" customFormat="1" x14ac:dyDescent="0.25">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403"/>
    </row>
    <row r="272" spans="1:34" s="397" customFormat="1" x14ac:dyDescent="0.25">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403"/>
    </row>
    <row r="273" spans="1:33" x14ac:dyDescent="0.25">
      <c r="AG273" s="403"/>
    </row>
    <row r="274" spans="1:33" x14ac:dyDescent="0.25">
      <c r="AG274" s="403"/>
    </row>
    <row r="275" spans="1:33" s="400" customFormat="1" x14ac:dyDescent="0.25">
      <c r="A275" s="385"/>
      <c r="B275" s="385"/>
      <c r="C275" s="385"/>
      <c r="D275" s="385"/>
      <c r="E275" s="385"/>
      <c r="F275" s="385"/>
      <c r="G275" s="385"/>
      <c r="H275" s="385"/>
      <c r="I275" s="385"/>
      <c r="J275" s="385"/>
      <c r="K275" s="385"/>
      <c r="L275" s="385"/>
      <c r="O275" s="385"/>
      <c r="P275" s="385"/>
      <c r="Q275" s="385"/>
      <c r="R275" s="385"/>
      <c r="S275" s="385"/>
      <c r="T275" s="385"/>
      <c r="U275" s="385"/>
      <c r="V275" s="385"/>
      <c r="W275" s="385"/>
      <c r="X275" s="385"/>
      <c r="Y275" s="385"/>
      <c r="Z275" s="385"/>
      <c r="AA275" s="385"/>
      <c r="AB275" s="385"/>
      <c r="AC275" s="494"/>
      <c r="AD275" s="385"/>
      <c r="AE275" s="389"/>
      <c r="AF275" s="385"/>
      <c r="AG275" s="405"/>
    </row>
    <row r="276" spans="1:33" s="400" customFormat="1" x14ac:dyDescent="0.25">
      <c r="A276" s="385"/>
      <c r="B276" s="385"/>
      <c r="C276" s="385"/>
      <c r="D276" s="385"/>
      <c r="E276" s="385"/>
      <c r="F276" s="385"/>
      <c r="G276" s="385"/>
      <c r="H276" s="385"/>
      <c r="I276" s="385"/>
      <c r="J276" s="385"/>
      <c r="K276" s="385"/>
      <c r="L276" s="385"/>
      <c r="O276" s="385"/>
      <c r="P276" s="385"/>
      <c r="Q276" s="385"/>
      <c r="R276" s="385"/>
      <c r="S276" s="385"/>
      <c r="T276" s="385"/>
      <c r="U276" s="385"/>
      <c r="V276" s="385"/>
      <c r="W276" s="385"/>
      <c r="X276" s="385"/>
      <c r="Y276" s="385"/>
      <c r="Z276" s="385"/>
      <c r="AA276" s="385"/>
      <c r="AB276" s="385"/>
      <c r="AC276" s="494"/>
      <c r="AD276" s="385"/>
      <c r="AE276" s="389"/>
      <c r="AF276" s="385"/>
      <c r="AG276" s="391"/>
    </row>
    <row r="277" spans="1:33" s="400" customFormat="1" x14ac:dyDescent="0.25">
      <c r="A277" s="385"/>
      <c r="B277" s="385"/>
      <c r="C277" s="385"/>
      <c r="D277" s="385"/>
      <c r="E277" s="385"/>
      <c r="F277" s="385"/>
      <c r="G277" s="385"/>
      <c r="H277" s="385"/>
      <c r="I277" s="385"/>
      <c r="J277" s="385"/>
      <c r="K277" s="385"/>
      <c r="L277" s="385"/>
      <c r="O277" s="385"/>
      <c r="P277" s="385"/>
      <c r="Q277" s="385"/>
      <c r="R277" s="385"/>
      <c r="S277" s="385"/>
      <c r="T277" s="385"/>
      <c r="U277" s="385"/>
      <c r="V277" s="385"/>
      <c r="W277" s="385"/>
      <c r="X277" s="385"/>
      <c r="Y277" s="385"/>
      <c r="Z277" s="385"/>
      <c r="AA277" s="385"/>
      <c r="AB277" s="385"/>
      <c r="AC277" s="494"/>
      <c r="AD277" s="385"/>
      <c r="AE277" s="389"/>
      <c r="AF277" s="385"/>
      <c r="AG277" s="391"/>
    </row>
    <row r="278" spans="1:33" s="400" customFormat="1" x14ac:dyDescent="0.25">
      <c r="A278" s="385"/>
      <c r="B278" s="385"/>
      <c r="C278" s="385"/>
      <c r="D278" s="385"/>
      <c r="E278" s="385"/>
      <c r="F278" s="385"/>
      <c r="G278" s="385"/>
      <c r="H278" s="385"/>
      <c r="I278" s="385"/>
      <c r="J278" s="385"/>
      <c r="K278" s="385"/>
      <c r="L278" s="385"/>
      <c r="O278" s="385"/>
      <c r="P278" s="385"/>
      <c r="Q278" s="385"/>
      <c r="R278" s="385"/>
      <c r="S278" s="385"/>
      <c r="T278" s="385"/>
      <c r="U278" s="385"/>
      <c r="V278" s="385"/>
      <c r="W278" s="385"/>
      <c r="X278" s="385"/>
      <c r="Y278" s="385"/>
      <c r="Z278" s="385"/>
      <c r="AA278" s="385"/>
      <c r="AB278" s="385"/>
      <c r="AC278" s="494"/>
      <c r="AD278" s="385"/>
      <c r="AE278" s="389"/>
      <c r="AF278" s="385"/>
      <c r="AG278" s="392"/>
    </row>
    <row r="279" spans="1:33" s="400" customFormat="1" x14ac:dyDescent="0.25">
      <c r="A279" s="385"/>
      <c r="B279" s="385"/>
      <c r="C279" s="385"/>
      <c r="D279" s="385"/>
      <c r="E279" s="385"/>
      <c r="F279" s="385"/>
      <c r="G279" s="385"/>
      <c r="H279" s="385"/>
      <c r="I279" s="385"/>
      <c r="J279" s="385"/>
      <c r="K279" s="385"/>
      <c r="L279" s="385"/>
      <c r="O279" s="385"/>
      <c r="P279" s="385"/>
      <c r="Q279" s="385"/>
      <c r="R279" s="385"/>
      <c r="S279" s="385"/>
      <c r="T279" s="385"/>
      <c r="U279" s="385"/>
      <c r="V279" s="385"/>
      <c r="W279" s="385"/>
      <c r="X279" s="385"/>
      <c r="Y279" s="385"/>
      <c r="Z279" s="385"/>
      <c r="AA279" s="385"/>
      <c r="AB279" s="385"/>
      <c r="AC279" s="494"/>
      <c r="AD279" s="385"/>
      <c r="AE279" s="389"/>
      <c r="AF279" s="385"/>
      <c r="AG279" s="396"/>
    </row>
    <row r="280" spans="1:33" s="400" customFormat="1" x14ac:dyDescent="0.25">
      <c r="A280" s="385"/>
      <c r="B280" s="385"/>
      <c r="C280" s="385"/>
      <c r="D280" s="385"/>
      <c r="E280" s="385"/>
      <c r="F280" s="385"/>
      <c r="G280" s="385"/>
      <c r="H280" s="385"/>
      <c r="I280" s="385"/>
      <c r="J280" s="385"/>
      <c r="K280" s="385"/>
      <c r="L280" s="385"/>
      <c r="O280" s="385"/>
      <c r="P280" s="385"/>
      <c r="Q280" s="385"/>
      <c r="R280" s="385"/>
      <c r="S280" s="385"/>
      <c r="T280" s="385"/>
      <c r="U280" s="385"/>
      <c r="V280" s="385"/>
      <c r="W280" s="385"/>
      <c r="X280" s="385"/>
      <c r="Y280" s="385"/>
      <c r="Z280" s="385"/>
      <c r="AA280" s="385"/>
      <c r="AB280" s="385"/>
      <c r="AC280" s="494"/>
      <c r="AD280" s="385"/>
      <c r="AE280" s="389"/>
      <c r="AF280" s="385"/>
      <c r="AG280" s="385"/>
    </row>
    <row r="281" spans="1:33" s="400" customFormat="1" x14ac:dyDescent="0.25">
      <c r="A281" s="385"/>
      <c r="B281" s="385"/>
      <c r="C281" s="385"/>
      <c r="D281" s="385"/>
      <c r="E281" s="385"/>
      <c r="F281" s="385"/>
      <c r="G281" s="385"/>
      <c r="H281" s="385"/>
      <c r="I281" s="385"/>
      <c r="J281" s="385"/>
      <c r="K281" s="385"/>
      <c r="L281" s="385"/>
      <c r="O281" s="385"/>
      <c r="P281" s="385"/>
      <c r="Q281" s="385"/>
      <c r="R281" s="385"/>
      <c r="S281" s="385"/>
      <c r="T281" s="385"/>
      <c r="U281" s="385"/>
      <c r="V281" s="385"/>
      <c r="W281" s="385"/>
      <c r="X281" s="385"/>
      <c r="Y281" s="385"/>
      <c r="Z281" s="385"/>
      <c r="AA281" s="385"/>
      <c r="AB281" s="385"/>
      <c r="AC281" s="494"/>
      <c r="AD281" s="385"/>
      <c r="AE281" s="389"/>
      <c r="AF281" s="385"/>
      <c r="AG281" s="397"/>
    </row>
    <row r="282" spans="1:33" s="400" customFormat="1" x14ac:dyDescent="0.25">
      <c r="A282" s="385"/>
      <c r="B282" s="385"/>
      <c r="C282" s="385"/>
      <c r="D282" s="385"/>
      <c r="E282" s="385"/>
      <c r="F282" s="385"/>
      <c r="G282" s="385"/>
      <c r="H282" s="385"/>
      <c r="I282" s="385"/>
      <c r="J282" s="385"/>
      <c r="K282" s="385"/>
      <c r="L282" s="385"/>
      <c r="O282" s="385"/>
      <c r="P282" s="385"/>
      <c r="Q282" s="385"/>
      <c r="R282" s="385"/>
      <c r="S282" s="385"/>
      <c r="T282" s="385"/>
      <c r="U282" s="385"/>
      <c r="V282" s="385"/>
      <c r="W282" s="385"/>
      <c r="X282" s="385"/>
      <c r="Y282" s="385"/>
      <c r="Z282" s="385"/>
      <c r="AA282" s="385"/>
      <c r="AB282" s="385"/>
      <c r="AC282" s="494"/>
      <c r="AD282" s="385"/>
      <c r="AE282" s="389"/>
      <c r="AF282" s="385"/>
      <c r="AG282" s="397"/>
    </row>
    <row r="284" spans="1:33" s="398" customFormat="1" x14ac:dyDescent="0.25">
      <c r="A284" s="385"/>
      <c r="B284" s="385"/>
      <c r="C284" s="385"/>
      <c r="D284" s="385"/>
      <c r="E284" s="385"/>
      <c r="F284" s="385"/>
      <c r="G284" s="385"/>
      <c r="H284" s="385"/>
      <c r="I284" s="385"/>
      <c r="J284" s="385"/>
      <c r="K284" s="385"/>
      <c r="L284" s="385"/>
      <c r="M284" s="400"/>
      <c r="N284" s="400"/>
      <c r="O284" s="385"/>
      <c r="P284" s="385"/>
      <c r="Q284" s="385"/>
      <c r="R284" s="385"/>
      <c r="S284" s="385"/>
      <c r="T284" s="385"/>
      <c r="U284" s="385"/>
      <c r="V284" s="385"/>
      <c r="W284" s="385"/>
      <c r="X284" s="385"/>
      <c r="Y284" s="385"/>
      <c r="Z284" s="385"/>
      <c r="AA284" s="385"/>
      <c r="AB284" s="385"/>
      <c r="AC284" s="494"/>
      <c r="AD284" s="385"/>
      <c r="AE284" s="389"/>
      <c r="AF284" s="385"/>
      <c r="AG284" s="385"/>
    </row>
    <row r="285" spans="1:33" s="399" customFormat="1" x14ac:dyDescent="0.25">
      <c r="A285" s="385"/>
      <c r="B285" s="385"/>
      <c r="C285" s="385"/>
      <c r="D285" s="385"/>
      <c r="E285" s="385"/>
      <c r="F285" s="385"/>
      <c r="G285" s="385"/>
      <c r="H285" s="385"/>
      <c r="I285" s="385"/>
      <c r="J285" s="385"/>
      <c r="K285" s="385"/>
      <c r="L285" s="385"/>
      <c r="M285" s="400"/>
      <c r="N285" s="400"/>
      <c r="O285" s="385"/>
      <c r="P285" s="385"/>
      <c r="Q285" s="385"/>
      <c r="R285" s="385"/>
      <c r="S285" s="385"/>
      <c r="T285" s="385"/>
      <c r="U285" s="385"/>
      <c r="V285" s="385"/>
      <c r="W285" s="385"/>
      <c r="X285" s="385"/>
      <c r="Y285" s="385"/>
      <c r="Z285" s="385"/>
      <c r="AA285" s="385"/>
      <c r="AB285" s="385"/>
      <c r="AC285" s="494"/>
      <c r="AD285" s="385"/>
      <c r="AE285" s="389"/>
      <c r="AF285" s="385"/>
      <c r="AG285" s="400"/>
    </row>
    <row r="286" spans="1:33" s="399" customFormat="1" x14ac:dyDescent="0.25">
      <c r="A286" s="385"/>
      <c r="B286" s="385"/>
      <c r="C286" s="385"/>
      <c r="D286" s="385"/>
      <c r="E286" s="385"/>
      <c r="F286" s="385"/>
      <c r="G286" s="385"/>
      <c r="H286" s="385"/>
      <c r="I286" s="385"/>
      <c r="J286" s="385"/>
      <c r="K286" s="385"/>
      <c r="L286" s="385"/>
      <c r="M286" s="400"/>
      <c r="N286" s="400"/>
      <c r="O286" s="385"/>
      <c r="P286" s="385"/>
      <c r="Q286" s="385"/>
      <c r="R286" s="385"/>
      <c r="S286" s="385"/>
      <c r="T286" s="385"/>
      <c r="U286" s="385"/>
      <c r="V286" s="385"/>
      <c r="W286" s="385"/>
      <c r="X286" s="385"/>
      <c r="Y286" s="385"/>
      <c r="Z286" s="385"/>
      <c r="AA286" s="385"/>
      <c r="AB286" s="385"/>
      <c r="AC286" s="494"/>
      <c r="AD286" s="385"/>
      <c r="AE286" s="389"/>
      <c r="AF286" s="385"/>
      <c r="AG286" s="400"/>
    </row>
    <row r="287" spans="1:33" s="399" customFormat="1" x14ac:dyDescent="0.25">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400"/>
    </row>
    <row r="288" spans="1:33" s="399" customFormat="1" x14ac:dyDescent="0.25">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400"/>
    </row>
    <row r="289" spans="1:33" s="399" customFormat="1" x14ac:dyDescent="0.25">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400"/>
    </row>
    <row r="290" spans="1:33" s="399" customFormat="1" x14ac:dyDescent="0.25">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400"/>
    </row>
    <row r="291" spans="1:33" s="399" customFormat="1" x14ac:dyDescent="0.25">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400"/>
    </row>
    <row r="292" spans="1:33" s="402" customFormat="1" x14ac:dyDescent="0.25">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400"/>
    </row>
    <row r="293" spans="1:33" s="403" customFormat="1" ht="12.75" customHeight="1" x14ac:dyDescent="0.25">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385"/>
    </row>
    <row r="294" spans="1:33" s="403" customFormat="1" ht="12.75" customHeight="1" x14ac:dyDescent="0.25">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398"/>
    </row>
    <row r="295" spans="1:33" s="403" customFormat="1" ht="12.75" customHeight="1" x14ac:dyDescent="0.25">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399"/>
    </row>
    <row r="296" spans="1:33" s="403" customFormat="1" ht="12.75" customHeight="1" x14ac:dyDescent="0.25">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99"/>
    </row>
    <row r="297" spans="1:33" s="403" customFormat="1" ht="12.75" customHeight="1" x14ac:dyDescent="0.25">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399"/>
    </row>
    <row r="298" spans="1:33" s="403" customFormat="1" ht="12.75" customHeight="1" x14ac:dyDescent="0.25">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399"/>
    </row>
    <row r="299" spans="1:33" s="403" customFormat="1" ht="12.75" customHeight="1" x14ac:dyDescent="0.25">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399"/>
    </row>
    <row r="300" spans="1:33" s="403" customFormat="1" ht="12.75" customHeight="1" x14ac:dyDescent="0.25">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399"/>
    </row>
    <row r="301" spans="1:33" s="403" customFormat="1" ht="12.75" customHeight="1" x14ac:dyDescent="0.25">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99"/>
    </row>
    <row r="302" spans="1:33" s="406" customFormat="1" x14ac:dyDescent="0.25">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402"/>
    </row>
    <row r="303" spans="1:33" s="406" customFormat="1" x14ac:dyDescent="0.25">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403"/>
    </row>
    <row r="304" spans="1:33" s="406" customFormat="1" x14ac:dyDescent="0.25">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403"/>
    </row>
    <row r="305" spans="1:33" s="406" customFormat="1" x14ac:dyDescent="0.25">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403"/>
    </row>
    <row r="306" spans="1:33" s="406" customFormat="1" x14ac:dyDescent="0.25">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403"/>
    </row>
    <row r="307" spans="1:33" s="406" customFormat="1" x14ac:dyDescent="0.25">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403"/>
    </row>
    <row r="308" spans="1:33" s="406" customFormat="1" x14ac:dyDescent="0.25">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403"/>
    </row>
    <row r="309" spans="1:33" s="406" customFormat="1" x14ac:dyDescent="0.25">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403"/>
    </row>
    <row r="310" spans="1:33" x14ac:dyDescent="0.25">
      <c r="AG310" s="403"/>
    </row>
    <row r="311" spans="1:33" x14ac:dyDescent="0.25">
      <c r="AG311" s="403"/>
    </row>
    <row r="312" spans="1:33" x14ac:dyDescent="0.25">
      <c r="AG312" s="406"/>
    </row>
    <row r="313" spans="1:33" x14ac:dyDescent="0.25">
      <c r="AG313" s="406"/>
    </row>
    <row r="314" spans="1:33" x14ac:dyDescent="0.25">
      <c r="AG314" s="406"/>
    </row>
    <row r="315" spans="1:33" x14ac:dyDescent="0.25">
      <c r="AG315" s="406"/>
    </row>
    <row r="316" spans="1:33" x14ac:dyDescent="0.25">
      <c r="AG316" s="406"/>
    </row>
    <row r="317" spans="1:33" x14ac:dyDescent="0.25">
      <c r="AG317" s="406"/>
    </row>
    <row r="318" spans="1:33" x14ac:dyDescent="0.25">
      <c r="AG318" s="406"/>
    </row>
    <row r="319" spans="1:33" x14ac:dyDescent="0.25">
      <c r="AG319" s="406"/>
    </row>
  </sheetData>
  <phoneticPr fontId="9" type="noConversion"/>
  <printOptions horizontalCentered="1"/>
  <pageMargins left="0.17" right="0.35" top="0.1" bottom="0.28000000000000003" header="0.2" footer="0.18"/>
  <pageSetup scale="53"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93</xdr:row>
                    <xdr:rowOff>167640</xdr:rowOff>
                  </from>
                  <to>
                    <xdr:col>12</xdr:col>
                    <xdr:colOff>99060</xdr:colOff>
                    <xdr:row>94</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4"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1">
        <v>37176</v>
      </c>
      <c r="B1" s="652"/>
      <c r="C1" s="652"/>
      <c r="D1" s="652"/>
      <c r="E1" s="652"/>
      <c r="F1" s="652"/>
      <c r="G1" s="652"/>
      <c r="H1" s="652"/>
      <c r="I1" s="652"/>
      <c r="J1" s="652"/>
      <c r="K1" s="652"/>
      <c r="L1" s="652"/>
      <c r="M1" s="652"/>
      <c r="N1" s="652"/>
      <c r="O1" s="652"/>
      <c r="P1" s="652"/>
      <c r="Q1" s="652"/>
      <c r="R1" s="652"/>
      <c r="S1" s="652"/>
      <c r="T1" s="652"/>
      <c r="U1" s="652"/>
      <c r="V1" s="652"/>
      <c r="W1" s="652"/>
      <c r="X1" s="652"/>
      <c r="Y1" s="653"/>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5">
      <c r="A2" s="654"/>
      <c r="B2" s="531" t="s">
        <v>363</v>
      </c>
      <c r="C2" s="531" t="s">
        <v>363</v>
      </c>
      <c r="D2" s="531" t="s">
        <v>363</v>
      </c>
      <c r="E2" s="531" t="s">
        <v>363</v>
      </c>
      <c r="F2" s="531" t="s">
        <v>363</v>
      </c>
      <c r="G2" s="531" t="s">
        <v>363</v>
      </c>
      <c r="H2" s="531" t="s">
        <v>363</v>
      </c>
      <c r="I2" s="531" t="s">
        <v>363</v>
      </c>
      <c r="J2" s="531" t="s">
        <v>363</v>
      </c>
      <c r="K2" s="531" t="s">
        <v>363</v>
      </c>
      <c r="L2" s="531" t="s">
        <v>363</v>
      </c>
      <c r="M2" s="531" t="s">
        <v>363</v>
      </c>
      <c r="N2" s="531" t="s">
        <v>363</v>
      </c>
      <c r="O2" s="531" t="s">
        <v>363</v>
      </c>
      <c r="P2" s="531" t="s">
        <v>363</v>
      </c>
      <c r="Q2" s="531" t="s">
        <v>363</v>
      </c>
      <c r="R2" s="531" t="s">
        <v>363</v>
      </c>
      <c r="S2" s="531" t="s">
        <v>363</v>
      </c>
      <c r="T2" s="531" t="s">
        <v>363</v>
      </c>
      <c r="U2" s="531" t="s">
        <v>363</v>
      </c>
      <c r="V2" s="531" t="s">
        <v>363</v>
      </c>
      <c r="W2" s="531" t="s">
        <v>363</v>
      </c>
      <c r="X2" s="531" t="s">
        <v>363</v>
      </c>
      <c r="Y2" s="531" t="s">
        <v>363</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8" thickBot="1" x14ac:dyDescent="0.3">
      <c r="A3" s="593" t="s">
        <v>335</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5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56" t="s">
        <v>305</v>
      </c>
      <c r="B4" s="565">
        <v>634</v>
      </c>
      <c r="C4" s="565">
        <v>609</v>
      </c>
      <c r="D4" s="565">
        <v>597</v>
      </c>
      <c r="E4" s="565">
        <v>618</v>
      </c>
      <c r="F4" s="565">
        <v>639</v>
      </c>
      <c r="G4" s="565">
        <v>748</v>
      </c>
      <c r="H4" s="565">
        <v>790</v>
      </c>
      <c r="I4" s="565">
        <v>807</v>
      </c>
      <c r="J4" s="565">
        <v>820</v>
      </c>
      <c r="K4" s="565">
        <v>872</v>
      </c>
      <c r="L4" s="565">
        <v>882</v>
      </c>
      <c r="M4" s="565">
        <v>878</v>
      </c>
      <c r="N4" s="565">
        <v>878</v>
      </c>
      <c r="O4" s="565">
        <v>875</v>
      </c>
      <c r="P4" s="565">
        <v>862</v>
      </c>
      <c r="Q4" s="565">
        <v>813</v>
      </c>
      <c r="R4" s="565">
        <v>788</v>
      </c>
      <c r="S4" s="565">
        <v>775</v>
      </c>
      <c r="T4" s="565">
        <v>825</v>
      </c>
      <c r="U4" s="565">
        <v>825</v>
      </c>
      <c r="V4" s="565">
        <v>788</v>
      </c>
      <c r="W4" s="565">
        <v>745</v>
      </c>
      <c r="X4" s="566">
        <v>657</v>
      </c>
      <c r="Y4" s="566">
        <v>651</v>
      </c>
      <c r="Z4" s="359"/>
      <c r="AA4" s="359"/>
      <c r="AB4" s="359"/>
      <c r="AC4" s="359"/>
      <c r="AD4" s="359"/>
    </row>
    <row r="5" spans="1:213" s="161" customFormat="1" ht="12.6" thickBot="1" x14ac:dyDescent="0.3">
      <c r="A5" s="657" t="s">
        <v>64</v>
      </c>
      <c r="B5" s="567">
        <f>Deals!F4</f>
        <v>10</v>
      </c>
      <c r="C5" s="567">
        <f>Deals!G4</f>
        <v>10</v>
      </c>
      <c r="D5" s="567">
        <f>Deals!H4</f>
        <v>10</v>
      </c>
      <c r="E5" s="567">
        <f>Deals!I4</f>
        <v>10</v>
      </c>
      <c r="F5" s="567">
        <f>Deals!J4</f>
        <v>15</v>
      </c>
      <c r="G5" s="567">
        <f>Deals!K4</f>
        <v>15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20</v>
      </c>
      <c r="Y5" s="552">
        <f>Deals!AC4</f>
        <v>10</v>
      </c>
      <c r="Z5" s="160"/>
      <c r="AA5" s="162"/>
    </row>
    <row r="6" spans="1:213" s="161" customFormat="1" ht="12" x14ac:dyDescent="0.25">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ht="12.6" thickBot="1" x14ac:dyDescent="0.3">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1.4" x14ac:dyDescent="0.2">
      <c r="A8" s="534" t="s">
        <v>252</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1.4"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1.4" x14ac:dyDescent="0.2">
      <c r="A10" s="537"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-25</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-50</v>
      </c>
      <c r="R10" s="199">
        <f t="array" aca="1" ref="R10" ca="1">SUM(IF((DelPoint= "4C")*IF((DType = "firm")+(DType = "econ")&gt;0,1,0)*(OFFSET(DelPoint,0,R3+2)&lt;0),OFFSET(DelPoint,0,R3+2),0))</f>
        <v>-50</v>
      </c>
      <c r="S10" s="199">
        <f t="array" aca="1" ref="S10" ca="1">SUM(IF((DelPoint= "4C")*IF((DType = "firm")+(DType = "econ")&gt;0,1,0)*(OFFSET(DelPoint,0,S3+2)&lt;0),OFFSET(DelPoint,0,S3+2),0))</f>
        <v>-50</v>
      </c>
      <c r="T10" s="199">
        <f t="array" aca="1" ref="T10" ca="1">SUM(IF((DelPoint= "4C")*IF((DType = "firm")+(DType = "econ")&gt;0,1,0)*(OFFSET(DelPoint,0,T3+2)&lt;0),OFFSET(DelPoint,0,T3+2),0))</f>
        <v>-50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1.4" x14ac:dyDescent="0.2">
      <c r="A11" s="658" t="s">
        <v>254</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t="array" aca="1" ref="G11" ca="1">SUM(IF((DelPoint= "PV")*(DType = "pre")*(OFFSET(DelPoint,0,G3+2)&lt;0),OFFSET(DelPoint,0,G3+2),0))</f>
        <v>0</v>
      </c>
      <c r="H11" s="201">
        <f t="array" aca="1" ref="H11" ca="1">SUM(IF((DelPoint= "PV")*(DType = "pre")*(OFFSET(DelPoint,0,H3+2)&lt;0),OFFSET(DelPoint,0,H3+2),0))</f>
        <v>-150</v>
      </c>
      <c r="I11" s="201">
        <f t="array" aca="1" ref="I11" ca="1">SUM(IF((DelPoint= "PV")*(DType = "pre")*(OFFSET(DelPoint,0,I3+2)&lt;0),OFFSET(DelPoint,0,I3+2),0))</f>
        <v>-150</v>
      </c>
      <c r="J11" s="201">
        <f t="array" aca="1" ref="J11" ca="1">SUM(IF((DelPoint= "PV")*(DType = "pre")*(OFFSET(DelPoint,0,J3+2)&lt;0),OFFSET(DelPoint,0,J3+2),0))</f>
        <v>-150</v>
      </c>
      <c r="K11" s="201">
        <f t="array" aca="1" ref="K11" ca="1">SUM(IF((DelPoint= "PV")*(DType = "pre")*(OFFSET(DelPoint,0,K3+2)&lt;0),OFFSET(DelPoint,0,K3+2),0))</f>
        <v>-150</v>
      </c>
      <c r="L11" s="201">
        <f t="array" aca="1" ref="L11" ca="1">SUM(IF((DelPoint= "PV")*(DType = "pre")*(OFFSET(DelPoint,0,L3+2)&lt;0),OFFSET(DelPoint,0,L3+2),0))</f>
        <v>-150</v>
      </c>
      <c r="M11" s="201">
        <f t="array" aca="1" ref="M11" ca="1">SUM(IF((DelPoint= "PV")*(DType = "pre")*(OFFSET(DelPoint,0,M3+2)&lt;0),OFFSET(DelPoint,0,M3+2),0))</f>
        <v>-150</v>
      </c>
      <c r="N11" s="201">
        <f t="array" aca="1" ref="N11" ca="1">SUM(IF((DelPoint= "PV")*(DType = "pre")*(OFFSET(DelPoint,0,N3+2)&lt;0),OFFSET(DelPoint,0,N3+2),0))</f>
        <v>-137</v>
      </c>
      <c r="O11" s="201">
        <f t="array" aca="1" ref="O11" ca="1">SUM(IF((DelPoint= "PV")*(DType = "pre")*(OFFSET(DelPoint,0,O3+2)&lt;0),OFFSET(DelPoint,0,O3+2),0))</f>
        <v>-150</v>
      </c>
      <c r="P11" s="201">
        <f t="array" aca="1" ref="P11" ca="1">SUM(IF((DelPoint= "PV")*(DType = "pre")*(OFFSET(DelPoint,0,P3+2)&lt;0),OFFSET(DelPoint,0,P3+2),0))</f>
        <v>-150</v>
      </c>
      <c r="Q11" s="201">
        <f t="array" aca="1" ref="Q11" ca="1">SUM(IF((DelPoint= "PV")*(DType = "pre")*(OFFSET(DelPoint,0,Q3+2)&lt;0),OFFSET(DelPoint,0,Q3+2),0))</f>
        <v>-150</v>
      </c>
      <c r="R11" s="201">
        <f t="array" aca="1" ref="R11" ca="1">SUM(IF((DelPoint= "PV")*(DType = "pre")*(OFFSET(DelPoint,0,R3+2)&lt;0),OFFSET(DelPoint,0,R3+2),0))</f>
        <v>-150</v>
      </c>
      <c r="S11" s="201">
        <f t="array" aca="1" ref="S11" ca="1">SUM(IF((DelPoint= "PV")*(DType = "pre")*(OFFSET(DelPoint,0,S3+2)&lt;0),OFFSET(DelPoint,0,S3+2),0))</f>
        <v>-150</v>
      </c>
      <c r="T11" s="201">
        <f t="array" aca="1" ref="T11" ca="1">SUM(IF((DelPoint= "PV")*(DType = "pre")*(OFFSET(DelPoint,0,T3+2)&lt;0),OFFSET(DelPoint,0,T3+2),0))</f>
        <v>-150</v>
      </c>
      <c r="U11" s="201">
        <f t="array" aca="1" ref="U11" ca="1">SUM(IF((DelPoint= "PV")*(DType = "pre")*(OFFSET(DelPoint,0,U3+2)&lt;0),OFFSET(DelPoint,0,U3+2),0))</f>
        <v>-150</v>
      </c>
      <c r="V11" s="201">
        <f t="array" aca="1" ref="V11" ca="1">SUM(IF((DelPoint= "PV")*(DType = "pre")*(OFFSET(DelPoint,0,V3+2)&lt;0),OFFSET(DelPoint,0,V3+2),0))</f>
        <v>-144</v>
      </c>
      <c r="W11" s="201">
        <f t="array" aca="1" ref="W11" ca="1">SUM(IF((DelPoint= "PV")*(DType = "pre")*(OFFSET(DelPoint,0,W3+2)&lt;0),OFFSET(DelPoint,0,W3+2),0))</f>
        <v>-150</v>
      </c>
      <c r="X11" s="201">
        <f t="array" aca="1" ref="X11" ca="1">SUM(IF((DelPoint= "PV")*(DType = "pre")*(OFFSET(DelPoint,0,X3+2)&lt;0),OFFSET(DelPoint,0,X3+2),0))</f>
        <v>0</v>
      </c>
      <c r="Y11" s="542">
        <f ca="1">SUM(IF((DelPoint= "PV")*(DType = "pre")*(OFFSET(DelPoint,0,Y3+2)&lt;0),OFFSET(DelPoint,0,Y3+2),0))</f>
        <v>0</v>
      </c>
      <c r="Z11" s="160"/>
      <c r="AA11" s="162"/>
    </row>
    <row r="12" spans="1:213" s="161" customFormat="1" ht="11.4" x14ac:dyDescent="0.2">
      <c r="A12" s="659"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1.4" x14ac:dyDescent="0.2">
      <c r="A13" s="659" t="s">
        <v>304</v>
      </c>
      <c r="B13" s="590"/>
      <c r="C13" s="590"/>
      <c r="D13" s="590"/>
      <c r="E13" s="590"/>
      <c r="F13" s="590"/>
      <c r="G13" s="590"/>
      <c r="H13" s="590"/>
      <c r="I13" s="590"/>
      <c r="J13" s="590"/>
      <c r="K13" s="590"/>
      <c r="L13" s="590"/>
      <c r="M13" s="590"/>
      <c r="N13" s="590"/>
      <c r="O13" s="590"/>
      <c r="P13" s="590"/>
      <c r="Q13" s="590"/>
      <c r="R13" s="590"/>
      <c r="S13" s="590"/>
      <c r="T13" s="590"/>
      <c r="U13" s="590"/>
      <c r="V13" s="590"/>
      <c r="W13" s="590"/>
      <c r="X13" s="590"/>
      <c r="Y13" s="590"/>
      <c r="Z13" s="160"/>
      <c r="AA13" s="162"/>
    </row>
    <row r="14" spans="1:213" s="161" customFormat="1" ht="11.4" x14ac:dyDescent="0.2">
      <c r="A14" s="660" t="s">
        <v>255</v>
      </c>
      <c r="B14" s="202">
        <f t="array" aca="1" ref="B14" ca="1">SUM(IF((DelPoint= "PV")*IF((DType = "firm")+(DType = "econ")&gt;0,1,0)*(OFFSET(DelPoint,0,B3+2)&lt;0),OFFSET(DelPoint,0,B3+2),0))</f>
        <v>-125</v>
      </c>
      <c r="C14" s="202">
        <f t="array" aca="1" ref="C14" ca="1">SUM(IF((DelPoint= "PV")*IF((DType = "firm")+(DType = "econ")&gt;0,1,0)*(OFFSET(DelPoint,0,C3+2)&lt;0),OFFSET(DelPoint,0,C3+2),0))</f>
        <v>-125</v>
      </c>
      <c r="D14" s="202">
        <f t="array" aca="1" ref="D14" ca="1">SUM(IF((DelPoint= "PV")*IF((DType = "firm")+(DType = "econ")&gt;0,1,0)*(OFFSET(DelPoint,0,D3+2)&lt;0),OFFSET(DelPoint,0,D3+2),0))</f>
        <v>-100</v>
      </c>
      <c r="E14" s="202">
        <f t="array" aca="1" ref="E14" ca="1">SUM(IF((DelPoint= "PV")*IF((DType = "firm")+(DType = "econ")&gt;0,1,0)*(OFFSET(DelPoint,0,E3+2)&lt;0),OFFSET(DelPoint,0,E3+2),0))</f>
        <v>-100</v>
      </c>
      <c r="F14" s="202">
        <f t="array" aca="1" ref="F14" ca="1">SUM(IF((DelPoint= "PV")*IF((DType = "firm")+(DType = "econ")&gt;0,1,0)*(OFFSET(DelPoint,0,F3+2)&lt;0),OFFSET(DelPoint,0,F3+2),0))</f>
        <v>-125</v>
      </c>
      <c r="G14" s="202">
        <f t="array" aca="1" ref="G14" ca="1">SUM(IF((DelPoint= "PV")*IF((DType = "firm")+(DType = "econ")&gt;0,1,0)*(OFFSET(DelPoint,0,G3+2)&lt;0),OFFSET(DelPoint,0,G3+2),0))</f>
        <v>-125</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-75</v>
      </c>
      <c r="P14" s="202">
        <f t="array" aca="1" ref="P14" ca="1">SUM(IF((DelPoint= "PV")*IF((DType = "firm")+(DType = "econ")&gt;0,1,0)*(OFFSET(DelPoint,0,P3+2)&lt;0),OFFSET(DelPoint,0,P3+2),0))</f>
        <v>-75</v>
      </c>
      <c r="Q14" s="202">
        <f t="array" aca="1" ref="Q14" ca="1">SUM(IF((DelPoint= "PV")*IF((DType = "firm")+(DType = "econ")&gt;0,1,0)*(OFFSET(DelPoint,0,Q3+2)&lt;0),OFFSET(DelPoint,0,Q3+2),0))</f>
        <v>-75</v>
      </c>
      <c r="R14" s="202">
        <f t="array" aca="1" ref="R14" ca="1">SUM(IF((DelPoint= "PV")*IF((DType = "firm")+(DType = "econ")&gt;0,1,0)*(OFFSET(DelPoint,0,R3+2)&lt;0),OFFSET(DelPoint,0,R3+2),0))</f>
        <v>-50</v>
      </c>
      <c r="S14" s="202">
        <f t="array" aca="1" ref="S14" ca="1">SUM(IF((DelPoint= "PV")*IF((DType = "firm")+(DType = "econ")&gt;0,1,0)*(OFFSET(DelPoint,0,S3+2)&lt;0),OFFSET(DelPoint,0,S3+2),0))</f>
        <v>-50</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-105</v>
      </c>
      <c r="Y14" s="544">
        <f t="array" aca="1" ref="Y14" ca="1">SUM(IF((DelPoint= "PV")*IF((DType = "firm")+(DType = "econ")&gt;0,1,0)*(OFFSET(DelPoint,0,Y3+2)&lt;0),OFFSET(DelPoint,0,Y3+2),0))</f>
        <v>-75</v>
      </c>
      <c r="Z14" s="160"/>
      <c r="AA14" s="162"/>
    </row>
    <row r="15" spans="1:213" s="161" customFormat="1" ht="11.4" x14ac:dyDescent="0.2">
      <c r="A15" s="661"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1.4" x14ac:dyDescent="0.2">
      <c r="A16" s="662"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1.4" x14ac:dyDescent="0.2">
      <c r="A17" s="663" t="s">
        <v>276</v>
      </c>
      <c r="B17" s="522">
        <f>Deals!F5</f>
        <v>0</v>
      </c>
      <c r="C17" s="522">
        <f>Deals!G5</f>
        <v>0</v>
      </c>
      <c r="D17" s="522">
        <f>Deals!H5</f>
        <v>0</v>
      </c>
      <c r="E17" s="522">
        <f>Deals!I5</f>
        <v>0</v>
      </c>
      <c r="F17" s="522">
        <f>Deals!J5</f>
        <v>0</v>
      </c>
      <c r="G17" s="522">
        <f>Deals!K5</f>
        <v>0</v>
      </c>
      <c r="H17" s="522">
        <f>Deals!L5</f>
        <v>0</v>
      </c>
      <c r="I17" s="522">
        <f>Deals!M5</f>
        <v>0</v>
      </c>
      <c r="J17" s="522">
        <f>Deals!N5</f>
        <v>0</v>
      </c>
      <c r="K17" s="522">
        <f>Deals!O5</f>
        <v>0</v>
      </c>
      <c r="L17" s="522">
        <f>Deals!P5</f>
        <v>0</v>
      </c>
      <c r="M17" s="522">
        <f>Deals!Q5</f>
        <v>0</v>
      </c>
      <c r="N17" s="522">
        <f>Deals!R5</f>
        <v>0</v>
      </c>
      <c r="O17" s="522">
        <f>Deals!S5</f>
        <v>1</v>
      </c>
      <c r="P17" s="522">
        <f>Deals!T5</f>
        <v>1</v>
      </c>
      <c r="Q17" s="522">
        <f>Deals!U5</f>
        <v>1</v>
      </c>
      <c r="R17" s="522">
        <f>Deals!V5</f>
        <v>1</v>
      </c>
      <c r="S17" s="522">
        <f>Deals!W5</f>
        <v>1</v>
      </c>
      <c r="T17" s="522">
        <f>Deals!X5</f>
        <v>1</v>
      </c>
      <c r="U17" s="522">
        <f>Deals!Y5</f>
        <v>1</v>
      </c>
      <c r="V17" s="522">
        <f>Deals!Z5</f>
        <v>1</v>
      </c>
      <c r="W17" s="522">
        <f>Deals!AA5</f>
        <v>1</v>
      </c>
      <c r="X17" s="522">
        <f>Deals!AB5</f>
        <v>1</v>
      </c>
      <c r="Y17" s="525">
        <f>Deals!AC5</f>
        <v>1</v>
      </c>
      <c r="Z17" s="160"/>
      <c r="AA17" s="162"/>
    </row>
    <row r="18" spans="1:27" s="161" customFormat="1" ht="11.4" x14ac:dyDescent="0.2">
      <c r="A18" s="664" t="s">
        <v>251</v>
      </c>
      <c r="B18" s="522">
        <f>Deals!F7</f>
        <v>-103</v>
      </c>
      <c r="C18" s="522">
        <f>Deals!G7</f>
        <v>-103</v>
      </c>
      <c r="D18" s="522">
        <f>Deals!H7</f>
        <v>-103</v>
      </c>
      <c r="E18" s="522">
        <f>Deals!I7</f>
        <v>-103</v>
      </c>
      <c r="F18" s="522">
        <f>Deals!J7</f>
        <v>-103</v>
      </c>
      <c r="G18" s="522">
        <f>Deals!K7</f>
        <v>-103</v>
      </c>
      <c r="H18" s="522">
        <f>Deals!L7</f>
        <v>-103</v>
      </c>
      <c r="I18" s="522">
        <f>Deals!M7</f>
        <v>-103</v>
      </c>
      <c r="J18" s="522">
        <f>Deals!N7</f>
        <v>-103</v>
      </c>
      <c r="K18" s="522">
        <f>Deals!O7</f>
        <v>-103</v>
      </c>
      <c r="L18" s="522">
        <f>Deals!P7</f>
        <v>-103</v>
      </c>
      <c r="M18" s="522">
        <f>Deals!Q7</f>
        <v>-103</v>
      </c>
      <c r="N18" s="522">
        <f>Deals!R7</f>
        <v>-103</v>
      </c>
      <c r="O18" s="522">
        <f>Deals!S7</f>
        <v>-103</v>
      </c>
      <c r="P18" s="522">
        <f>Deals!T7</f>
        <v>-103</v>
      </c>
      <c r="Q18" s="522">
        <f>Deals!U7</f>
        <v>-103</v>
      </c>
      <c r="R18" s="522">
        <f>Deals!V7</f>
        <v>-103</v>
      </c>
      <c r="S18" s="522">
        <f>Deals!W7</f>
        <v>-103</v>
      </c>
      <c r="T18" s="522">
        <f>Deals!X7</f>
        <v>-103</v>
      </c>
      <c r="U18" s="522">
        <f>Deals!Y7</f>
        <v>-103</v>
      </c>
      <c r="V18" s="522">
        <f>Deals!Z7</f>
        <v>-103</v>
      </c>
      <c r="W18" s="522">
        <f>Deals!AA7</f>
        <v>-103</v>
      </c>
      <c r="X18" s="522">
        <f>Deals!AB7</f>
        <v>-103</v>
      </c>
      <c r="Y18" s="522">
        <f>Deals!AC7</f>
        <v>-103</v>
      </c>
      <c r="Z18" s="160"/>
      <c r="AA18" s="162"/>
    </row>
    <row r="19" spans="1:27" s="161" customFormat="1" ht="11.4" x14ac:dyDescent="0.2">
      <c r="A19" s="664"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ht="12" thickBot="1" x14ac:dyDescent="0.25">
      <c r="A20" s="665"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1"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120</v>
      </c>
      <c r="B22" s="437">
        <f>Deals!F3</f>
        <v>25</v>
      </c>
      <c r="C22" s="437">
        <f>Deals!G3</f>
        <v>25</v>
      </c>
      <c r="D22" s="437">
        <f>Deals!H3</f>
        <v>25</v>
      </c>
      <c r="E22" s="437">
        <f>Deals!I3</f>
        <v>25</v>
      </c>
      <c r="F22" s="437">
        <f>Deals!J3</f>
        <v>25</v>
      </c>
      <c r="G22" s="437">
        <f>Deals!K3</f>
        <v>25</v>
      </c>
      <c r="H22" s="437">
        <f>Deals!L3</f>
        <v>60</v>
      </c>
      <c r="I22" s="437">
        <f>Deals!M3</f>
        <v>90</v>
      </c>
      <c r="J22" s="437">
        <f>Deals!N3</f>
        <v>110</v>
      </c>
      <c r="K22" s="437">
        <f>Deals!O3</f>
        <v>130</v>
      </c>
      <c r="L22" s="437">
        <f>Deals!P3</f>
        <v>150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120</v>
      </c>
      <c r="X22" s="437">
        <f>Deals!AB3</f>
        <v>80</v>
      </c>
      <c r="Y22" s="552">
        <f>Deals!AC3</f>
        <v>50</v>
      </c>
      <c r="Z22" s="160"/>
      <c r="AA22" s="162"/>
    </row>
    <row r="23" spans="1:27" s="161" customFormat="1" ht="12" x14ac:dyDescent="0.2">
      <c r="A23" s="553"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54"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1.4" x14ac:dyDescent="0.2">
      <c r="A25" s="537" t="s">
        <v>114</v>
      </c>
      <c r="B25" s="60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1.4" x14ac:dyDescent="0.2">
      <c r="A26" s="537"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1.4" x14ac:dyDescent="0.2">
      <c r="A27" s="667"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1.4" x14ac:dyDescent="0.2">
      <c r="A28" s="539"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0</v>
      </c>
      <c r="Z28" s="160"/>
      <c r="AA28" s="162"/>
    </row>
    <row r="29" spans="1:27" s="161" customFormat="1" ht="11.4" x14ac:dyDescent="0.2">
      <c r="A29" s="541"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7">
        <f t="array" aca="1" ref="Y29" ca="1">SUM(IF((DelPoint= "PV")*(DType = "pre")*(OFFSET(DelPoint,0,Y3+2)&gt;0),OFFSET(DelPoint,0,Y3+2),0))</f>
        <v>0</v>
      </c>
      <c r="Z29" s="160"/>
      <c r="AA29" s="162"/>
    </row>
    <row r="30" spans="1:27" s="161" customFormat="1" ht="11.4" x14ac:dyDescent="0.2">
      <c r="A30" s="541"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0">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1.4" x14ac:dyDescent="0.2">
      <c r="A31" s="659" t="s">
        <v>304</v>
      </c>
      <c r="B31" s="590">
        <f>Deals!F9+Deals!F10+Deals!F11+Deals!F12</f>
        <v>103</v>
      </c>
      <c r="C31" s="590">
        <f>Deals!G9+Deals!G10+Deals!G11+Deals!G12</f>
        <v>103</v>
      </c>
      <c r="D31" s="590">
        <f>Deals!H9+Deals!H10+Deals!H11+Deals!H12</f>
        <v>103</v>
      </c>
      <c r="E31" s="590">
        <f>Deals!I9+Deals!I10+Deals!I11+Deals!I12</f>
        <v>103</v>
      </c>
      <c r="F31" s="590">
        <f>Deals!J9+Deals!J10+Deals!J11+Deals!J12</f>
        <v>103</v>
      </c>
      <c r="G31" s="590">
        <f>Deals!K9+Deals!K10+Deals!K11+Deals!K12</f>
        <v>103</v>
      </c>
      <c r="H31" s="590">
        <f>Deals!L9+Deals!L10+Deals!L11+Deals!L12</f>
        <v>0</v>
      </c>
      <c r="I31" s="590">
        <f>Deals!M9+Deals!M10+Deals!M11+Deals!M12</f>
        <v>0</v>
      </c>
      <c r="J31" s="590">
        <f>Deals!N9+Deals!N10+Deals!N11+Deals!N12</f>
        <v>0</v>
      </c>
      <c r="K31" s="590">
        <f>Deals!O9+Deals!O10+Deals!O11+Deals!O12</f>
        <v>0</v>
      </c>
      <c r="L31" s="590">
        <f>Deals!P9+Deals!P10+Deals!P11+Deals!P12</f>
        <v>0</v>
      </c>
      <c r="M31" s="590">
        <f>Deals!Q9+Deals!Q10+Deals!Q11+Deals!Q12</f>
        <v>0</v>
      </c>
      <c r="N31" s="590">
        <f>Deals!R9+Deals!R10+Deals!R11+Deals!R12</f>
        <v>0</v>
      </c>
      <c r="O31" s="590">
        <f>Deals!S9+Deals!S10+Deals!S11+Deals!S12</f>
        <v>0</v>
      </c>
      <c r="P31" s="590">
        <f>Deals!T9+Deals!T10+Deals!T11+Deals!T12</f>
        <v>0</v>
      </c>
      <c r="Q31" s="590">
        <f>Deals!U9+Deals!U10+Deals!U11+Deals!U12</f>
        <v>0</v>
      </c>
      <c r="R31" s="590">
        <f>Deals!V9+Deals!V10+Deals!V11+Deals!V12</f>
        <v>0</v>
      </c>
      <c r="S31" s="590">
        <f>Deals!W9+Deals!W10+Deals!W11+Deals!W12</f>
        <v>0</v>
      </c>
      <c r="T31" s="590">
        <f>Deals!X9+Deals!X10+Deals!X11+Deals!X12</f>
        <v>0</v>
      </c>
      <c r="U31" s="590">
        <f>Deals!Y9+Deals!Y10+Deals!Y11+Deals!Y12</f>
        <v>0</v>
      </c>
      <c r="V31" s="590">
        <f>Deals!Z9+Deals!Z10+Deals!Z11+Deals!Z12</f>
        <v>0</v>
      </c>
      <c r="W31" s="590">
        <f>Deals!AA9+Deals!AA10+Deals!AA11+Deals!AA12</f>
        <v>0</v>
      </c>
      <c r="X31" s="590">
        <f>Deals!AB9+Deals!AB10+Deals!AB11+Deals!AB12</f>
        <v>103</v>
      </c>
      <c r="Y31" s="590">
        <f>Deals!AC9+Deals!AC10+Deals!AC11+Deals!AC12</f>
        <v>103</v>
      </c>
      <c r="Z31" s="160"/>
      <c r="AA31" s="162"/>
    </row>
    <row r="32" spans="1:27" s="161" customFormat="1" ht="12" x14ac:dyDescent="0.2">
      <c r="A32" s="543" t="s">
        <v>119</v>
      </c>
      <c r="B32" s="689">
        <f t="array" aca="1" ref="B32" ca="1">SUM(IF((DelPoint= "PV")*IF((DType = "firm")+(DType = "econ")&gt;0,1,0)*(OFFSET(DelPoint,0,B3+2)&gt;0),OFFSET(DelPoint,0,B3+2),0))</f>
        <v>0</v>
      </c>
      <c r="C32" s="689">
        <f t="array" aca="1" ref="C32" ca="1">SUM(IF((DelPoint= "PV")*IF((DType = "firm")+(DType = "econ")&gt;0,1,0)*(OFFSET(DelPoint,0,C3+2)&gt;0),OFFSET(DelPoint,0,C3+2),0))</f>
        <v>0</v>
      </c>
      <c r="D32" s="689">
        <f t="array" aca="1" ref="D32" ca="1">SUM(IF((DelPoint= "PV")*IF((DType = "firm")+(DType = "econ")&gt;0,1,0)*(OFFSET(DelPoint,0,D3+2)&gt;0),OFFSET(DelPoint,0,D3+2),0))</f>
        <v>0</v>
      </c>
      <c r="E32" s="689">
        <f t="array" aca="1" ref="E32" ca="1">SUM(IF((DelPoint= "PV")*IF((DType = "firm")+(DType = "econ")&gt;0,1,0)*(OFFSET(DelPoint,0,E3+2)&gt;0),OFFSET(DelPoint,0,E3+2),0))</f>
        <v>0</v>
      </c>
      <c r="F32" s="689">
        <f t="array" aca="1" ref="F32" ca="1">SUM(IF((DelPoint= "PV")*IF((DType = "firm")+(DType = "econ")&gt;0,1,0)*(OFFSET(DelPoint,0,F3+2)&gt;0),OFFSET(DelPoint,0,F3+2),0))</f>
        <v>0</v>
      </c>
      <c r="G32" s="689">
        <f t="array" aca="1" ref="G32" ca="1">SUM(IF((DelPoint= "PV")*IF((DType = "firm")+(DType = "econ")&gt;0,1,0)*(OFFSET(DelPoint,0,G3+2)&gt;0),OFFSET(DelPoint,0,G3+2),0))</f>
        <v>0</v>
      </c>
      <c r="H32" s="689">
        <f t="array" aca="1" ref="H32" ca="1">SUM(IF((DelPoint= "PV")*IF((DType = "firm")+(DType = "econ")&gt;0,1,0)*(OFFSET(DelPoint,0,H3+2)&gt;0),OFFSET(DelPoint,0,H3+2),0))</f>
        <v>0</v>
      </c>
      <c r="I32" s="689">
        <f t="array" aca="1" ref="I32" ca="1">SUM(IF((DelPoint= "PV")*IF((DType = "firm")+(DType = "econ")&gt;0,1,0)*(OFFSET(DelPoint,0,I3+2)&gt;0),OFFSET(DelPoint,0,I3+2),0))</f>
        <v>0</v>
      </c>
      <c r="J32" s="679">
        <f t="array" aca="1" ref="J32" ca="1">SUM(IF((DelPoint= "PV")*IF((DType = "firm")+(DType = "econ")&gt;0,1,0)*(OFFSET(DelPoint,0,J3+2)&gt;0),OFFSET(DelPoint,0,J3+2),0))</f>
        <v>0</v>
      </c>
      <c r="K32" s="679">
        <f t="array" aca="1" ref="K32" ca="1">SUM(IF((DelPoint= "PV")*IF((DType = "firm")+(DType = "econ")&gt;0,1,0)*(OFFSET(DelPoint,0,K3+2)&gt;0),OFFSET(DelPoint,0,K3+2),0))</f>
        <v>0</v>
      </c>
      <c r="L32" s="679">
        <f t="array" aca="1" ref="L32" ca="1">SUM(IF((DelPoint= "PV")*IF((DType = "firm")+(DType = "econ")&gt;0,1,0)*(OFFSET(DelPoint,0,L3+2)&gt;0),OFFSET(DelPoint,0,L3+2),0))</f>
        <v>0</v>
      </c>
      <c r="M32" s="679">
        <f t="array" aca="1" ref="M32" ca="1">SUM(IF((DelPoint= "PV")*IF((DType = "firm")+(DType = "econ")&gt;0,1,0)*(OFFSET(DelPoint,0,M3+2)&gt;0),OFFSET(DelPoint,0,M3+2),0))</f>
        <v>0</v>
      </c>
      <c r="N32" s="679">
        <f t="array" aca="1" ref="N32" ca="1">SUM(IF((DelPoint= "PV")*IF((DType = "firm")+(DType = "econ")&gt;0,1,0)*(OFFSET(DelPoint,0,N3+2)&gt;0),OFFSET(DelPoint,0,N3+2),0))</f>
        <v>0</v>
      </c>
      <c r="O32" s="679">
        <f t="array" aca="1" ref="O32" ca="1">SUM(IF((DelPoint= "PV")*IF((DType = "firm")+(DType = "econ")&gt;0,1,0)*(OFFSET(DelPoint,0,O3+2)&gt;0),OFFSET(DelPoint,0,O3+2),0))</f>
        <v>0</v>
      </c>
      <c r="P32" s="679">
        <f t="array" aca="1" ref="P32" ca="1">SUM(IF((DelPoint= "PV")*IF((DType = "firm")+(DType = "econ")&gt;0,1,0)*(OFFSET(DelPoint,0,P3+2)&gt;0),OFFSET(DelPoint,0,P3+2),0))</f>
        <v>0</v>
      </c>
      <c r="Q32" s="679">
        <f t="array" aca="1" ref="Q32" ca="1">SUM(IF((DelPoint= "PV")*IF((DType = "firm")+(DType = "econ")&gt;0,1,0)*(OFFSET(DelPoint,0,Q3+2)&gt;0),OFFSET(DelPoint,0,Q3+2),0))</f>
        <v>0</v>
      </c>
      <c r="R32" s="679">
        <f t="array" aca="1" ref="R32" ca="1">SUM(IF((DelPoint= "PV")*IF((DType = "firm")+(DType = "econ")&gt;0,1,0)*(OFFSET(DelPoint,0,R3+2)&gt;0),OFFSET(DelPoint,0,R3+2),0))</f>
        <v>0</v>
      </c>
      <c r="S32" s="679">
        <f t="array" aca="1" ref="S32" ca="1">SUM(IF((DelPoint= "PV")*IF((DType = "firm")+(DType = "econ")&gt;0,1,0)*(OFFSET(DelPoint,0,S3+2)&gt;0),OFFSET(DelPoint,0,S3+2),0))</f>
        <v>0</v>
      </c>
      <c r="T32" s="679">
        <f t="array" aca="1" ref="T32" ca="1">SUM(IF((DelPoint= "PV")*IF((DType = "firm")+(DType = "econ")&gt;0,1,0)*(OFFSET(DelPoint,0,T3+2)&gt;0),OFFSET(DelPoint,0,T3+2),0))</f>
        <v>0</v>
      </c>
      <c r="U32" s="679">
        <f t="array" aca="1" ref="U32" ca="1">SUM(IF((DelPoint= "PV")*IF((DType = "firm")+(DType = "econ")&gt;0,1,0)*(OFFSET(DelPoint,0,U3+2)&gt;0),OFFSET(DelPoint,0,U3+2),0))</f>
        <v>0</v>
      </c>
      <c r="V32" s="679">
        <f t="array" aca="1" ref="V32" ca="1">SUM(IF((DelPoint= "PV")*IF((DType = "firm")+(DType = "econ")&gt;0,1,0)*(OFFSET(DelPoint,0,V3+2)&gt;0),OFFSET(DelPoint,0,V3+2),0))</f>
        <v>0</v>
      </c>
      <c r="W32" s="679">
        <f t="array" aca="1" ref="W32" ca="1">SUM(IF((DelPoint= "PV")*IF((DType = "firm")+(DType = "econ")&gt;0,1,0)*(OFFSET(DelPoint,0,W3+2)&gt;0),OFFSET(DelPoint,0,W3+2),0))</f>
        <v>0</v>
      </c>
      <c r="X32" s="679">
        <f t="array" aca="1" ref="X32" ca="1">SUM(IF((DelPoint= "PV")*IF((DType = "firm")+(DType = "econ")&gt;0,1,0)*(OFFSET(DelPoint,0,X3+2)&gt;0),OFFSET(DelPoint,0,X3+2),0))</f>
        <v>0</v>
      </c>
      <c r="Y32" s="679">
        <f t="array" aca="1" ref="Y32" ca="1">SUM(IF((DelPoint= "PV")*IF((DType = "firm")+(DType = "econ")&gt;0,1,0)*(OFFSET(DelPoint,0,Y3+2)&gt;0),OFFSET(DelPoint,0,Y3+2),0))</f>
        <v>0</v>
      </c>
      <c r="Z32" s="160"/>
      <c r="AA32" s="162"/>
    </row>
    <row r="33" spans="1:33" s="161" customFormat="1" ht="11.4" x14ac:dyDescent="0.2">
      <c r="A33" s="545"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ht="12" thickBot="1" x14ac:dyDescent="0.25">
      <c r="A34" s="558" t="s">
        <v>259</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1.4" x14ac:dyDescent="0.2">
      <c r="A35" s="549"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1.4" x14ac:dyDescent="0.2">
      <c r="A36" s="549" t="s">
        <v>256</v>
      </c>
      <c r="B36" s="203">
        <f ca="1">SUMIF(OFFSET(SPSBalancingVol,B$3,0),"&gt;0")</f>
        <v>0</v>
      </c>
      <c r="C36" s="203">
        <f t="shared" ref="C36:I36" ca="1" si="4">SUMIF(OFFSET(SPSBalancingVol,C$3,0),"&gt;0")</f>
        <v>0</v>
      </c>
      <c r="D36" s="203">
        <f t="shared" ca="1" si="4"/>
        <v>0</v>
      </c>
      <c r="E36" s="642">
        <f t="shared" ca="1" si="4"/>
        <v>0</v>
      </c>
      <c r="F36" s="642">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ht="12" thickBot="1" x14ac:dyDescent="0.25">
      <c r="A37" s="549" t="s">
        <v>257</v>
      </c>
      <c r="B37" s="526"/>
      <c r="C37" s="526"/>
      <c r="D37" s="526"/>
      <c r="E37" s="643"/>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ht="12.6" thickBot="1" x14ac:dyDescent="0.25">
      <c r="A38" s="573" t="s">
        <v>121</v>
      </c>
      <c r="B38" s="589">
        <f ca="1">SUM(B22:B37)+B4+B5</f>
        <v>772</v>
      </c>
      <c r="C38" s="589">
        <f t="shared" ref="C38:Y38" ca="1" si="6">SUM(C22:C37)+C4+C5</f>
        <v>747</v>
      </c>
      <c r="D38" s="589">
        <f t="shared" ca="1" si="6"/>
        <v>735</v>
      </c>
      <c r="E38" s="589">
        <f t="shared" ca="1" si="6"/>
        <v>756</v>
      </c>
      <c r="F38" s="589">
        <f t="shared" ca="1" si="6"/>
        <v>782</v>
      </c>
      <c r="G38" s="589">
        <f t="shared" ca="1" si="6"/>
        <v>891</v>
      </c>
      <c r="H38" s="589">
        <f t="shared" ca="1" si="6"/>
        <v>875</v>
      </c>
      <c r="I38" s="589">
        <f t="shared" ca="1" si="6"/>
        <v>922</v>
      </c>
      <c r="J38" s="589">
        <f t="shared" ca="1" si="6"/>
        <v>955</v>
      </c>
      <c r="K38" s="589">
        <f t="shared" ca="1" si="6"/>
        <v>1027</v>
      </c>
      <c r="L38" s="589">
        <f t="shared" ca="1" si="6"/>
        <v>1057</v>
      </c>
      <c r="M38" s="589">
        <f t="shared" ca="1" si="6"/>
        <v>1053</v>
      </c>
      <c r="N38" s="589">
        <f t="shared" ca="1" si="6"/>
        <v>1053</v>
      </c>
      <c r="O38" s="589">
        <f t="shared" ca="1" si="6"/>
        <v>1050</v>
      </c>
      <c r="P38" s="589">
        <f t="shared" ca="1" si="6"/>
        <v>1037</v>
      </c>
      <c r="Q38" s="589">
        <f t="shared" ca="1" si="6"/>
        <v>988</v>
      </c>
      <c r="R38" s="589">
        <f t="shared" ca="1" si="6"/>
        <v>963</v>
      </c>
      <c r="S38" s="589">
        <f t="shared" ca="1" si="6"/>
        <v>950</v>
      </c>
      <c r="T38" s="589">
        <f t="shared" ca="1" si="6"/>
        <v>1000</v>
      </c>
      <c r="U38" s="589">
        <f t="shared" ca="1" si="6"/>
        <v>1000</v>
      </c>
      <c r="V38" s="589">
        <f t="shared" ca="1" si="6"/>
        <v>963</v>
      </c>
      <c r="W38" s="589">
        <f t="shared" ca="1" si="6"/>
        <v>890</v>
      </c>
      <c r="X38" s="589">
        <f t="shared" ca="1" si="6"/>
        <v>860</v>
      </c>
      <c r="Y38" s="589">
        <f t="shared" ca="1" si="6"/>
        <v>814</v>
      </c>
      <c r="Z38" s="353"/>
      <c r="AA38" s="162"/>
    </row>
    <row r="39" spans="1:33" s="161" customFormat="1" ht="16.2" thickBot="1" x14ac:dyDescent="0.25">
      <c r="A39" s="604" t="s">
        <v>264</v>
      </c>
      <c r="B39" s="605"/>
      <c r="C39" s="606"/>
      <c r="D39" s="606"/>
      <c r="E39" s="644"/>
      <c r="F39" s="606"/>
      <c r="G39" s="606"/>
      <c r="H39" s="606"/>
      <c r="I39" s="606"/>
      <c r="J39" s="606"/>
      <c r="K39" s="606"/>
      <c r="L39" s="606"/>
      <c r="M39" s="606"/>
      <c r="N39" s="606"/>
      <c r="O39" s="606"/>
      <c r="P39" s="606"/>
      <c r="Q39" s="606"/>
      <c r="R39" s="606"/>
      <c r="S39" s="606"/>
      <c r="T39" s="606"/>
      <c r="U39" s="606"/>
      <c r="V39" s="606"/>
      <c r="W39" s="606"/>
      <c r="X39" s="606"/>
      <c r="Y39" s="607"/>
      <c r="Z39" s="160"/>
      <c r="AA39" s="162"/>
    </row>
    <row r="40" spans="1:33" s="161" customFormat="1" ht="12.6" thickTop="1" x14ac:dyDescent="0.2">
      <c r="A40" s="610"/>
      <c r="B40" s="611"/>
      <c r="C40" s="612"/>
      <c r="D40" s="612"/>
      <c r="E40" s="645"/>
      <c r="F40" s="612"/>
      <c r="G40" s="612"/>
      <c r="H40" s="612"/>
      <c r="I40" s="612"/>
      <c r="J40" s="612"/>
      <c r="K40" s="612"/>
      <c r="L40" s="612"/>
      <c r="M40" s="612"/>
      <c r="N40" s="612"/>
      <c r="O40" s="612"/>
      <c r="P40" s="612"/>
      <c r="Q40" s="612"/>
      <c r="R40" s="612"/>
      <c r="S40" s="612"/>
      <c r="T40" s="612"/>
      <c r="U40" s="612"/>
      <c r="V40" s="612"/>
      <c r="W40" s="612"/>
      <c r="X40" s="612"/>
      <c r="Y40" s="613"/>
      <c r="Z40" s="354" t="s">
        <v>122</v>
      </c>
      <c r="AA40" s="165" t="s">
        <v>123</v>
      </c>
      <c r="AF40" s="166"/>
      <c r="AG40" s="166"/>
    </row>
    <row r="41" spans="1:33" s="161" customFormat="1" ht="12.75" customHeight="1" x14ac:dyDescent="0.2">
      <c r="A41" s="614" t="s">
        <v>129</v>
      </c>
      <c r="B41" s="191">
        <v>30</v>
      </c>
      <c r="C41" s="191">
        <v>30</v>
      </c>
      <c r="D41" s="191">
        <v>31</v>
      </c>
      <c r="E41" s="646">
        <v>31</v>
      </c>
      <c r="F41" s="191">
        <v>37</v>
      </c>
      <c r="G41" s="191">
        <v>36</v>
      </c>
      <c r="H41" s="191">
        <v>37</v>
      </c>
      <c r="I41" s="191">
        <v>58</v>
      </c>
      <c r="J41" s="191">
        <v>37</v>
      </c>
      <c r="K41" s="191">
        <v>59</v>
      </c>
      <c r="L41" s="191">
        <v>59</v>
      </c>
      <c r="M41" s="191">
        <v>59</v>
      </c>
      <c r="N41" s="191">
        <v>37</v>
      </c>
      <c r="O41" s="191">
        <v>59</v>
      </c>
      <c r="P41" s="191">
        <v>60</v>
      </c>
      <c r="Q41" s="191">
        <v>36</v>
      </c>
      <c r="R41" s="191">
        <v>35</v>
      </c>
      <c r="S41" s="191">
        <v>37</v>
      </c>
      <c r="T41" s="191">
        <v>42</v>
      </c>
      <c r="U41" s="191">
        <v>35</v>
      </c>
      <c r="V41" s="191">
        <v>36</v>
      </c>
      <c r="W41" s="191">
        <v>37</v>
      </c>
      <c r="X41" s="191">
        <v>35</v>
      </c>
      <c r="Y41" s="615">
        <v>36</v>
      </c>
      <c r="Z41" s="355">
        <v>80</v>
      </c>
      <c r="AA41" s="215">
        <f ca="1">-Economics!D34/Economics!I34</f>
        <v>11571.84610172194</v>
      </c>
    </row>
    <row r="42" spans="1:33" s="161" customFormat="1" ht="15" customHeight="1" x14ac:dyDescent="0.2">
      <c r="A42" s="614" t="s">
        <v>130</v>
      </c>
      <c r="B42" s="191">
        <v>30</v>
      </c>
      <c r="C42" s="191">
        <v>30</v>
      </c>
      <c r="D42" s="191">
        <v>29</v>
      </c>
      <c r="E42" s="646">
        <v>30</v>
      </c>
      <c r="F42" s="191">
        <v>35</v>
      </c>
      <c r="G42" s="191">
        <v>62</v>
      </c>
      <c r="H42" s="191">
        <v>41</v>
      </c>
      <c r="I42" s="191">
        <v>39</v>
      </c>
      <c r="J42" s="191">
        <v>36</v>
      </c>
      <c r="K42" s="191">
        <v>37</v>
      </c>
      <c r="L42" s="191">
        <v>37</v>
      </c>
      <c r="M42" s="191">
        <v>34</v>
      </c>
      <c r="N42" s="191">
        <v>35</v>
      </c>
      <c r="O42" s="191">
        <v>33</v>
      </c>
      <c r="P42" s="191">
        <v>36</v>
      </c>
      <c r="Q42" s="191">
        <v>34</v>
      </c>
      <c r="R42" s="191">
        <v>34</v>
      </c>
      <c r="S42" s="191">
        <v>36</v>
      </c>
      <c r="T42" s="191">
        <v>40</v>
      </c>
      <c r="U42" s="191">
        <v>34</v>
      </c>
      <c r="V42" s="191">
        <v>36</v>
      </c>
      <c r="W42" s="191">
        <v>37</v>
      </c>
      <c r="X42" s="191">
        <v>37</v>
      </c>
      <c r="Y42" s="615">
        <v>37</v>
      </c>
      <c r="Z42" s="355">
        <v>78</v>
      </c>
      <c r="AA42" s="215">
        <f ca="1">-Economics!D35/Economics!I35</f>
        <v>9407.7098612882655</v>
      </c>
    </row>
    <row r="43" spans="1:33" s="161" customFormat="1" ht="12.75" customHeight="1" x14ac:dyDescent="0.2">
      <c r="A43" s="616" t="s">
        <v>131</v>
      </c>
      <c r="B43" s="192">
        <v>60</v>
      </c>
      <c r="C43" s="192">
        <v>40</v>
      </c>
      <c r="D43" s="192">
        <v>49</v>
      </c>
      <c r="E43" s="647">
        <v>59</v>
      </c>
      <c r="F43" s="192">
        <v>56</v>
      </c>
      <c r="G43" s="192">
        <v>100</v>
      </c>
      <c r="H43" s="192">
        <v>81</v>
      </c>
      <c r="I43" s="192">
        <v>100</v>
      </c>
      <c r="J43" s="192">
        <v>38</v>
      </c>
      <c r="K43" s="192">
        <v>71</v>
      </c>
      <c r="L43" s="192">
        <v>62</v>
      </c>
      <c r="M43" s="192">
        <v>62</v>
      </c>
      <c r="N43" s="192">
        <v>96</v>
      </c>
      <c r="O43" s="192">
        <v>39</v>
      </c>
      <c r="P43" s="192">
        <v>38</v>
      </c>
      <c r="Q43" s="192">
        <v>39</v>
      </c>
      <c r="R43" s="192">
        <v>39</v>
      </c>
      <c r="S43" s="192">
        <v>38</v>
      </c>
      <c r="T43" s="192">
        <v>37</v>
      </c>
      <c r="U43" s="192">
        <v>50</v>
      </c>
      <c r="V43" s="192">
        <v>55</v>
      </c>
      <c r="W43" s="192">
        <v>36</v>
      </c>
      <c r="X43" s="192">
        <v>48</v>
      </c>
      <c r="Y43" s="617">
        <v>36</v>
      </c>
      <c r="Z43" s="357">
        <v>103</v>
      </c>
      <c r="AA43" s="216">
        <f ca="1">-Economics!D36/Economics!I36</f>
        <v>13840.017139668367</v>
      </c>
    </row>
    <row r="44" spans="1:33" s="161" customFormat="1" ht="12.75" customHeight="1" x14ac:dyDescent="0.2">
      <c r="A44" s="614" t="s">
        <v>49</v>
      </c>
      <c r="B44" s="191">
        <v>10</v>
      </c>
      <c r="C44" s="191">
        <v>10</v>
      </c>
      <c r="D44" s="191">
        <v>10</v>
      </c>
      <c r="E44" s="191">
        <v>10</v>
      </c>
      <c r="F44" s="191">
        <v>10</v>
      </c>
      <c r="G44" s="191">
        <v>10</v>
      </c>
      <c r="H44" s="191">
        <v>10</v>
      </c>
      <c r="I44" s="191">
        <v>10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5">
        <v>0</v>
      </c>
      <c r="Z44" s="355">
        <v>40</v>
      </c>
      <c r="AA44" s="215">
        <f ca="1">-Economics!D37/Economics!I37</f>
        <v>1961.3703513632015</v>
      </c>
    </row>
    <row r="45" spans="1:33" s="161" customFormat="1" ht="12.75" customHeight="1" thickBot="1" x14ac:dyDescent="0.25">
      <c r="A45" s="614" t="s">
        <v>50</v>
      </c>
      <c r="B45" s="191">
        <v>10</v>
      </c>
      <c r="C45" s="191">
        <v>10</v>
      </c>
      <c r="D45" s="191">
        <v>9</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15">
        <v>0</v>
      </c>
      <c r="Z45" s="355">
        <v>40</v>
      </c>
      <c r="AA45" s="215">
        <f ca="1">-Economics!D38/Economics!I38</f>
        <v>1951.4688297193877</v>
      </c>
    </row>
    <row r="46" spans="1:33" s="161" customFormat="1" ht="12.75" customHeight="1" thickBot="1" x14ac:dyDescent="0.3">
      <c r="A46" s="710" t="s">
        <v>362</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5">
        <v>0</v>
      </c>
      <c r="Z46" s="355">
        <v>108</v>
      </c>
      <c r="AA46" s="215">
        <f ca="1">-Economics!D39/Economics!I39</f>
        <v>0</v>
      </c>
    </row>
    <row r="47" spans="1:33" s="161" customFormat="1" ht="12.75" customHeight="1" x14ac:dyDescent="0.2">
      <c r="A47" s="614" t="s">
        <v>366</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15">
        <v>0</v>
      </c>
      <c r="Z47" s="355">
        <v>108</v>
      </c>
      <c r="AA47" s="215">
        <f ca="1">-Economics!D40/Economics!I40</f>
        <v>0</v>
      </c>
    </row>
    <row r="48" spans="1:33" s="161" customFormat="1" ht="12.75" customHeight="1" x14ac:dyDescent="0.2">
      <c r="A48" s="616" t="s">
        <v>132</v>
      </c>
      <c r="B48" s="192">
        <v>0</v>
      </c>
      <c r="C48" s="192">
        <v>0</v>
      </c>
      <c r="D48" s="192">
        <v>0</v>
      </c>
      <c r="E48" s="192">
        <v>0</v>
      </c>
      <c r="F48" s="192">
        <v>0</v>
      </c>
      <c r="G48" s="192">
        <v>0</v>
      </c>
      <c r="H48" s="192"/>
      <c r="I48" s="192"/>
      <c r="J48" s="192">
        <v>174</v>
      </c>
      <c r="K48" s="192">
        <v>177</v>
      </c>
      <c r="L48" s="192">
        <v>212</v>
      </c>
      <c r="M48" s="192">
        <v>216</v>
      </c>
      <c r="N48" s="192">
        <v>216</v>
      </c>
      <c r="O48" s="192">
        <v>207</v>
      </c>
      <c r="P48" s="192">
        <v>182</v>
      </c>
      <c r="Q48" s="192">
        <v>104</v>
      </c>
      <c r="R48" s="192">
        <v>153</v>
      </c>
      <c r="S48" s="192">
        <v>139</v>
      </c>
      <c r="T48" s="192">
        <v>130</v>
      </c>
      <c r="U48" s="192">
        <v>202</v>
      </c>
      <c r="V48" s="192">
        <v>214</v>
      </c>
      <c r="W48" s="192">
        <v>172</v>
      </c>
      <c r="X48" s="192">
        <v>173</v>
      </c>
      <c r="Y48" s="617">
        <v>173</v>
      </c>
      <c r="Z48" s="357">
        <v>212</v>
      </c>
      <c r="AA48" s="216">
        <f ca="1">-Economics!D41/Economics!I41</f>
        <v>0</v>
      </c>
    </row>
    <row r="49" spans="1:27" s="161" customFormat="1" ht="12.75" customHeight="1" x14ac:dyDescent="0.2">
      <c r="A49" s="616" t="s">
        <v>133</v>
      </c>
      <c r="B49" s="192">
        <v>0</v>
      </c>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v>0</v>
      </c>
      <c r="W49" s="192">
        <v>0</v>
      </c>
      <c r="X49" s="192">
        <v>0</v>
      </c>
      <c r="Y49" s="617">
        <v>0</v>
      </c>
      <c r="Z49" s="357">
        <v>68</v>
      </c>
      <c r="AA49" s="216">
        <f ca="1">-Economics!D42/Economics!I42</f>
        <v>0</v>
      </c>
    </row>
    <row r="50" spans="1:27" s="161" customFormat="1" ht="12.75" customHeight="1" x14ac:dyDescent="0.2">
      <c r="A50" s="614"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15">
        <v>0</v>
      </c>
      <c r="Z50" s="355">
        <v>48</v>
      </c>
      <c r="AA50" s="215">
        <f ca="1">-Economics!D43/Economics!I43</f>
        <v>0</v>
      </c>
    </row>
    <row r="51" spans="1:27" s="161" customFormat="1" ht="12.75" customHeight="1" x14ac:dyDescent="0.2">
      <c r="A51" s="614" t="s">
        <v>135</v>
      </c>
      <c r="B51" s="191">
        <v>29</v>
      </c>
      <c r="C51" s="191">
        <v>29</v>
      </c>
      <c r="D51" s="191">
        <v>29</v>
      </c>
      <c r="E51" s="191">
        <v>29</v>
      </c>
      <c r="F51" s="191">
        <v>29</v>
      </c>
      <c r="G51" s="191">
        <v>30</v>
      </c>
      <c r="H51" s="191">
        <v>37</v>
      </c>
      <c r="I51" s="191">
        <v>37</v>
      </c>
      <c r="J51" s="191">
        <v>35</v>
      </c>
      <c r="K51" s="191">
        <v>36</v>
      </c>
      <c r="L51" s="191">
        <v>36</v>
      </c>
      <c r="M51" s="191">
        <v>36</v>
      </c>
      <c r="N51" s="191">
        <v>36</v>
      </c>
      <c r="O51" s="191">
        <v>36</v>
      </c>
      <c r="P51" s="191">
        <v>37</v>
      </c>
      <c r="Q51" s="191">
        <v>36</v>
      </c>
      <c r="R51" s="191">
        <v>35</v>
      </c>
      <c r="S51" s="191">
        <v>37</v>
      </c>
      <c r="T51" s="191">
        <v>37</v>
      </c>
      <c r="U51" s="191">
        <v>37</v>
      </c>
      <c r="V51" s="191">
        <v>37</v>
      </c>
      <c r="W51" s="191">
        <v>37</v>
      </c>
      <c r="X51" s="191">
        <v>37</v>
      </c>
      <c r="Y51" s="615">
        <v>37</v>
      </c>
      <c r="Z51" s="355">
        <v>44</v>
      </c>
      <c r="AA51" s="215">
        <f ca="1">-Economics!D44/Economics!I44</f>
        <v>8859.1236169258373</v>
      </c>
    </row>
    <row r="52" spans="1:27" s="161" customFormat="1" ht="12.75" customHeight="1" thickBot="1" x14ac:dyDescent="0.25">
      <c r="A52" s="614" t="s">
        <v>136</v>
      </c>
      <c r="B52" s="191">
        <v>101</v>
      </c>
      <c r="C52" s="191">
        <v>92</v>
      </c>
      <c r="D52" s="191">
        <v>95</v>
      </c>
      <c r="E52" s="191">
        <v>101</v>
      </c>
      <c r="F52" s="191">
        <v>99</v>
      </c>
      <c r="G52" s="191">
        <v>119</v>
      </c>
      <c r="H52" s="191">
        <v>112</v>
      </c>
      <c r="I52" s="191">
        <v>118</v>
      </c>
      <c r="J52" s="191">
        <v>88</v>
      </c>
      <c r="K52" s="191">
        <v>101</v>
      </c>
      <c r="L52" s="191">
        <v>102</v>
      </c>
      <c r="M52" s="191">
        <v>102</v>
      </c>
      <c r="N52" s="191">
        <v>118</v>
      </c>
      <c r="O52" s="191">
        <v>105</v>
      </c>
      <c r="P52" s="191">
        <v>128</v>
      </c>
      <c r="Q52" s="191">
        <v>128</v>
      </c>
      <c r="R52" s="191">
        <v>92</v>
      </c>
      <c r="S52" s="191">
        <v>128</v>
      </c>
      <c r="T52" s="191">
        <v>122</v>
      </c>
      <c r="U52" s="191">
        <v>97</v>
      </c>
      <c r="V52" s="191">
        <v>99</v>
      </c>
      <c r="W52" s="191">
        <v>86</v>
      </c>
      <c r="X52" s="191">
        <v>94</v>
      </c>
      <c r="Y52" s="615">
        <v>83</v>
      </c>
      <c r="Z52" s="358">
        <v>130</v>
      </c>
      <c r="AA52" s="217">
        <f ca="1">-Economics!D45/Economics!I45</f>
        <v>25723.923444976077</v>
      </c>
    </row>
    <row r="53" spans="1:27" s="161" customFormat="1" ht="12.75" customHeight="1" thickTop="1" x14ac:dyDescent="0.2">
      <c r="A53" s="614" t="s">
        <v>126</v>
      </c>
      <c r="B53" s="191">
        <v>64</v>
      </c>
      <c r="C53" s="191">
        <v>64</v>
      </c>
      <c r="D53" s="191">
        <v>64</v>
      </c>
      <c r="E53" s="191">
        <v>64</v>
      </c>
      <c r="F53" s="191">
        <v>64</v>
      </c>
      <c r="G53" s="191">
        <v>64</v>
      </c>
      <c r="H53" s="191">
        <v>64</v>
      </c>
      <c r="I53" s="191">
        <v>64</v>
      </c>
      <c r="J53" s="191">
        <v>64</v>
      </c>
      <c r="K53" s="191">
        <v>64</v>
      </c>
      <c r="L53" s="191">
        <v>64</v>
      </c>
      <c r="M53" s="191">
        <v>64</v>
      </c>
      <c r="N53" s="191">
        <v>64</v>
      </c>
      <c r="O53" s="191">
        <v>64</v>
      </c>
      <c r="P53" s="191">
        <v>64</v>
      </c>
      <c r="Q53" s="191">
        <v>65</v>
      </c>
      <c r="R53" s="191">
        <v>63</v>
      </c>
      <c r="S53" s="191">
        <v>65</v>
      </c>
      <c r="T53" s="191">
        <v>64</v>
      </c>
      <c r="U53" s="191">
        <v>64</v>
      </c>
      <c r="V53" s="191">
        <v>65</v>
      </c>
      <c r="W53" s="191">
        <v>65</v>
      </c>
      <c r="X53" s="191">
        <v>65</v>
      </c>
      <c r="Y53" s="615">
        <v>64</v>
      </c>
      <c r="Z53" s="355">
        <v>198</v>
      </c>
      <c r="AA53" s="213"/>
    </row>
    <row r="54" spans="1:27" s="161" customFormat="1" ht="12.75" customHeight="1" x14ac:dyDescent="0.2">
      <c r="A54" s="614" t="s">
        <v>127</v>
      </c>
      <c r="B54" s="191">
        <v>64</v>
      </c>
      <c r="C54" s="191">
        <v>64</v>
      </c>
      <c r="D54" s="191">
        <v>64</v>
      </c>
      <c r="E54" s="191">
        <v>64</v>
      </c>
      <c r="F54" s="191">
        <v>64</v>
      </c>
      <c r="G54" s="191">
        <v>64</v>
      </c>
      <c r="H54" s="191">
        <v>64</v>
      </c>
      <c r="I54" s="191">
        <v>64</v>
      </c>
      <c r="J54" s="191">
        <v>64</v>
      </c>
      <c r="K54" s="191">
        <v>64</v>
      </c>
      <c r="L54" s="191">
        <v>64</v>
      </c>
      <c r="M54" s="191">
        <v>64</v>
      </c>
      <c r="N54" s="191">
        <v>64</v>
      </c>
      <c r="O54" s="191">
        <v>64</v>
      </c>
      <c r="P54" s="191">
        <v>64</v>
      </c>
      <c r="Q54" s="191">
        <v>65</v>
      </c>
      <c r="R54" s="191">
        <v>63</v>
      </c>
      <c r="S54" s="191">
        <v>65</v>
      </c>
      <c r="T54" s="191">
        <v>65</v>
      </c>
      <c r="U54" s="191">
        <v>65</v>
      </c>
      <c r="V54" s="191">
        <v>65</v>
      </c>
      <c r="W54" s="191">
        <v>65</v>
      </c>
      <c r="X54" s="191">
        <v>65</v>
      </c>
      <c r="Y54" s="615">
        <v>64</v>
      </c>
      <c r="Z54" s="355">
        <v>198</v>
      </c>
      <c r="AA54" s="213"/>
    </row>
    <row r="55" spans="1:27" s="161" customFormat="1" ht="12.75" customHeight="1" x14ac:dyDescent="0.2">
      <c r="A55" s="614" t="s">
        <v>128</v>
      </c>
      <c r="B55" s="191">
        <v>64</v>
      </c>
      <c r="C55" s="191">
        <v>64</v>
      </c>
      <c r="D55" s="191">
        <v>64</v>
      </c>
      <c r="E55" s="191">
        <v>64</v>
      </c>
      <c r="F55" s="191">
        <v>64</v>
      </c>
      <c r="G55" s="191">
        <v>64</v>
      </c>
      <c r="H55" s="191">
        <v>64</v>
      </c>
      <c r="I55" s="191">
        <v>64</v>
      </c>
      <c r="J55" s="191">
        <v>64</v>
      </c>
      <c r="K55" s="191">
        <v>64</v>
      </c>
      <c r="L55" s="191">
        <v>64</v>
      </c>
      <c r="M55" s="191">
        <v>64</v>
      </c>
      <c r="N55" s="191">
        <v>64</v>
      </c>
      <c r="O55" s="191">
        <v>64</v>
      </c>
      <c r="P55" s="191">
        <v>64</v>
      </c>
      <c r="Q55" s="191">
        <v>65</v>
      </c>
      <c r="R55" s="191">
        <v>63</v>
      </c>
      <c r="S55" s="191">
        <v>65</v>
      </c>
      <c r="T55" s="191">
        <v>65</v>
      </c>
      <c r="U55" s="191">
        <v>65</v>
      </c>
      <c r="V55" s="191">
        <v>65</v>
      </c>
      <c r="W55" s="191">
        <v>65</v>
      </c>
      <c r="X55" s="191">
        <v>65</v>
      </c>
      <c r="Y55" s="615">
        <v>64</v>
      </c>
      <c r="Z55" s="355">
        <v>198</v>
      </c>
      <c r="AA55" s="213"/>
    </row>
    <row r="56" spans="1:27" s="161" customFormat="1" ht="12.75" customHeight="1" x14ac:dyDescent="0.2">
      <c r="A56" s="614" t="s">
        <v>124</v>
      </c>
      <c r="B56" s="191">
        <v>83</v>
      </c>
      <c r="C56" s="191">
        <v>83</v>
      </c>
      <c r="D56" s="191">
        <v>83</v>
      </c>
      <c r="E56" s="191">
        <v>83</v>
      </c>
      <c r="F56" s="191">
        <v>88</v>
      </c>
      <c r="G56" s="191">
        <v>96</v>
      </c>
      <c r="H56" s="191">
        <v>97</v>
      </c>
      <c r="I56" s="191">
        <v>98</v>
      </c>
      <c r="J56" s="191">
        <v>97</v>
      </c>
      <c r="K56" s="191">
        <v>98</v>
      </c>
      <c r="L56" s="191">
        <v>94</v>
      </c>
      <c r="M56" s="191">
        <v>94</v>
      </c>
      <c r="N56" s="191">
        <v>43</v>
      </c>
      <c r="O56" s="191">
        <v>43</v>
      </c>
      <c r="P56" s="191">
        <v>42</v>
      </c>
      <c r="Q56" s="191">
        <v>41</v>
      </c>
      <c r="R56" s="191">
        <v>41</v>
      </c>
      <c r="S56" s="191">
        <v>41</v>
      </c>
      <c r="T56" s="191">
        <v>41</v>
      </c>
      <c r="U56" s="191">
        <v>43</v>
      </c>
      <c r="V56" s="191">
        <v>43</v>
      </c>
      <c r="W56" s="191">
        <v>43</v>
      </c>
      <c r="X56" s="191">
        <v>43</v>
      </c>
      <c r="Y56" s="191">
        <v>43</v>
      </c>
      <c r="Z56" s="355">
        <v>52</v>
      </c>
      <c r="AA56" s="213"/>
    </row>
    <row r="57" spans="1:27" s="161" customFormat="1" ht="12.75" customHeight="1" thickBot="1" x14ac:dyDescent="0.25">
      <c r="A57" s="614"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5"/>
      <c r="Z57" s="355">
        <v>52</v>
      </c>
      <c r="AA57" s="213"/>
    </row>
    <row r="58" spans="1:27" s="161" customFormat="1" ht="13.5" customHeight="1" thickBot="1" x14ac:dyDescent="0.3">
      <c r="A58" s="618" t="s">
        <v>10</v>
      </c>
      <c r="B58" s="619">
        <f ca="1">B59-B38</f>
        <v>1</v>
      </c>
      <c r="C58" s="619">
        <f t="shared" ref="C58:Y58" ca="1" si="7">C59-C38</f>
        <v>-3</v>
      </c>
      <c r="D58" s="619">
        <f t="shared" ca="1" si="7"/>
        <v>-5</v>
      </c>
      <c r="E58" s="619">
        <f t="shared" ca="1" si="7"/>
        <v>-8</v>
      </c>
      <c r="F58" s="619">
        <f t="shared" ca="1" si="7"/>
        <v>2</v>
      </c>
      <c r="G58" s="619">
        <f t="shared" ca="1" si="7"/>
        <v>-8</v>
      </c>
      <c r="H58" s="619">
        <f t="shared" ca="1" si="7"/>
        <v>-5</v>
      </c>
      <c r="I58" s="619">
        <f t="shared" ca="1" si="7"/>
        <v>-7</v>
      </c>
      <c r="J58" s="619">
        <f t="shared" ca="1" si="7"/>
        <v>-5</v>
      </c>
      <c r="K58" s="619">
        <f t="shared" ca="1" si="7"/>
        <v>-3</v>
      </c>
      <c r="L58" s="619">
        <f t="shared" ca="1" si="7"/>
        <v>-10</v>
      </c>
      <c r="M58" s="619">
        <f t="shared" ca="1" si="7"/>
        <v>-5</v>
      </c>
      <c r="N58" s="619">
        <f t="shared" ca="1" si="7"/>
        <v>-15</v>
      </c>
      <c r="O58" s="619">
        <f t="shared" ca="1" si="7"/>
        <v>-9</v>
      </c>
      <c r="P58" s="619">
        <f t="shared" ca="1" si="7"/>
        <v>5</v>
      </c>
      <c r="Q58" s="619">
        <f t="shared" ca="1" si="7"/>
        <v>2</v>
      </c>
      <c r="R58" s="619">
        <f t="shared" ca="1" si="7"/>
        <v>7</v>
      </c>
      <c r="S58" s="619">
        <f t="shared" ca="1" si="7"/>
        <v>53</v>
      </c>
      <c r="T58" s="619">
        <f t="shared" ca="1" si="7"/>
        <v>-5</v>
      </c>
      <c r="U58" s="619">
        <f t="shared" ca="1" si="7"/>
        <v>-6</v>
      </c>
      <c r="V58" s="619">
        <f t="shared" ca="1" si="7"/>
        <v>-2</v>
      </c>
      <c r="W58" s="619">
        <f t="shared" ca="1" si="7"/>
        <v>5</v>
      </c>
      <c r="X58" s="619">
        <f t="shared" ca="1" si="7"/>
        <v>9</v>
      </c>
      <c r="Y58" s="619">
        <f t="shared" ca="1" si="7"/>
        <v>0</v>
      </c>
      <c r="Z58" s="356">
        <f>SUM(Z41:Z55)+Z41+Z42+Z43+Z48+Z49+Z50+Z51+Z52</f>
        <v>2416</v>
      </c>
      <c r="AA58" s="214">
        <f ca="1">SUM(AA41:AA55)</f>
        <v>73315.459345663083</v>
      </c>
    </row>
    <row r="59" spans="1:27" s="161" customFormat="1" ht="12" x14ac:dyDescent="0.2">
      <c r="A59" s="608">
        <v>0</v>
      </c>
      <c r="B59" s="609">
        <f t="shared" ref="B59:Y59" ca="1" si="8">SUM(B41:B57)-SUM(B7:B20)</f>
        <v>773</v>
      </c>
      <c r="C59" s="609">
        <f t="shared" ca="1" si="8"/>
        <v>744</v>
      </c>
      <c r="D59" s="609">
        <f t="shared" ca="1" si="8"/>
        <v>730</v>
      </c>
      <c r="E59" s="609">
        <f t="shared" ca="1" si="8"/>
        <v>748</v>
      </c>
      <c r="F59" s="609">
        <f t="shared" ca="1" si="8"/>
        <v>784</v>
      </c>
      <c r="G59" s="609">
        <f t="shared" ca="1" si="8"/>
        <v>883</v>
      </c>
      <c r="H59" s="609">
        <f t="shared" ca="1" si="8"/>
        <v>870</v>
      </c>
      <c r="I59" s="609">
        <f t="shared" ca="1" si="8"/>
        <v>915</v>
      </c>
      <c r="J59" s="609">
        <f t="shared" ca="1" si="8"/>
        <v>950</v>
      </c>
      <c r="K59" s="609">
        <f t="shared" ca="1" si="8"/>
        <v>1024</v>
      </c>
      <c r="L59" s="609">
        <f t="shared" ca="1" si="8"/>
        <v>1047</v>
      </c>
      <c r="M59" s="609">
        <f t="shared" ca="1" si="8"/>
        <v>1048</v>
      </c>
      <c r="N59" s="609">
        <f t="shared" ca="1" si="8"/>
        <v>1038</v>
      </c>
      <c r="O59" s="609">
        <f t="shared" ca="1" si="8"/>
        <v>1041</v>
      </c>
      <c r="P59" s="609">
        <f t="shared" ca="1" si="8"/>
        <v>1042</v>
      </c>
      <c r="Q59" s="609">
        <f t="shared" ca="1" si="8"/>
        <v>990</v>
      </c>
      <c r="R59" s="609">
        <f t="shared" ca="1" si="8"/>
        <v>970</v>
      </c>
      <c r="S59" s="609">
        <f t="shared" ca="1" si="8"/>
        <v>1003</v>
      </c>
      <c r="T59" s="609">
        <f t="shared" ca="1" si="8"/>
        <v>995</v>
      </c>
      <c r="U59" s="609">
        <f t="shared" ca="1" si="8"/>
        <v>994</v>
      </c>
      <c r="V59" s="609">
        <f t="shared" ca="1" si="8"/>
        <v>961</v>
      </c>
      <c r="W59" s="609">
        <f t="shared" ca="1" si="8"/>
        <v>895</v>
      </c>
      <c r="X59" s="609">
        <f t="shared" ca="1" si="8"/>
        <v>869</v>
      </c>
      <c r="Y59" s="609">
        <f t="shared" ca="1" si="8"/>
        <v>814</v>
      </c>
      <c r="Z59" s="218">
        <f ca="1">SUM(Economics!D28:D45)</f>
        <v>-197314.88331554687</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189</v>
      </c>
      <c r="C62" s="169">
        <f t="shared" ca="1" si="10"/>
        <v>189</v>
      </c>
      <c r="D62" s="169">
        <f t="shared" ca="1" si="10"/>
        <v>164</v>
      </c>
      <c r="E62" s="169">
        <f t="shared" ca="1" si="10"/>
        <v>164</v>
      </c>
      <c r="F62" s="169">
        <f t="shared" ca="1" si="10"/>
        <v>189</v>
      </c>
      <c r="G62" s="169">
        <f t="shared" ca="1" si="10"/>
        <v>189</v>
      </c>
      <c r="H62" s="169">
        <f t="shared" ca="1" si="10"/>
        <v>282</v>
      </c>
      <c r="I62" s="169">
        <f t="shared" ca="1" si="10"/>
        <v>252</v>
      </c>
      <c r="J62" s="169">
        <f t="shared" ca="1" si="10"/>
        <v>232</v>
      </c>
      <c r="K62" s="169">
        <f t="shared" ca="1" si="10"/>
        <v>212</v>
      </c>
      <c r="L62" s="169">
        <f t="shared" ca="1" si="10"/>
        <v>192</v>
      </c>
      <c r="M62" s="169">
        <f t="shared" ca="1" si="10"/>
        <v>192</v>
      </c>
      <c r="N62" s="169">
        <f t="shared" ca="1" si="10"/>
        <v>179</v>
      </c>
      <c r="O62" s="169">
        <f t="shared" ca="1" si="10"/>
        <v>267</v>
      </c>
      <c r="P62" s="169">
        <f t="shared" ca="1" si="10"/>
        <v>267</v>
      </c>
      <c r="Q62" s="169">
        <f t="shared" ca="1" si="10"/>
        <v>270</v>
      </c>
      <c r="R62" s="169">
        <f t="shared" ca="1" si="10"/>
        <v>239</v>
      </c>
      <c r="S62" s="169">
        <f t="shared" ca="1" si="10"/>
        <v>245</v>
      </c>
      <c r="T62" s="169">
        <f t="shared" ca="1" si="10"/>
        <v>244</v>
      </c>
      <c r="U62" s="169">
        <f t="shared" ca="1" si="10"/>
        <v>244</v>
      </c>
      <c r="V62" s="169">
        <f t="shared" ca="1" si="10"/>
        <v>189</v>
      </c>
      <c r="W62" s="169">
        <f t="shared" ca="1" si="10"/>
        <v>225</v>
      </c>
      <c r="X62" s="169">
        <f t="shared" ca="1" si="10"/>
        <v>117</v>
      </c>
      <c r="Y62" s="170">
        <f t="shared" ca="1" si="10"/>
        <v>114</v>
      </c>
      <c r="Z62" s="193"/>
      <c r="AA62" s="162"/>
    </row>
    <row r="63" spans="1:27" s="161" customFormat="1" ht="12" x14ac:dyDescent="0.2">
      <c r="A63" s="195" t="s">
        <v>140</v>
      </c>
      <c r="B63" s="169">
        <f t="shared" ref="B63:L63" ca="1" si="11">-SUM(B8:B10,B25:B28) + SUM(B56:B57)</f>
        <v>83</v>
      </c>
      <c r="C63" s="169">
        <f t="shared" ca="1" si="11"/>
        <v>83</v>
      </c>
      <c r="D63" s="169">
        <f t="shared" ca="1" si="11"/>
        <v>83</v>
      </c>
      <c r="E63" s="169">
        <f t="shared" ca="1" si="11"/>
        <v>83</v>
      </c>
      <c r="F63" s="169">
        <f t="shared" ca="1" si="11"/>
        <v>88</v>
      </c>
      <c r="G63" s="169">
        <f t="shared" ca="1" si="11"/>
        <v>96</v>
      </c>
      <c r="H63" s="169">
        <f t="shared" ca="1" si="11"/>
        <v>97</v>
      </c>
      <c r="I63" s="169">
        <f t="shared" ca="1" si="11"/>
        <v>98</v>
      </c>
      <c r="J63" s="169">
        <f t="shared" ca="1" si="11"/>
        <v>97</v>
      </c>
      <c r="K63" s="169">
        <f t="shared" ca="1" si="11"/>
        <v>98</v>
      </c>
      <c r="L63" s="169">
        <f t="shared" ca="1" si="11"/>
        <v>94</v>
      </c>
      <c r="M63" s="169">
        <f ca="1">-SUM(M8:M10,M25:M28) + SUM(M57:M57)</f>
        <v>0</v>
      </c>
      <c r="N63" s="169">
        <f t="shared" ref="N63:Y63" ca="1" si="12">-SUM(N8:N10,N25:N28) + SUM(N56:N57)</f>
        <v>68</v>
      </c>
      <c r="O63" s="169">
        <f t="shared" ca="1" si="12"/>
        <v>43</v>
      </c>
      <c r="P63" s="169">
        <f t="shared" ca="1" si="12"/>
        <v>42</v>
      </c>
      <c r="Q63" s="169">
        <f t="shared" ca="1" si="12"/>
        <v>91</v>
      </c>
      <c r="R63" s="169">
        <f t="shared" ca="1" si="12"/>
        <v>91</v>
      </c>
      <c r="S63" s="169">
        <f t="shared" ca="1" si="12"/>
        <v>91</v>
      </c>
      <c r="T63" s="169">
        <f t="shared" ca="1" si="12"/>
        <v>91</v>
      </c>
      <c r="U63" s="169">
        <f t="shared" ca="1" si="12"/>
        <v>43</v>
      </c>
      <c r="V63" s="169">
        <f t="shared" ca="1" si="12"/>
        <v>43</v>
      </c>
      <c r="W63" s="169">
        <f t="shared" ca="1" si="12"/>
        <v>43</v>
      </c>
      <c r="X63" s="169">
        <f t="shared" ca="1" si="12"/>
        <v>43</v>
      </c>
      <c r="Y63" s="170">
        <f t="shared" ca="1" si="12"/>
        <v>43</v>
      </c>
      <c r="Z63" s="193"/>
      <c r="AA63" s="162"/>
    </row>
    <row r="64" spans="1:27" s="161" customFormat="1" ht="12" x14ac:dyDescent="0.2">
      <c r="A64" s="195" t="s">
        <v>141</v>
      </c>
      <c r="B64" s="169">
        <f ca="1">IF(B62+B63&gt;645,"err",B62+B63)</f>
        <v>272</v>
      </c>
      <c r="C64" s="169">
        <f t="shared" ref="C64:Y64" ca="1" si="13">IF(C62+C63&gt;645,"err",C62+C63)</f>
        <v>272</v>
      </c>
      <c r="D64" s="169">
        <f t="shared" ca="1" si="13"/>
        <v>247</v>
      </c>
      <c r="E64" s="169">
        <f t="shared" ca="1" si="13"/>
        <v>247</v>
      </c>
      <c r="F64" s="169">
        <f t="shared" ca="1" si="13"/>
        <v>277</v>
      </c>
      <c r="G64" s="169">
        <f t="shared" ca="1" si="13"/>
        <v>285</v>
      </c>
      <c r="H64" s="169">
        <f t="shared" ca="1" si="13"/>
        <v>379</v>
      </c>
      <c r="I64" s="169">
        <f t="shared" ca="1" si="13"/>
        <v>350</v>
      </c>
      <c r="J64" s="169">
        <f t="shared" ca="1" si="13"/>
        <v>329</v>
      </c>
      <c r="K64" s="169">
        <f t="shared" ca="1" si="13"/>
        <v>310</v>
      </c>
      <c r="L64" s="169">
        <f t="shared" ca="1" si="13"/>
        <v>286</v>
      </c>
      <c r="M64" s="169">
        <f t="shared" ca="1" si="13"/>
        <v>192</v>
      </c>
      <c r="N64" s="169">
        <f t="shared" ca="1" si="13"/>
        <v>247</v>
      </c>
      <c r="O64" s="169">
        <f t="shared" ca="1" si="13"/>
        <v>310</v>
      </c>
      <c r="P64" s="169">
        <f t="shared" ca="1" si="13"/>
        <v>309</v>
      </c>
      <c r="Q64" s="169">
        <f t="shared" ca="1" si="13"/>
        <v>361</v>
      </c>
      <c r="R64" s="169">
        <f t="shared" ca="1" si="13"/>
        <v>330</v>
      </c>
      <c r="S64" s="169">
        <f t="shared" ca="1" si="13"/>
        <v>336</v>
      </c>
      <c r="T64" s="169">
        <f t="shared" ca="1" si="13"/>
        <v>335</v>
      </c>
      <c r="U64" s="169">
        <f t="shared" ca="1" si="13"/>
        <v>287</v>
      </c>
      <c r="V64" s="169">
        <f t="shared" ca="1" si="13"/>
        <v>232</v>
      </c>
      <c r="W64" s="169">
        <f t="shared" ca="1" si="13"/>
        <v>268</v>
      </c>
      <c r="X64" s="169">
        <f t="shared" ca="1" si="13"/>
        <v>160</v>
      </c>
      <c r="Y64" s="170">
        <f t="shared" ca="1" si="13"/>
        <v>157</v>
      </c>
      <c r="Z64" s="194"/>
      <c r="AA64" s="162"/>
    </row>
    <row r="65" spans="1:27" s="161" customFormat="1" ht="12" x14ac:dyDescent="0.2">
      <c r="A65" s="195" t="s">
        <v>18</v>
      </c>
      <c r="B65" s="169">
        <f ca="1">SUM(B61:B63)</f>
        <v>375</v>
      </c>
      <c r="C65" s="169">
        <f t="shared" ref="C65:Y65" ca="1" si="14">SUM(C61:C63)</f>
        <v>375</v>
      </c>
      <c r="D65" s="169">
        <f t="shared" ca="1" si="14"/>
        <v>350</v>
      </c>
      <c r="E65" s="169">
        <f t="shared" ca="1" si="14"/>
        <v>350</v>
      </c>
      <c r="F65" s="169">
        <f t="shared" ca="1" si="14"/>
        <v>380</v>
      </c>
      <c r="G65" s="169">
        <f t="shared" ca="1" si="14"/>
        <v>388</v>
      </c>
      <c r="H65" s="169">
        <f t="shared" ca="1" si="14"/>
        <v>482</v>
      </c>
      <c r="I65" s="169">
        <f t="shared" ca="1" si="14"/>
        <v>453</v>
      </c>
      <c r="J65" s="169">
        <f t="shared" ca="1" si="14"/>
        <v>432</v>
      </c>
      <c r="K65" s="169">
        <f t="shared" ca="1" si="14"/>
        <v>413</v>
      </c>
      <c r="L65" s="169">
        <f t="shared" ca="1" si="14"/>
        <v>389</v>
      </c>
      <c r="M65" s="169">
        <f t="shared" ca="1" si="14"/>
        <v>295</v>
      </c>
      <c r="N65" s="169">
        <f t="shared" ca="1" si="14"/>
        <v>350</v>
      </c>
      <c r="O65" s="169">
        <f t="shared" ca="1" si="14"/>
        <v>413</v>
      </c>
      <c r="P65" s="169">
        <f t="shared" ca="1" si="14"/>
        <v>412</v>
      </c>
      <c r="Q65" s="169">
        <f t="shared" ca="1" si="14"/>
        <v>464</v>
      </c>
      <c r="R65" s="169">
        <f t="shared" ca="1" si="14"/>
        <v>433</v>
      </c>
      <c r="S65" s="169">
        <f t="shared" ca="1" si="14"/>
        <v>439</v>
      </c>
      <c r="T65" s="169">
        <f t="shared" ca="1" si="14"/>
        <v>438</v>
      </c>
      <c r="U65" s="169">
        <f t="shared" ca="1" si="14"/>
        <v>390</v>
      </c>
      <c r="V65" s="169">
        <f t="shared" ca="1" si="14"/>
        <v>335</v>
      </c>
      <c r="W65" s="169">
        <f t="shared" ca="1" si="14"/>
        <v>371</v>
      </c>
      <c r="X65" s="169">
        <f t="shared" ca="1" si="14"/>
        <v>263</v>
      </c>
      <c r="Y65" s="170">
        <f t="shared" ca="1" si="14"/>
        <v>260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647</v>
      </c>
      <c r="C67" s="169">
        <f t="array" ref="C67">SUM(IF(C$41:C$55 = 0,0,$Z$41:$Z$55-C$41:C$55))-INDEX(Balancing!$R$4:$R$27,C$3)</f>
        <v>676</v>
      </c>
      <c r="D67" s="169">
        <f t="array" ref="D67">SUM(IF(D$41:D$55 = 0,0,$Z$41:$Z$55-D$41:D$55))-INDEX(Balancing!$R$4:$R$27,D$3)</f>
        <v>665</v>
      </c>
      <c r="E67" s="169">
        <f t="array" ref="E67">SUM(IF(E$41:E$55 = 0,0,$Z$41:$Z$55-E$41:E$55))-INDEX(Balancing!$R$4:$R$27,E$3)</f>
        <v>647</v>
      </c>
      <c r="F67" s="169">
        <f t="array" ref="F67">SUM(IF(F$41:F$55 = 0,0,$Z$41:$Z$55-F$41:F$55))-INDEX(Balancing!$R$4:$R$27,F$3)</f>
        <v>641</v>
      </c>
      <c r="G67" s="169">
        <f t="array" ref="G67">SUM(IF(G$41:G$55 = 0,0,$Z$41:$Z$55-G$41:G$55))-INDEX(Balancing!$R$4:$R$27,G$3)</f>
        <v>550</v>
      </c>
      <c r="H67" s="169">
        <f t="array" ref="H67">SUM(IF(H$41:H$55 = 0,0,$Z$41:$Z$55-H$41:H$55))-INDEX(Balancing!$R$4:$R$27,H$3)</f>
        <v>589</v>
      </c>
      <c r="I67" s="169">
        <f t="array" ref="I67">SUM(IF(I$41:I$55 = 0,0,$Z$41:$Z$55-I$41:I$55))-INDEX(Balancing!$R$4:$R$27,I$3)</f>
        <v>545</v>
      </c>
      <c r="J67" s="169">
        <f t="array" ref="J67">SUM(IF(J$41:J$55 = 0,0,$Z$41:$Z$55-J$41:J$55))-INDEX(Balancing!$R$4:$R$27,J$3)</f>
        <v>641</v>
      </c>
      <c r="K67" s="169">
        <f t="array" ref="K67">SUM(IF(K$41:K$55 = 0,0,$Z$41:$Z$55-K$41:K$55))-INDEX(Balancing!$R$4:$R$27,K$3)</f>
        <v>568</v>
      </c>
      <c r="L67" s="169">
        <f t="array" ref="L67">SUM(IF(L$41:L$55 = 0,0,$Z$41:$Z$55-L$41:L$55))-INDEX(Balancing!$R$4:$R$27,L$3)</f>
        <v>541</v>
      </c>
      <c r="M67" s="169">
        <f t="array" ref="M67">SUM(IF(M$41:M$55 = 0,0,$Z$41:$Z$55-M$41:M$55))-INDEX(Balancing!$R$4:$R$27,M$3)</f>
        <v>540</v>
      </c>
      <c r="N67" s="169">
        <v>179</v>
      </c>
      <c r="O67" s="169">
        <f t="array" ref="O67">SUM(IF(O$41:O$55 = 0,0,$Z$41:$Z$55-O$41:O$55))-INDEX(Balancing!$R$4:$R$27,O$3)</f>
        <v>570</v>
      </c>
      <c r="P67" s="169">
        <f t="array" ref="P67">SUM(IF(P$41:P$55 = 0,0,$Z$41:$Z$55-P$41:P$55))-INDEX(Balancing!$R$4:$R$27,P$3)</f>
        <v>568</v>
      </c>
      <c r="Q67" s="169">
        <f t="array" ref="Q67">SUM(IF(Q$41:Q$55 = 0,0,$Z$41:$Z$55-Q$41:Q$55))-INDEX(Balancing!$R$4:$R$27,Q$3)</f>
        <v>669</v>
      </c>
      <c r="R67" s="169">
        <f t="array" ref="R67">SUM(IF(R$41:R$55 = 0,0,$Z$41:$Z$55-R$41:R$55))-INDEX(Balancing!$R$4:$R$27,R$3)</f>
        <v>664</v>
      </c>
      <c r="S67" s="169">
        <f t="array" ref="S67">SUM(IF(S$41:S$55 = 0,0,$Z$41:$Z$55-S$41:S$55))-INDEX(Balancing!$R$4:$R$27,S$3)</f>
        <v>631</v>
      </c>
      <c r="T67" s="169">
        <f t="array" ref="T67">SUM(IF(T$41:T$55 = 0,0,$Z$41:$Z$55-T$41:T$55))-INDEX(Balancing!$R$4:$R$27,T$3)</f>
        <v>639</v>
      </c>
      <c r="U67" s="169">
        <f t="array" ref="U67">SUM(IF(U$41:U$55 = 0,0,$Z$41:$Z$55-U$41:U$55))-INDEX(Balancing!$R$4:$R$27,U$3)</f>
        <v>592</v>
      </c>
      <c r="V67" s="169">
        <f t="array" ref="V67">SUM(IF(V$41:V$55 = 0,0,$Z$41:$Z$55-V$41:V$55))-INDEX(Balancing!$R$4:$R$27,V$3)</f>
        <v>569</v>
      </c>
      <c r="W67" s="169">
        <f t="array" ref="W67">SUM(IF(W$41:W$55 = 0,0,$Z$41:$Z$55-W$41:W$55))-INDEX(Balancing!$R$4:$R$27,W$3)</f>
        <v>641</v>
      </c>
      <c r="X67" s="169">
        <f t="array" ref="X67">SUM(IF(X$41:X$55 = 0,0,$Z$41:$Z$55-X$41:X$55))-INDEX(Balancing!$R$4:$R$27,X$3)</f>
        <v>622</v>
      </c>
      <c r="Y67" s="170">
        <f t="array" ref="Y67">SUM(IF(Y$41:Y$55 = 0,0,$Z$41:$Z$55-Y$41:Y$55))-INDEX(Balancing!$R$4:$R$27,Y$3)</f>
        <v>647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143</v>
      </c>
      <c r="B69" s="171">
        <f t="shared" ref="B69:G69" si="15">IF(B67&lt;0.07*B4,"err",ROUND(B4*0.07,0))</f>
        <v>44</v>
      </c>
      <c r="C69" s="171">
        <f t="shared" si="15"/>
        <v>43</v>
      </c>
      <c r="D69" s="171">
        <f t="shared" si="15"/>
        <v>42</v>
      </c>
      <c r="E69" s="171">
        <f t="shared" si="15"/>
        <v>43</v>
      </c>
      <c r="F69" s="171">
        <f t="shared" si="15"/>
        <v>45</v>
      </c>
      <c r="G69" s="171">
        <f t="shared" si="15"/>
        <v>52</v>
      </c>
      <c r="H69" s="171">
        <f t="shared" ref="H69:X69" si="16">IF(H67&lt;0.07*I4,"err",ROUND(I4*0.07,0))</f>
        <v>56</v>
      </c>
      <c r="I69" s="171">
        <f t="shared" si="16"/>
        <v>57</v>
      </c>
      <c r="J69" s="171">
        <f t="shared" si="16"/>
        <v>61</v>
      </c>
      <c r="K69" s="171">
        <f t="shared" si="16"/>
        <v>62</v>
      </c>
      <c r="L69" s="171">
        <f t="shared" si="16"/>
        <v>61</v>
      </c>
      <c r="M69" s="171">
        <f t="shared" si="16"/>
        <v>61</v>
      </c>
      <c r="N69" s="171">
        <f t="shared" si="16"/>
        <v>61</v>
      </c>
      <c r="O69" s="171">
        <f t="shared" si="16"/>
        <v>60</v>
      </c>
      <c r="P69" s="171">
        <f t="shared" si="16"/>
        <v>57</v>
      </c>
      <c r="Q69" s="171">
        <f t="shared" si="16"/>
        <v>55</v>
      </c>
      <c r="R69" s="171">
        <f t="shared" si="16"/>
        <v>54</v>
      </c>
      <c r="S69" s="171">
        <f t="shared" si="16"/>
        <v>58</v>
      </c>
      <c r="T69" s="171">
        <f t="shared" si="16"/>
        <v>58</v>
      </c>
      <c r="U69" s="171">
        <f t="shared" si="16"/>
        <v>55</v>
      </c>
      <c r="V69" s="171">
        <f t="shared" si="16"/>
        <v>52</v>
      </c>
      <c r="W69" s="171">
        <f t="shared" si="16"/>
        <v>46</v>
      </c>
      <c r="X69" s="171">
        <f t="shared" si="16"/>
        <v>46</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154</v>
      </c>
      <c r="B78" s="490">
        <f t="shared" ref="B78:Y78" ca="1" si="17">(B22+B25+B29)</f>
        <v>25</v>
      </c>
      <c r="C78" s="490">
        <f t="shared" ca="1" si="17"/>
        <v>25</v>
      </c>
      <c r="D78" s="490">
        <f t="shared" ca="1" si="17"/>
        <v>25</v>
      </c>
      <c r="E78" s="490">
        <f ca="1">(E22+E25+E29)</f>
        <v>25</v>
      </c>
      <c r="F78" s="490">
        <f t="shared" ca="1" si="17"/>
        <v>25</v>
      </c>
      <c r="G78" s="490">
        <f ca="1">(G22+G25+G29)</f>
        <v>25</v>
      </c>
      <c r="H78" s="490">
        <f ca="1">(H22+H25+H29)</f>
        <v>60</v>
      </c>
      <c r="I78" s="490">
        <f ca="1">(I22+I25+I29)</f>
        <v>90</v>
      </c>
      <c r="J78" s="490">
        <f ca="1">(J22+J25+J29)</f>
        <v>110</v>
      </c>
      <c r="K78" s="490">
        <f t="shared" ca="1" si="17"/>
        <v>130</v>
      </c>
      <c r="L78" s="490">
        <f t="shared" ca="1" si="17"/>
        <v>150</v>
      </c>
      <c r="M78" s="490">
        <f t="shared" ca="1" si="17"/>
        <v>150</v>
      </c>
      <c r="N78" s="490">
        <f t="shared" ca="1" si="17"/>
        <v>150</v>
      </c>
      <c r="O78" s="490">
        <f t="shared" ca="1" si="17"/>
        <v>150</v>
      </c>
      <c r="P78" s="490">
        <f t="shared" ca="1" si="17"/>
        <v>150</v>
      </c>
      <c r="Q78" s="490">
        <f t="shared" ca="1" si="17"/>
        <v>150</v>
      </c>
      <c r="R78" s="490">
        <f t="shared" ca="1" si="17"/>
        <v>150</v>
      </c>
      <c r="S78" s="490">
        <f t="shared" ca="1" si="17"/>
        <v>150</v>
      </c>
      <c r="T78" s="490">
        <f t="shared" ca="1" si="17"/>
        <v>150</v>
      </c>
      <c r="U78" s="490">
        <f t="shared" ca="1" si="17"/>
        <v>150</v>
      </c>
      <c r="V78" s="490">
        <f t="shared" ca="1" si="17"/>
        <v>150</v>
      </c>
      <c r="W78" s="490">
        <f t="shared" ca="1" si="17"/>
        <v>120</v>
      </c>
      <c r="X78" s="490">
        <f t="shared" ca="1" si="17"/>
        <v>80</v>
      </c>
      <c r="Y78" s="490">
        <f t="shared" ca="1" si="17"/>
        <v>50</v>
      </c>
      <c r="Z78" s="161"/>
      <c r="AA78" s="162"/>
    </row>
    <row r="79" spans="1:27" x14ac:dyDescent="0.25">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156</v>
      </c>
      <c r="B80" s="491">
        <f>Deals!AD118</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160</v>
      </c>
      <c r="B83" s="292">
        <f ca="1">SUM(B78:Y78)</f>
        <v>2440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162</v>
      </c>
      <c r="Z86" s="259" t="e">
        <f>SUM(Z89,Z92,Z95,Z98,Z101,Z105,Z110,Z115,Z120,Z125,Z130,Z135,Z140,Z145,Z150,Z155,Z160)</f>
        <v>#REF!</v>
      </c>
    </row>
    <row r="87" spans="1:27" x14ac:dyDescent="0.25">
      <c r="X87" s="228"/>
      <c r="Y87" s="229" t="s">
        <v>163</v>
      </c>
      <c r="Z87" s="260">
        <f ca="1">SUM(Z90,Z93,Z96,Z99,Z102,Z107,Z112,Z117,Z122,Z127,Z132,Z137,Z142,Z147,Z152,Z157,Z162)</f>
        <v>243307.08972493804</v>
      </c>
    </row>
    <row r="88" spans="1:27" ht="13.8" thickBot="1" x14ac:dyDescent="0.3">
      <c r="A88" s="173" t="s">
        <v>164</v>
      </c>
      <c r="X88" s="230"/>
      <c r="Y88" s="231" t="s">
        <v>165</v>
      </c>
      <c r="Z88" s="261" t="e">
        <f ca="1">Z86-Z87</f>
        <v>#REF!</v>
      </c>
    </row>
    <row r="89" spans="1:27" x14ac:dyDescent="0.25">
      <c r="A89" s="232" t="str">
        <f>Economics!A28</f>
        <v>4 Corners Unit 4</v>
      </c>
      <c r="B89" s="233">
        <f t="shared" ref="B89:Y89" si="18">B56</f>
        <v>83</v>
      </c>
      <c r="C89" s="233">
        <f t="shared" si="18"/>
        <v>83</v>
      </c>
      <c r="D89" s="233">
        <f t="shared" si="18"/>
        <v>83</v>
      </c>
      <c r="E89" s="233">
        <f>E56</f>
        <v>83</v>
      </c>
      <c r="F89" s="233">
        <f t="shared" si="18"/>
        <v>88</v>
      </c>
      <c r="G89" s="233">
        <f t="shared" si="18"/>
        <v>96</v>
      </c>
      <c r="H89" s="233">
        <f t="shared" si="18"/>
        <v>97</v>
      </c>
      <c r="I89" s="233">
        <f t="shared" si="18"/>
        <v>98</v>
      </c>
      <c r="J89" s="233">
        <f t="shared" si="18"/>
        <v>97</v>
      </c>
      <c r="K89" s="233">
        <f t="shared" si="18"/>
        <v>98</v>
      </c>
      <c r="L89" s="233">
        <f t="shared" si="18"/>
        <v>94</v>
      </c>
      <c r="M89" s="233">
        <f>M57</f>
        <v>0</v>
      </c>
      <c r="N89" s="233">
        <f t="shared" si="18"/>
        <v>43</v>
      </c>
      <c r="O89" s="233">
        <f t="shared" si="18"/>
        <v>43</v>
      </c>
      <c r="P89" s="233">
        <f t="shared" si="18"/>
        <v>42</v>
      </c>
      <c r="Q89" s="233">
        <f t="shared" si="18"/>
        <v>41</v>
      </c>
      <c r="R89" s="233">
        <f t="shared" si="18"/>
        <v>41</v>
      </c>
      <c r="S89" s="233">
        <f t="shared" si="18"/>
        <v>41</v>
      </c>
      <c r="T89" s="233">
        <f t="shared" si="18"/>
        <v>41</v>
      </c>
      <c r="U89" s="233">
        <f t="shared" si="18"/>
        <v>43</v>
      </c>
      <c r="V89" s="233">
        <f t="shared" si="18"/>
        <v>43</v>
      </c>
      <c r="W89" s="233">
        <f t="shared" si="18"/>
        <v>43</v>
      </c>
      <c r="X89" s="233">
        <f t="shared" si="18"/>
        <v>43</v>
      </c>
      <c r="Y89" s="233">
        <f t="shared" si="18"/>
        <v>43</v>
      </c>
      <c r="Z89" s="262">
        <f t="array" ref="Z89">SUM(B89:Y89*Economics!F$28)</f>
        <v>19703.844160000011</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165</v>
      </c>
      <c r="B91" s="211">
        <f t="shared" ref="B91:Y91" si="19">B90-B89</f>
        <v>20</v>
      </c>
      <c r="C91" s="211">
        <f t="shared" si="19"/>
        <v>-31</v>
      </c>
      <c r="D91" s="211">
        <f t="shared" si="19"/>
        <v>-81</v>
      </c>
      <c r="E91" s="211">
        <f t="shared" si="19"/>
        <v>-81</v>
      </c>
      <c r="F91" s="211">
        <f t="shared" si="19"/>
        <v>-86</v>
      </c>
      <c r="G91" s="211">
        <f t="shared" si="19"/>
        <v>-94</v>
      </c>
      <c r="H91" s="211">
        <f t="shared" si="19"/>
        <v>-45</v>
      </c>
      <c r="I91" s="211">
        <f t="shared" si="19"/>
        <v>-46</v>
      </c>
      <c r="J91" s="211">
        <f t="shared" si="19"/>
        <v>-45</v>
      </c>
      <c r="K91" s="211">
        <f t="shared" si="19"/>
        <v>-46</v>
      </c>
      <c r="L91" s="211">
        <f t="shared" si="19"/>
        <v>9</v>
      </c>
      <c r="M91" s="211">
        <f t="shared" si="19"/>
        <v>103</v>
      </c>
      <c r="N91" s="211">
        <f t="shared" si="19"/>
        <v>60</v>
      </c>
      <c r="O91" s="211">
        <f t="shared" si="19"/>
        <v>60</v>
      </c>
      <c r="P91" s="211">
        <f t="shared" si="19"/>
        <v>61</v>
      </c>
      <c r="Q91" s="211">
        <f t="shared" si="19"/>
        <v>62</v>
      </c>
      <c r="R91" s="211">
        <f t="shared" si="19"/>
        <v>62</v>
      </c>
      <c r="S91" s="211">
        <f t="shared" si="19"/>
        <v>62</v>
      </c>
      <c r="T91" s="211">
        <f t="shared" si="19"/>
        <v>62</v>
      </c>
      <c r="U91" s="211">
        <f t="shared" si="19"/>
        <v>60</v>
      </c>
      <c r="V91" s="211">
        <f t="shared" si="19"/>
        <v>9</v>
      </c>
      <c r="W91" s="211">
        <f t="shared" si="19"/>
        <v>9</v>
      </c>
      <c r="X91" s="211">
        <f t="shared" si="19"/>
        <v>9</v>
      </c>
      <c r="Y91" s="211">
        <f t="shared" si="19"/>
        <v>9</v>
      </c>
      <c r="Z91" s="265">
        <f>Z89-Z90</f>
        <v>-1333.6377599999832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64</v>
      </c>
      <c r="C95" s="181">
        <f t="shared" si="22"/>
        <v>64</v>
      </c>
      <c r="D95" s="181">
        <f t="shared" si="22"/>
        <v>64</v>
      </c>
      <c r="E95" s="181">
        <f>E53</f>
        <v>64</v>
      </c>
      <c r="F95" s="181">
        <f t="shared" si="22"/>
        <v>64</v>
      </c>
      <c r="G95" s="181">
        <f t="shared" si="22"/>
        <v>64</v>
      </c>
      <c r="H95" s="181">
        <f t="shared" si="22"/>
        <v>64</v>
      </c>
      <c r="I95" s="181">
        <f t="shared" si="22"/>
        <v>64</v>
      </c>
      <c r="J95" s="181">
        <f t="shared" si="22"/>
        <v>64</v>
      </c>
      <c r="K95" s="181">
        <f t="shared" si="22"/>
        <v>64</v>
      </c>
      <c r="L95" s="181">
        <f t="shared" si="22"/>
        <v>64</v>
      </c>
      <c r="M95" s="181">
        <f t="shared" si="22"/>
        <v>64</v>
      </c>
      <c r="N95" s="181">
        <f t="shared" si="22"/>
        <v>64</v>
      </c>
      <c r="O95" s="181">
        <f t="shared" si="22"/>
        <v>64</v>
      </c>
      <c r="P95" s="181">
        <f t="shared" si="22"/>
        <v>64</v>
      </c>
      <c r="Q95" s="181">
        <f t="shared" si="22"/>
        <v>65</v>
      </c>
      <c r="R95" s="181">
        <f t="shared" si="22"/>
        <v>63</v>
      </c>
      <c r="S95" s="181">
        <f t="shared" si="22"/>
        <v>65</v>
      </c>
      <c r="T95" s="181">
        <f t="shared" si="22"/>
        <v>64</v>
      </c>
      <c r="U95" s="181">
        <f t="shared" si="22"/>
        <v>64</v>
      </c>
      <c r="V95" s="181">
        <f t="shared" si="22"/>
        <v>65</v>
      </c>
      <c r="W95" s="181">
        <f t="shared" si="22"/>
        <v>65</v>
      </c>
      <c r="X95" s="181">
        <f t="shared" si="22"/>
        <v>65</v>
      </c>
      <c r="Y95" s="181">
        <f t="shared" si="22"/>
        <v>64</v>
      </c>
      <c r="Z95" s="264">
        <f t="array" ref="Z95">SUM(B95:Y95*Economics!F$30)</f>
        <v>9387.840000000002</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165</v>
      </c>
      <c r="B97" s="211">
        <f t="shared" ref="B97:Y97" si="23">B96-B95</f>
        <v>136</v>
      </c>
      <c r="C97" s="211">
        <f t="shared" si="23"/>
        <v>136</v>
      </c>
      <c r="D97" s="211">
        <f t="shared" si="23"/>
        <v>136</v>
      </c>
      <c r="E97" s="211">
        <f t="shared" si="23"/>
        <v>136</v>
      </c>
      <c r="F97" s="211">
        <f t="shared" si="23"/>
        <v>136</v>
      </c>
      <c r="G97" s="211">
        <f t="shared" si="23"/>
        <v>136</v>
      </c>
      <c r="H97" s="211">
        <f t="shared" si="23"/>
        <v>136</v>
      </c>
      <c r="I97" s="211">
        <f t="shared" si="23"/>
        <v>136</v>
      </c>
      <c r="J97" s="211">
        <f t="shared" si="23"/>
        <v>136</v>
      </c>
      <c r="K97" s="211">
        <f t="shared" si="23"/>
        <v>136</v>
      </c>
      <c r="L97" s="211">
        <f t="shared" si="23"/>
        <v>136</v>
      </c>
      <c r="M97" s="211">
        <f t="shared" si="23"/>
        <v>136</v>
      </c>
      <c r="N97" s="211">
        <f t="shared" si="23"/>
        <v>136</v>
      </c>
      <c r="O97" s="211">
        <f t="shared" si="23"/>
        <v>136</v>
      </c>
      <c r="P97" s="211">
        <f t="shared" si="23"/>
        <v>136</v>
      </c>
      <c r="Q97" s="211">
        <f t="shared" si="23"/>
        <v>135</v>
      </c>
      <c r="R97" s="211">
        <f t="shared" si="23"/>
        <v>137</v>
      </c>
      <c r="S97" s="211">
        <f t="shared" si="23"/>
        <v>135</v>
      </c>
      <c r="T97" s="211">
        <f t="shared" si="23"/>
        <v>136</v>
      </c>
      <c r="U97" s="211">
        <f t="shared" si="23"/>
        <v>136</v>
      </c>
      <c r="V97" s="211">
        <f t="shared" si="23"/>
        <v>135</v>
      </c>
      <c r="W97" s="211">
        <f t="shared" si="23"/>
        <v>135</v>
      </c>
      <c r="X97" s="211">
        <f t="shared" si="23"/>
        <v>135</v>
      </c>
      <c r="Y97" s="211">
        <f t="shared" si="23"/>
        <v>136</v>
      </c>
      <c r="Z97" s="265">
        <f>Z95-Z96</f>
        <v>-19872.960000000006</v>
      </c>
    </row>
    <row r="98" spans="1:29" x14ac:dyDescent="0.25">
      <c r="A98" s="183" t="str">
        <f>Economics!A31</f>
        <v>PV Unit 2</v>
      </c>
      <c r="B98" s="181">
        <f t="shared" ref="B98:Y98" si="24">B54</f>
        <v>64</v>
      </c>
      <c r="C98" s="181">
        <f t="shared" si="24"/>
        <v>64</v>
      </c>
      <c r="D98" s="181">
        <f t="shared" si="24"/>
        <v>64</v>
      </c>
      <c r="E98" s="181">
        <f>E54</f>
        <v>64</v>
      </c>
      <c r="F98" s="181">
        <f t="shared" si="24"/>
        <v>64</v>
      </c>
      <c r="G98" s="181">
        <f t="shared" si="24"/>
        <v>64</v>
      </c>
      <c r="H98" s="181">
        <f t="shared" si="24"/>
        <v>64</v>
      </c>
      <c r="I98" s="181">
        <f t="shared" si="24"/>
        <v>64</v>
      </c>
      <c r="J98" s="181">
        <f t="shared" si="24"/>
        <v>64</v>
      </c>
      <c r="K98" s="181">
        <f t="shared" si="24"/>
        <v>64</v>
      </c>
      <c r="L98" s="181">
        <f t="shared" si="24"/>
        <v>64</v>
      </c>
      <c r="M98" s="181">
        <f t="shared" si="24"/>
        <v>64</v>
      </c>
      <c r="N98" s="181">
        <f t="shared" si="24"/>
        <v>64</v>
      </c>
      <c r="O98" s="181">
        <f t="shared" si="24"/>
        <v>64</v>
      </c>
      <c r="P98" s="181">
        <f t="shared" si="24"/>
        <v>64</v>
      </c>
      <c r="Q98" s="181">
        <f t="shared" si="24"/>
        <v>65</v>
      </c>
      <c r="R98" s="181">
        <f t="shared" si="24"/>
        <v>63</v>
      </c>
      <c r="S98" s="181">
        <f t="shared" si="24"/>
        <v>65</v>
      </c>
      <c r="T98" s="181">
        <f t="shared" si="24"/>
        <v>65</v>
      </c>
      <c r="U98" s="181">
        <f t="shared" si="24"/>
        <v>65</v>
      </c>
      <c r="V98" s="181">
        <f t="shared" si="24"/>
        <v>65</v>
      </c>
      <c r="W98" s="181">
        <f t="shared" si="24"/>
        <v>65</v>
      </c>
      <c r="X98" s="181">
        <f t="shared" si="24"/>
        <v>65</v>
      </c>
      <c r="Y98" s="181">
        <f t="shared" si="24"/>
        <v>64</v>
      </c>
      <c r="Z98" s="264">
        <f t="array" ref="Z98">SUM(B98:Y98*Economics!F$31)</f>
        <v>9400.0320000000011</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165</v>
      </c>
      <c r="B100" s="211">
        <f t="shared" ref="B100:Y100" si="25">B99-B98</f>
        <v>130</v>
      </c>
      <c r="C100" s="211">
        <f t="shared" si="25"/>
        <v>130</v>
      </c>
      <c r="D100" s="211">
        <f t="shared" si="25"/>
        <v>130</v>
      </c>
      <c r="E100" s="211">
        <f t="shared" si="25"/>
        <v>130</v>
      </c>
      <c r="F100" s="211">
        <f t="shared" si="25"/>
        <v>131</v>
      </c>
      <c r="G100" s="211">
        <f t="shared" si="25"/>
        <v>131</v>
      </c>
      <c r="H100" s="211">
        <f t="shared" si="25"/>
        <v>131</v>
      </c>
      <c r="I100" s="211">
        <f t="shared" si="25"/>
        <v>131</v>
      </c>
      <c r="J100" s="211">
        <f t="shared" si="25"/>
        <v>131</v>
      </c>
      <c r="K100" s="211">
        <f t="shared" si="25"/>
        <v>131</v>
      </c>
      <c r="L100" s="211">
        <f t="shared" si="25"/>
        <v>131</v>
      </c>
      <c r="M100" s="211">
        <f t="shared" si="25"/>
        <v>131</v>
      </c>
      <c r="N100" s="211">
        <f t="shared" si="25"/>
        <v>131</v>
      </c>
      <c r="O100" s="211">
        <f t="shared" si="25"/>
        <v>131</v>
      </c>
      <c r="P100" s="211">
        <f t="shared" si="25"/>
        <v>131</v>
      </c>
      <c r="Q100" s="211">
        <f t="shared" si="25"/>
        <v>130</v>
      </c>
      <c r="R100" s="211">
        <f t="shared" si="25"/>
        <v>132</v>
      </c>
      <c r="S100" s="211">
        <f t="shared" si="25"/>
        <v>130</v>
      </c>
      <c r="T100" s="211">
        <f t="shared" si="25"/>
        <v>130</v>
      </c>
      <c r="U100" s="211">
        <f t="shared" si="25"/>
        <v>130</v>
      </c>
      <c r="V100" s="211">
        <f t="shared" si="25"/>
        <v>130</v>
      </c>
      <c r="W100" s="211">
        <f t="shared" si="25"/>
        <v>130</v>
      </c>
      <c r="X100" s="211">
        <f t="shared" si="25"/>
        <v>130</v>
      </c>
      <c r="Y100" s="211">
        <f t="shared" si="25"/>
        <v>131</v>
      </c>
      <c r="Z100" s="265">
        <f>Z98-Z99</f>
        <v>-19104.864000000009</v>
      </c>
    </row>
    <row r="101" spans="1:29" x14ac:dyDescent="0.25">
      <c r="A101" s="183" t="str">
        <f>Economics!A32</f>
        <v>PV Unit 3</v>
      </c>
      <c r="B101" s="181">
        <f t="shared" ref="B101:Y101" si="26">B55</f>
        <v>64</v>
      </c>
      <c r="C101" s="181">
        <f t="shared" si="26"/>
        <v>64</v>
      </c>
      <c r="D101" s="181">
        <f t="shared" si="26"/>
        <v>64</v>
      </c>
      <c r="E101" s="181">
        <f>E55</f>
        <v>64</v>
      </c>
      <c r="F101" s="181">
        <f t="shared" si="26"/>
        <v>64</v>
      </c>
      <c r="G101" s="181">
        <f t="shared" si="26"/>
        <v>64</v>
      </c>
      <c r="H101" s="181">
        <f t="shared" si="26"/>
        <v>64</v>
      </c>
      <c r="I101" s="181">
        <f t="shared" si="26"/>
        <v>64</v>
      </c>
      <c r="J101" s="181">
        <f t="shared" si="26"/>
        <v>64</v>
      </c>
      <c r="K101" s="181">
        <f t="shared" si="26"/>
        <v>64</v>
      </c>
      <c r="L101" s="181">
        <f t="shared" si="26"/>
        <v>64</v>
      </c>
      <c r="M101" s="181">
        <f t="shared" si="26"/>
        <v>64</v>
      </c>
      <c r="N101" s="181">
        <f t="shared" si="26"/>
        <v>64</v>
      </c>
      <c r="O101" s="181">
        <f t="shared" si="26"/>
        <v>64</v>
      </c>
      <c r="P101" s="181">
        <f t="shared" si="26"/>
        <v>64</v>
      </c>
      <c r="Q101" s="181">
        <f t="shared" si="26"/>
        <v>65</v>
      </c>
      <c r="R101" s="181">
        <f t="shared" si="26"/>
        <v>63</v>
      </c>
      <c r="S101" s="181">
        <f t="shared" si="26"/>
        <v>65</v>
      </c>
      <c r="T101" s="181">
        <f t="shared" si="26"/>
        <v>65</v>
      </c>
      <c r="U101" s="181">
        <f t="shared" si="26"/>
        <v>65</v>
      </c>
      <c r="V101" s="181">
        <f t="shared" si="26"/>
        <v>65</v>
      </c>
      <c r="W101" s="181">
        <f t="shared" si="26"/>
        <v>65</v>
      </c>
      <c r="X101" s="181">
        <f t="shared" si="26"/>
        <v>65</v>
      </c>
      <c r="Y101" s="181">
        <f t="shared" si="26"/>
        <v>64</v>
      </c>
      <c r="Z101" s="264">
        <f t="array" ref="Z101">SUM(B101:Y101*Economics!F$32)</f>
        <v>9400.0320000000011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165</v>
      </c>
      <c r="B103" s="211">
        <f t="shared" ref="B103:Y103" si="27">B102-B101</f>
        <v>136</v>
      </c>
      <c r="C103" s="211">
        <f t="shared" si="27"/>
        <v>136</v>
      </c>
      <c r="D103" s="211">
        <f t="shared" si="27"/>
        <v>136</v>
      </c>
      <c r="E103" s="211">
        <f t="shared" si="27"/>
        <v>136</v>
      </c>
      <c r="F103" s="211">
        <f t="shared" si="27"/>
        <v>136</v>
      </c>
      <c r="G103" s="211">
        <f t="shared" si="27"/>
        <v>136</v>
      </c>
      <c r="H103" s="211">
        <f t="shared" si="27"/>
        <v>136</v>
      </c>
      <c r="I103" s="211">
        <f t="shared" si="27"/>
        <v>136</v>
      </c>
      <c r="J103" s="211">
        <f t="shared" si="27"/>
        <v>136</v>
      </c>
      <c r="K103" s="211">
        <f t="shared" si="27"/>
        <v>136</v>
      </c>
      <c r="L103" s="211">
        <f t="shared" si="27"/>
        <v>136</v>
      </c>
      <c r="M103" s="211">
        <f t="shared" si="27"/>
        <v>136</v>
      </c>
      <c r="N103" s="211">
        <f t="shared" si="27"/>
        <v>136</v>
      </c>
      <c r="O103" s="211">
        <f t="shared" si="27"/>
        <v>136</v>
      </c>
      <c r="P103" s="211">
        <f t="shared" si="27"/>
        <v>136</v>
      </c>
      <c r="Q103" s="211">
        <f t="shared" si="27"/>
        <v>135</v>
      </c>
      <c r="R103" s="211">
        <f t="shared" si="27"/>
        <v>137</v>
      </c>
      <c r="S103" s="211">
        <f t="shared" si="27"/>
        <v>135</v>
      </c>
      <c r="T103" s="211">
        <f t="shared" si="27"/>
        <v>135</v>
      </c>
      <c r="U103" s="211">
        <f t="shared" si="27"/>
        <v>135</v>
      </c>
      <c r="V103" s="211">
        <f t="shared" si="27"/>
        <v>135</v>
      </c>
      <c r="W103" s="211">
        <f t="shared" si="27"/>
        <v>135</v>
      </c>
      <c r="X103" s="211">
        <f t="shared" si="27"/>
        <v>135</v>
      </c>
      <c r="Y103" s="211">
        <f t="shared" si="27"/>
        <v>136</v>
      </c>
      <c r="Z103" s="265">
        <f>Z101-Z102</f>
        <v>-19860.768000000011</v>
      </c>
    </row>
    <row r="104" spans="1:29" x14ac:dyDescent="0.25">
      <c r="A104" s="183" t="str">
        <f>Economics!A34</f>
        <v>Newman 1</v>
      </c>
      <c r="B104" s="181">
        <v>31</v>
      </c>
      <c r="C104" s="181">
        <f t="shared" ref="C104:R104" si="28">C41</f>
        <v>30</v>
      </c>
      <c r="D104" s="181">
        <f t="shared" si="28"/>
        <v>31</v>
      </c>
      <c r="E104" s="181">
        <f>E41</f>
        <v>31</v>
      </c>
      <c r="F104" s="181">
        <f t="shared" si="28"/>
        <v>37</v>
      </c>
      <c r="G104" s="181">
        <f t="shared" si="28"/>
        <v>36</v>
      </c>
      <c r="H104" s="181">
        <f t="shared" si="28"/>
        <v>37</v>
      </c>
      <c r="I104" s="181">
        <f>I41</f>
        <v>58</v>
      </c>
      <c r="J104" s="181">
        <f t="shared" si="28"/>
        <v>37</v>
      </c>
      <c r="K104" s="181">
        <f t="shared" si="28"/>
        <v>59</v>
      </c>
      <c r="L104" s="181">
        <f t="shared" si="28"/>
        <v>59</v>
      </c>
      <c r="M104" s="181">
        <f t="shared" si="28"/>
        <v>59</v>
      </c>
      <c r="N104" s="181">
        <f t="shared" si="28"/>
        <v>37</v>
      </c>
      <c r="O104" s="181">
        <f t="shared" si="28"/>
        <v>59</v>
      </c>
      <c r="P104" s="181">
        <f t="shared" si="28"/>
        <v>60</v>
      </c>
      <c r="Q104" s="181">
        <f t="shared" si="28"/>
        <v>36</v>
      </c>
      <c r="R104" s="181">
        <f t="shared" si="28"/>
        <v>35</v>
      </c>
      <c r="S104" s="181">
        <v>34</v>
      </c>
      <c r="T104" s="181">
        <v>34</v>
      </c>
      <c r="U104" s="181">
        <v>34</v>
      </c>
      <c r="V104" s="181">
        <v>34</v>
      </c>
      <c r="W104" s="181">
        <f>W41</f>
        <v>37</v>
      </c>
      <c r="X104" s="181">
        <f>X41</f>
        <v>35</v>
      </c>
      <c r="Y104" s="181">
        <f>Y41</f>
        <v>36</v>
      </c>
      <c r="Z104" s="224">
        <f>SUM(B104:Y104)</f>
        <v>976</v>
      </c>
      <c r="AA104" s="323" t="s">
        <v>166</v>
      </c>
    </row>
    <row r="105" spans="1:29" x14ac:dyDescent="0.25">
      <c r="A105" s="185">
        <f>Economics!$I34</f>
        <v>1.96</v>
      </c>
      <c r="B105" s="189">
        <f t="shared" ref="B105:Y105" ca="1" si="29">IndGencost(B104,OFFSET(HeatRateStart,1,MATCH($A104,HeatRateNames,0)-1,250,1),$A105)</f>
        <v>23.547401890555044</v>
      </c>
      <c r="C105" s="189">
        <f t="shared" ca="1" si="29"/>
        <v>23.634399126656849</v>
      </c>
      <c r="D105" s="189">
        <f t="shared" ca="1" si="29"/>
        <v>23.547401890555044</v>
      </c>
      <c r="E105" s="189">
        <f ca="1">IndGencost(E104,OFFSET(HeatRateStart,1,MATCH($A104,HeatRateNames,0)-1,250,1),$A105)</f>
        <v>23.547401890555044</v>
      </c>
      <c r="F105" s="189">
        <f t="shared" ca="1" si="29"/>
        <v>23.130824439378429</v>
      </c>
      <c r="G105" s="189">
        <f t="shared" ca="1" si="29"/>
        <v>23.189797073559234</v>
      </c>
      <c r="H105" s="189">
        <f t="shared" ca="1" si="29"/>
        <v>23.130824439378429</v>
      </c>
      <c r="I105" s="189">
        <f t="shared" ca="1" si="29"/>
        <v>22.408827774068239</v>
      </c>
      <c r="J105" s="189">
        <f t="shared" ca="1" si="29"/>
        <v>23.130824439378429</v>
      </c>
      <c r="K105" s="189">
        <f t="shared" ca="1" si="29"/>
        <v>22.389452171353323</v>
      </c>
      <c r="L105" s="189">
        <f t="shared" ca="1" si="29"/>
        <v>22.389452171353323</v>
      </c>
      <c r="M105" s="189">
        <f t="shared" ca="1" si="29"/>
        <v>22.389452171353323</v>
      </c>
      <c r="N105" s="189">
        <f t="shared" ca="1" si="29"/>
        <v>23.130824439378429</v>
      </c>
      <c r="O105" s="189">
        <f t="shared" ca="1" si="29"/>
        <v>22.389452171353323</v>
      </c>
      <c r="P105" s="189">
        <f t="shared" ca="1" si="29"/>
        <v>22.370917768732706</v>
      </c>
      <c r="Q105" s="189">
        <f t="shared" ca="1" si="29"/>
        <v>23.189797073559234</v>
      </c>
      <c r="R105" s="189">
        <f t="shared" ca="1" si="29"/>
        <v>23.252474452556882</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23.252474452556882</v>
      </c>
      <c r="Y105" s="189">
        <f t="shared" ca="1" si="29"/>
        <v>23.189797073559234</v>
      </c>
      <c r="Z105" s="264">
        <f t="array" aca="1" ref="Z105" ca="1">SUM(B104:Y104*B105:Y105)</f>
        <v>22407.600907313321</v>
      </c>
      <c r="AA105" s="323"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165</v>
      </c>
      <c r="B108" s="188">
        <f t="shared" ref="B108:Y108" ca="1" si="31">B107-B105</f>
        <v>8.6997236101804987E-2</v>
      </c>
      <c r="C108" s="188">
        <f t="shared" ca="1" si="31"/>
        <v>0</v>
      </c>
      <c r="D108" s="188">
        <f t="shared" ca="1" si="31"/>
        <v>8.6997236101804987E-2</v>
      </c>
      <c r="E108" s="188">
        <f t="shared" ca="1" si="31"/>
        <v>8.6997236101804987E-2</v>
      </c>
      <c r="F108" s="188">
        <f t="shared" ca="1" si="31"/>
        <v>0.50357468727841947</v>
      </c>
      <c r="G108" s="188">
        <f t="shared" ca="1" si="31"/>
        <v>0.44460205309761491</v>
      </c>
      <c r="H108" s="188">
        <f t="shared" ca="1" si="31"/>
        <v>0.50357468727841947</v>
      </c>
      <c r="I108" s="188">
        <f t="shared" ca="1" si="31"/>
        <v>1.2255713525886094</v>
      </c>
      <c r="J108" s="188">
        <f t="shared" ca="1" si="31"/>
        <v>0.50357468727841947</v>
      </c>
      <c r="K108" s="188">
        <f t="shared" ca="1" si="31"/>
        <v>1.2449469553035257</v>
      </c>
      <c r="L108" s="188">
        <f t="shared" ca="1" si="31"/>
        <v>1.2449469553035257</v>
      </c>
      <c r="M108" s="188">
        <f t="shared" ca="1" si="31"/>
        <v>1.2449469553035257</v>
      </c>
      <c r="N108" s="188">
        <f t="shared" ca="1" si="31"/>
        <v>0.50357468727841947</v>
      </c>
      <c r="O108" s="188">
        <f t="shared" ca="1" si="31"/>
        <v>1.2449469553035257</v>
      </c>
      <c r="P108" s="188">
        <f t="shared" ca="1" si="31"/>
        <v>1.2634813579241424</v>
      </c>
      <c r="Q108" s="188">
        <f t="shared" ca="1" si="31"/>
        <v>0.44460205309761491</v>
      </c>
      <c r="R108" s="188">
        <f t="shared" ca="1" si="31"/>
        <v>0.38192467409996667</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0.38192467409996667</v>
      </c>
      <c r="Y108" s="188">
        <f t="shared" ca="1" si="31"/>
        <v>0.44460205309761491</v>
      </c>
      <c r="Z108" s="265">
        <f ca="1">Z105-Z107</f>
        <v>5390.8335361203935</v>
      </c>
    </row>
    <row r="109" spans="1:29" x14ac:dyDescent="0.25">
      <c r="A109" s="183" t="str">
        <f>Economics!A35</f>
        <v>Newman 2</v>
      </c>
      <c r="B109" s="181">
        <f>B42</f>
        <v>30</v>
      </c>
      <c r="C109" s="181">
        <f t="shared" ref="C109:Y109" si="32">C42</f>
        <v>30</v>
      </c>
      <c r="D109" s="181">
        <f t="shared" si="32"/>
        <v>29</v>
      </c>
      <c r="E109" s="181">
        <f>E42</f>
        <v>30</v>
      </c>
      <c r="F109" s="181">
        <f t="shared" si="32"/>
        <v>35</v>
      </c>
      <c r="G109" s="181">
        <f t="shared" si="32"/>
        <v>62</v>
      </c>
      <c r="H109" s="181">
        <f t="shared" si="32"/>
        <v>41</v>
      </c>
      <c r="I109" s="181">
        <f>I42</f>
        <v>39</v>
      </c>
      <c r="J109" s="181">
        <f t="shared" si="32"/>
        <v>36</v>
      </c>
      <c r="K109" s="181">
        <f t="shared" si="32"/>
        <v>37</v>
      </c>
      <c r="L109" s="181">
        <f t="shared" si="32"/>
        <v>37</v>
      </c>
      <c r="M109" s="181">
        <f t="shared" si="32"/>
        <v>34</v>
      </c>
      <c r="N109" s="181">
        <f t="shared" si="32"/>
        <v>35</v>
      </c>
      <c r="O109" s="181">
        <f t="shared" si="32"/>
        <v>33</v>
      </c>
      <c r="P109" s="181">
        <f t="shared" si="32"/>
        <v>36</v>
      </c>
      <c r="Q109" s="181">
        <f t="shared" si="32"/>
        <v>34</v>
      </c>
      <c r="R109" s="181">
        <f t="shared" si="32"/>
        <v>34</v>
      </c>
      <c r="S109" s="181">
        <f t="shared" si="32"/>
        <v>36</v>
      </c>
      <c r="T109" s="181">
        <f t="shared" si="32"/>
        <v>40</v>
      </c>
      <c r="U109" s="181">
        <f t="shared" si="32"/>
        <v>34</v>
      </c>
      <c r="V109" s="181">
        <f t="shared" si="32"/>
        <v>36</v>
      </c>
      <c r="W109" s="181">
        <f t="shared" si="32"/>
        <v>37</v>
      </c>
      <c r="X109" s="181">
        <f t="shared" si="32"/>
        <v>37</v>
      </c>
      <c r="Y109" s="181">
        <f t="shared" si="32"/>
        <v>37</v>
      </c>
      <c r="Z109" s="224">
        <f>SUM(B109:Y109)</f>
        <v>869</v>
      </c>
      <c r="AA109" s="323" t="s">
        <v>170</v>
      </c>
    </row>
    <row r="110" spans="1:29" x14ac:dyDescent="0.25">
      <c r="A110" s="185">
        <f>Economics!$I35</f>
        <v>1.96</v>
      </c>
      <c r="B110" s="189">
        <f t="shared" ref="B110:Y110" ca="1" si="33">IndGencost(B109,OFFSET(HeatRateStart,1,MATCH($A109,HeatRateNames,0)-1,250,1),$A110)</f>
        <v>21.68217375532786</v>
      </c>
      <c r="C110" s="189">
        <f t="shared" ca="1" si="33"/>
        <v>21.68217375532786</v>
      </c>
      <c r="D110" s="189">
        <f t="shared" ca="1" si="33"/>
        <v>21.780148975625536</v>
      </c>
      <c r="E110" s="189">
        <f ca="1">IndGencost(E109,OFFSET(HeatRateStart,1,MATCH($A109,HeatRateNames,0)-1,250,1),$A110)</f>
        <v>21.68217375532786</v>
      </c>
      <c r="F110" s="189">
        <f t="shared" ca="1" si="33"/>
        <v>21.285180414267952</v>
      </c>
      <c r="G110" s="189">
        <f t="shared" ca="1" si="33"/>
        <v>20.392637042057899</v>
      </c>
      <c r="H110" s="189">
        <f t="shared" ca="1" si="33"/>
        <v>20.953323041955436</v>
      </c>
      <c r="I110" s="189">
        <f t="shared" ca="1" si="33"/>
        <v>21.050465743033094</v>
      </c>
      <c r="J110" s="189">
        <f t="shared" ca="1" si="33"/>
        <v>21.220746190791662</v>
      </c>
      <c r="K110" s="189">
        <f t="shared" ca="1" si="33"/>
        <v>21.160356411838535</v>
      </c>
      <c r="L110" s="189">
        <f t="shared" ca="1" si="33"/>
        <v>21.160356411838535</v>
      </c>
      <c r="M110" s="189">
        <f t="shared" ca="1" si="33"/>
        <v>21.354015945019448</v>
      </c>
      <c r="N110" s="189">
        <f t="shared" ca="1" si="33"/>
        <v>21.285180414267952</v>
      </c>
      <c r="O110" s="189">
        <f t="shared" ca="1" si="33"/>
        <v>21.427652901889342</v>
      </c>
      <c r="P110" s="189">
        <f t="shared" ca="1" si="33"/>
        <v>21.220746190791662</v>
      </c>
      <c r="Q110" s="189">
        <f t="shared" ca="1" si="33"/>
        <v>21.354015945019448</v>
      </c>
      <c r="R110" s="189">
        <f t="shared" ca="1" si="33"/>
        <v>21.354015945019448</v>
      </c>
      <c r="S110" s="189">
        <f t="shared" ca="1" si="33"/>
        <v>21.220746190791662</v>
      </c>
      <c r="T110" s="189">
        <f t="shared" ca="1" si="33"/>
        <v>21.000420408725741</v>
      </c>
      <c r="U110" s="189">
        <f t="shared" ca="1" si="33"/>
        <v>21.354015945019448</v>
      </c>
      <c r="V110" s="189">
        <f t="shared" ca="1" si="33"/>
        <v>21.220746190791662</v>
      </c>
      <c r="W110" s="189">
        <f t="shared" ca="1" si="33"/>
        <v>21.160356411838535</v>
      </c>
      <c r="X110" s="189">
        <f t="shared" ca="1" si="33"/>
        <v>21.160356411838535</v>
      </c>
      <c r="Y110" s="189">
        <f t="shared" ca="1" si="33"/>
        <v>21.160356411838535</v>
      </c>
      <c r="Z110" s="264">
        <f t="array" aca="1" ref="Z110" ca="1">SUM(B109:Y109*B110:Y110)</f>
        <v>18439.109410875601</v>
      </c>
      <c r="AA110" s="323"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165</v>
      </c>
      <c r="B113" s="188">
        <f t="shared" ref="B113:Y113" ca="1" si="35">B112-B110</f>
        <v>-9.0984044781549755E-2</v>
      </c>
      <c r="C113" s="188">
        <f t="shared" ca="1" si="35"/>
        <v>-9.0984044781549755E-2</v>
      </c>
      <c r="D113" s="188">
        <f t="shared" ca="1" si="35"/>
        <v>-0.18895926507922667</v>
      </c>
      <c r="E113" s="188">
        <f t="shared" ca="1" si="35"/>
        <v>-9.0984044781549755E-2</v>
      </c>
      <c r="F113" s="188">
        <f t="shared" ca="1" si="35"/>
        <v>0.30600929627835782</v>
      </c>
      <c r="G113" s="188">
        <f t="shared" ca="1" si="35"/>
        <v>1.1985526684884107</v>
      </c>
      <c r="H113" s="188">
        <f t="shared" ca="1" si="35"/>
        <v>0.63786666859087404</v>
      </c>
      <c r="I113" s="188">
        <f t="shared" ca="1" si="35"/>
        <v>0.54072396751321605</v>
      </c>
      <c r="J113" s="188">
        <f t="shared" ca="1" si="35"/>
        <v>0.37044351975464807</v>
      </c>
      <c r="K113" s="188">
        <f t="shared" ca="1" si="35"/>
        <v>0.43083329870777476</v>
      </c>
      <c r="L113" s="188">
        <f t="shared" ca="1" si="35"/>
        <v>0.43083329870777476</v>
      </c>
      <c r="M113" s="188">
        <f t="shared" ca="1" si="35"/>
        <v>0.23717376552686176</v>
      </c>
      <c r="N113" s="188">
        <f t="shared" ca="1" si="35"/>
        <v>0.30600929627835782</v>
      </c>
      <c r="O113" s="188">
        <f t="shared" ca="1" si="35"/>
        <v>0.16353680865696774</v>
      </c>
      <c r="P113" s="188">
        <f t="shared" ca="1" si="35"/>
        <v>0.37044351975464807</v>
      </c>
      <c r="Q113" s="188">
        <f t="shared" ca="1" si="35"/>
        <v>0.23717376552686176</v>
      </c>
      <c r="R113" s="188">
        <f t="shared" ca="1" si="35"/>
        <v>0.23717376552686176</v>
      </c>
      <c r="S113" s="188">
        <f t="shared" ca="1" si="35"/>
        <v>0.37044351975464807</v>
      </c>
      <c r="T113" s="188">
        <f t="shared" ca="1" si="35"/>
        <v>0.59076930182056842</v>
      </c>
      <c r="U113" s="188">
        <f t="shared" ca="1" si="35"/>
        <v>0.23717376552686176</v>
      </c>
      <c r="V113" s="188">
        <f t="shared" ca="1" si="35"/>
        <v>0.37044351975464807</v>
      </c>
      <c r="W113" s="188">
        <f t="shared" ca="1" si="35"/>
        <v>0.43083329870777476</v>
      </c>
      <c r="X113" s="188">
        <f t="shared" ca="1" si="35"/>
        <v>0.43083329870777476</v>
      </c>
      <c r="Y113" s="188">
        <f t="shared" ca="1" si="35"/>
        <v>0.43083329870777476</v>
      </c>
      <c r="Z113" s="265">
        <f ca="1">Z110-Z112</f>
        <v>2375.2642662291364</v>
      </c>
      <c r="AC113" s="174"/>
    </row>
    <row r="114" spans="1:29" x14ac:dyDescent="0.25">
      <c r="A114" s="183" t="str">
        <f>Economics!A36</f>
        <v>Newman 3</v>
      </c>
      <c r="B114" s="181">
        <f t="shared" ref="B114:Y114" si="36">B43</f>
        <v>60</v>
      </c>
      <c r="C114" s="181">
        <f t="shared" si="36"/>
        <v>40</v>
      </c>
      <c r="D114" s="181">
        <f t="shared" si="36"/>
        <v>49</v>
      </c>
      <c r="E114" s="181">
        <f>E43</f>
        <v>59</v>
      </c>
      <c r="F114" s="181">
        <f t="shared" si="36"/>
        <v>56</v>
      </c>
      <c r="G114" s="181">
        <f t="shared" si="36"/>
        <v>100</v>
      </c>
      <c r="H114" s="181">
        <f t="shared" si="36"/>
        <v>81</v>
      </c>
      <c r="I114" s="181">
        <f t="shared" si="36"/>
        <v>100</v>
      </c>
      <c r="J114" s="181">
        <f t="shared" si="36"/>
        <v>38</v>
      </c>
      <c r="K114" s="181">
        <f t="shared" si="36"/>
        <v>71</v>
      </c>
      <c r="L114" s="181">
        <f t="shared" si="36"/>
        <v>62</v>
      </c>
      <c r="M114" s="181">
        <f t="shared" si="36"/>
        <v>62</v>
      </c>
      <c r="N114" s="181">
        <f t="shared" si="36"/>
        <v>96</v>
      </c>
      <c r="O114" s="181">
        <f t="shared" si="36"/>
        <v>39</v>
      </c>
      <c r="P114" s="181">
        <f t="shared" si="36"/>
        <v>38</v>
      </c>
      <c r="Q114" s="181">
        <f t="shared" si="36"/>
        <v>39</v>
      </c>
      <c r="R114" s="181">
        <f t="shared" si="36"/>
        <v>39</v>
      </c>
      <c r="S114" s="181">
        <f t="shared" si="36"/>
        <v>38</v>
      </c>
      <c r="T114" s="181">
        <f t="shared" si="36"/>
        <v>37</v>
      </c>
      <c r="U114" s="181">
        <f t="shared" si="36"/>
        <v>50</v>
      </c>
      <c r="V114" s="181">
        <f t="shared" si="36"/>
        <v>55</v>
      </c>
      <c r="W114" s="181">
        <f t="shared" si="36"/>
        <v>36</v>
      </c>
      <c r="X114" s="181">
        <f t="shared" si="36"/>
        <v>48</v>
      </c>
      <c r="Y114" s="181">
        <f t="shared" si="36"/>
        <v>36</v>
      </c>
      <c r="Z114" s="224">
        <f>SUM(B114:Y114)</f>
        <v>1329</v>
      </c>
      <c r="AA114" s="323" t="s">
        <v>172</v>
      </c>
    </row>
    <row r="115" spans="1:29" x14ac:dyDescent="0.25">
      <c r="A115" s="185">
        <f>Economics!$I36</f>
        <v>1.96</v>
      </c>
      <c r="B115" s="189">
        <f t="shared" ref="B115:Y115" ca="1" si="37">IndGencost(B114,OFFSET(HeatRateStart,1,MATCH($A114,HeatRateNames,0)-1,250,1),$A115)</f>
        <v>20.066153723875679</v>
      </c>
      <c r="C115" s="189">
        <f t="shared" ca="1" si="37"/>
        <v>21.200830412626267</v>
      </c>
      <c r="D115" s="189">
        <f t="shared" ca="1" si="37"/>
        <v>20.52412039945564</v>
      </c>
      <c r="E115" s="189">
        <f ca="1">IndGencost(E114,OFFSET(HeatRateStart,1,MATCH($A114,HeatRateNames,0)-1,250,1),$A115)</f>
        <v>20.096411916554988</v>
      </c>
      <c r="F115" s="189">
        <f t="shared" ca="1" si="37"/>
        <v>20.199130393130442</v>
      </c>
      <c r="G115" s="189">
        <f t="shared" ca="1" si="37"/>
        <v>19.769932384777071</v>
      </c>
      <c r="H115" s="189">
        <f t="shared" ca="1" si="37"/>
        <v>19.748645816461543</v>
      </c>
      <c r="I115" s="189">
        <f t="shared" ca="1" si="37"/>
        <v>19.769932384777071</v>
      </c>
      <c r="J115" s="189">
        <f t="shared" ca="1" si="37"/>
        <v>21.409493048266363</v>
      </c>
      <c r="K115" s="189">
        <f t="shared" ca="1" si="37"/>
        <v>19.836939541010789</v>
      </c>
      <c r="L115" s="189">
        <f t="shared" ca="1" si="37"/>
        <v>20.011031357211451</v>
      </c>
      <c r="M115" s="189">
        <f t="shared" ca="1" si="37"/>
        <v>20.011031357211451</v>
      </c>
      <c r="N115" s="189">
        <f t="shared" ca="1" si="37"/>
        <v>19.750226217726865</v>
      </c>
      <c r="O115" s="189">
        <f t="shared" ca="1" si="37"/>
        <v>21.301833235104883</v>
      </c>
      <c r="P115" s="189">
        <f t="shared" ca="1" si="37"/>
        <v>21.409493048266363</v>
      </c>
      <c r="Q115" s="189">
        <f t="shared" ca="1" si="37"/>
        <v>21.301833235104883</v>
      </c>
      <c r="R115" s="189">
        <f t="shared" ca="1" si="37"/>
        <v>21.301833235104883</v>
      </c>
      <c r="S115" s="189">
        <f t="shared" ca="1" si="37"/>
        <v>21.409493048266363</v>
      </c>
      <c r="T115" s="189">
        <f t="shared" ca="1" si="37"/>
        <v>21.524349608112029</v>
      </c>
      <c r="U115" s="189">
        <f t="shared" ca="1" si="37"/>
        <v>20.469064398384099</v>
      </c>
      <c r="V115" s="189">
        <f t="shared" ca="1" si="37"/>
        <v>20.237713121154094</v>
      </c>
      <c r="W115" s="189">
        <f t="shared" ca="1" si="37"/>
        <v>21.647002643532225</v>
      </c>
      <c r="X115" s="189">
        <f t="shared" ca="1" si="37"/>
        <v>20.582532067259152</v>
      </c>
      <c r="Y115" s="189">
        <f t="shared" ca="1" si="37"/>
        <v>21.647002643532225</v>
      </c>
      <c r="Z115" s="264">
        <f t="array" aca="1" ref="Z115" ca="1">SUM(B114:Y114*B115:Y115)</f>
        <v>27126.433847954748</v>
      </c>
      <c r="AA115" s="323"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165</v>
      </c>
      <c r="B118" s="188">
        <f t="shared" ref="B118:Y118" ca="1" si="39">B117-B115</f>
        <v>-20.066153723875679</v>
      </c>
      <c r="C118" s="188">
        <f t="shared" ca="1" si="39"/>
        <v>-21.200830412626267</v>
      </c>
      <c r="D118" s="188">
        <f t="shared" ca="1" si="39"/>
        <v>-20.52412039945564</v>
      </c>
      <c r="E118" s="188">
        <f t="shared" ca="1" si="39"/>
        <v>-20.096411916554988</v>
      </c>
      <c r="F118" s="188">
        <f t="shared" ca="1" si="39"/>
        <v>-20.199130393130442</v>
      </c>
      <c r="G118" s="188">
        <f t="shared" ca="1" si="39"/>
        <v>-19.769932384777071</v>
      </c>
      <c r="H118" s="188">
        <f t="shared" ca="1" si="39"/>
        <v>-19.748645816461543</v>
      </c>
      <c r="I118" s="188">
        <f t="shared" ca="1" si="39"/>
        <v>-19.769932384777071</v>
      </c>
      <c r="J118" s="188">
        <f t="shared" ca="1" si="39"/>
        <v>-21.409493048266363</v>
      </c>
      <c r="K118" s="188">
        <f t="shared" ca="1" si="39"/>
        <v>-19.836939541010789</v>
      </c>
      <c r="L118" s="188">
        <f t="shared" ca="1" si="39"/>
        <v>-20.011031357211451</v>
      </c>
      <c r="M118" s="188">
        <f t="shared" ca="1" si="39"/>
        <v>-20.011031357211451</v>
      </c>
      <c r="N118" s="188">
        <f t="shared" ca="1" si="39"/>
        <v>-19.750226217726865</v>
      </c>
      <c r="O118" s="188">
        <f t="shared" ca="1" si="39"/>
        <v>-21.301833235104883</v>
      </c>
      <c r="P118" s="188">
        <f t="shared" ca="1" si="39"/>
        <v>-21.409493048266363</v>
      </c>
      <c r="Q118" s="188">
        <f t="shared" ca="1" si="39"/>
        <v>-21.301833235104883</v>
      </c>
      <c r="R118" s="188">
        <f t="shared" ca="1" si="39"/>
        <v>-21.301833235104883</v>
      </c>
      <c r="S118" s="188">
        <f t="shared" ca="1" si="39"/>
        <v>-21.409493048266363</v>
      </c>
      <c r="T118" s="188">
        <f t="shared" ca="1" si="39"/>
        <v>-21.524349608112029</v>
      </c>
      <c r="U118" s="188">
        <f t="shared" ca="1" si="39"/>
        <v>-20.469064398384099</v>
      </c>
      <c r="V118" s="188">
        <f t="shared" ca="1" si="39"/>
        <v>-20.237713121154094</v>
      </c>
      <c r="W118" s="188">
        <f t="shared" ca="1" si="39"/>
        <v>-21.647002643532225</v>
      </c>
      <c r="X118" s="188">
        <f t="shared" ca="1" si="39"/>
        <v>-20.582532067259152</v>
      </c>
      <c r="Y118" s="188">
        <f t="shared" ca="1" si="39"/>
        <v>-21.647002643532225</v>
      </c>
      <c r="Z118" s="265">
        <f ca="1">Z115-Z117</f>
        <v>27126.433847954748</v>
      </c>
    </row>
    <row r="119" spans="1:29" x14ac:dyDescent="0.25">
      <c r="A119" s="183" t="str">
        <f>Economics!A37</f>
        <v>GT 1</v>
      </c>
      <c r="B119" s="181">
        <f t="shared" ref="B119:Y119" si="40">B44</f>
        <v>10</v>
      </c>
      <c r="C119" s="181">
        <f t="shared" si="40"/>
        <v>10</v>
      </c>
      <c r="D119" s="181">
        <f t="shared" si="40"/>
        <v>10</v>
      </c>
      <c r="E119" s="181">
        <f>E44</f>
        <v>10</v>
      </c>
      <c r="F119" s="181">
        <f t="shared" si="40"/>
        <v>10</v>
      </c>
      <c r="G119" s="181">
        <f t="shared" si="40"/>
        <v>10</v>
      </c>
      <c r="H119" s="181">
        <f t="shared" si="40"/>
        <v>10</v>
      </c>
      <c r="I119" s="181">
        <f t="shared" si="40"/>
        <v>10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80</v>
      </c>
      <c r="AA119" s="323" t="s">
        <v>174</v>
      </c>
    </row>
    <row r="120" spans="1:29" x14ac:dyDescent="0.25">
      <c r="A120" s="185">
        <f>Economics!$I37</f>
        <v>1.96</v>
      </c>
      <c r="B120" s="189">
        <f t="shared" ref="B120:Y120" ca="1" si="41">IndGencost(B119,OFFSET(HeatRateStart,1,MATCH($A119,HeatRateNames,0)-1,250,1),$A120)</f>
        <v>48.053575735254292</v>
      </c>
      <c r="C120" s="189">
        <f t="shared" ca="1" si="41"/>
        <v>48.053575735254292</v>
      </c>
      <c r="D120" s="189">
        <f t="shared" ca="1" si="41"/>
        <v>48.053575735254292</v>
      </c>
      <c r="E120" s="189">
        <f ca="1">IndGencost(E119,OFFSET(HeatRateStart,1,MATCH($A119,HeatRateNames,0)-1,250,1),$A120)</f>
        <v>48.053575735254292</v>
      </c>
      <c r="F120" s="189">
        <f t="shared" ca="1" si="41"/>
        <v>48.053575735254292</v>
      </c>
      <c r="G120" s="189">
        <f t="shared" ca="1" si="41"/>
        <v>48.053575735254292</v>
      </c>
      <c r="H120" s="189">
        <f t="shared" ca="1" si="41"/>
        <v>48.053575735254292</v>
      </c>
      <c r="I120" s="189">
        <f t="shared" ca="1" si="41"/>
        <v>48.053575735254292</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3844.2860588203434</v>
      </c>
      <c r="AA120" s="323" t="s">
        <v>167</v>
      </c>
    </row>
    <row r="121" spans="1:29" x14ac:dyDescent="0.25">
      <c r="A121" s="184" t="s">
        <v>163</v>
      </c>
      <c r="B121" s="186">
        <f t="shared" ref="B121:Y121" si="42">B119</f>
        <v>10</v>
      </c>
      <c r="C121" s="186">
        <f t="shared" si="42"/>
        <v>10</v>
      </c>
      <c r="D121" s="186">
        <f t="shared" si="42"/>
        <v>10</v>
      </c>
      <c r="E121" s="186">
        <f t="shared" si="42"/>
        <v>10</v>
      </c>
      <c r="F121" s="186">
        <f t="shared" si="42"/>
        <v>10</v>
      </c>
      <c r="G121" s="186">
        <f t="shared" si="42"/>
        <v>10</v>
      </c>
      <c r="H121" s="186">
        <f t="shared" si="42"/>
        <v>10</v>
      </c>
      <c r="I121" s="186">
        <f t="shared" si="42"/>
        <v>10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80</v>
      </c>
    </row>
    <row r="122" spans="1:29" x14ac:dyDescent="0.25">
      <c r="A122" s="182"/>
      <c r="B122" s="190">
        <f t="shared" ref="B122:Y122" ca="1" si="43">IndGencost(B121,OFFSET(HeatRateStart,1,MATCH($A119,HeatRateNames,0)-1,250,1),$A120)</f>
        <v>48.053575735254292</v>
      </c>
      <c r="C122" s="190">
        <f t="shared" ca="1" si="43"/>
        <v>48.053575735254292</v>
      </c>
      <c r="D122" s="190">
        <f t="shared" ca="1" si="43"/>
        <v>48.053575735254292</v>
      </c>
      <c r="E122" s="190">
        <f ca="1">IndGencost(E121,OFFSET(HeatRateStart,1,MATCH($A119,HeatRateNames,0)-1,250,1),$A120)</f>
        <v>48.053575735254292</v>
      </c>
      <c r="F122" s="190">
        <f t="shared" ca="1" si="43"/>
        <v>48.053575735254292</v>
      </c>
      <c r="G122" s="190">
        <f t="shared" ca="1" si="43"/>
        <v>48.053575735254292</v>
      </c>
      <c r="H122" s="190">
        <f t="shared" ca="1" si="43"/>
        <v>48.053575735254292</v>
      </c>
      <c r="I122" s="190">
        <f t="shared" ca="1" si="43"/>
        <v>48.053575735254292</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3844.2860588203434</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10</v>
      </c>
      <c r="C124" s="181">
        <f t="shared" si="45"/>
        <v>10</v>
      </c>
      <c r="D124" s="181">
        <f t="shared" si="45"/>
        <v>9</v>
      </c>
      <c r="E124" s="181">
        <f>E45</f>
        <v>10</v>
      </c>
      <c r="F124" s="181">
        <f t="shared" si="45"/>
        <v>10</v>
      </c>
      <c r="G124" s="181">
        <f t="shared" si="45"/>
        <v>10</v>
      </c>
      <c r="H124" s="181">
        <f t="shared" si="45"/>
        <v>10</v>
      </c>
      <c r="I124" s="181">
        <f t="shared" si="45"/>
        <v>10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79</v>
      </c>
      <c r="AA124" s="323" t="s">
        <v>174</v>
      </c>
    </row>
    <row r="125" spans="1:29" x14ac:dyDescent="0.25">
      <c r="A125" s="185">
        <f>Economics!$I38</f>
        <v>1.96</v>
      </c>
      <c r="B125" s="189">
        <f t="shared" ref="B125:Y125" ca="1" si="46">IndGencost(B124,OFFSET(HeatRateStart,1,MATCH($A124,HeatRateNames,0)-1,250,1),$A125)</f>
        <v>48.053575735254292</v>
      </c>
      <c r="C125" s="189">
        <f t="shared" ca="1" si="46"/>
        <v>48.053575735254292</v>
      </c>
      <c r="D125" s="189">
        <f t="shared" ca="1" si="46"/>
        <v>51.236534566092281</v>
      </c>
      <c r="E125" s="189">
        <f ca="1">IndGencost(E124,OFFSET(HeatRateStart,1,MATCH($A124,HeatRateNames,0)-1,250,1),$A125)</f>
        <v>48.053575735254292</v>
      </c>
      <c r="F125" s="189">
        <f t="shared" ca="1" si="46"/>
        <v>48.053575735254292</v>
      </c>
      <c r="G125" s="189">
        <f t="shared" ca="1" si="46"/>
        <v>48.053575735254292</v>
      </c>
      <c r="H125" s="189">
        <f t="shared" ca="1" si="46"/>
        <v>48.053575735254292</v>
      </c>
      <c r="I125" s="189">
        <f t="shared" ca="1" si="46"/>
        <v>48.053575735254292</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3824.8791125626312</v>
      </c>
      <c r="AA125" s="323" t="s">
        <v>167</v>
      </c>
    </row>
    <row r="126" spans="1:29" x14ac:dyDescent="0.25">
      <c r="A126" s="184" t="s">
        <v>163</v>
      </c>
      <c r="B126" s="186">
        <f t="shared" ref="B126:Y126" si="47">B124</f>
        <v>10</v>
      </c>
      <c r="C126" s="186">
        <f t="shared" si="47"/>
        <v>10</v>
      </c>
      <c r="D126" s="186">
        <f t="shared" si="47"/>
        <v>9</v>
      </c>
      <c r="E126" s="186">
        <f t="shared" si="47"/>
        <v>10</v>
      </c>
      <c r="F126" s="186">
        <f t="shared" si="47"/>
        <v>10</v>
      </c>
      <c r="G126" s="186">
        <f t="shared" si="47"/>
        <v>10</v>
      </c>
      <c r="H126" s="186">
        <f t="shared" si="47"/>
        <v>10</v>
      </c>
      <c r="I126" s="186">
        <f t="shared" si="47"/>
        <v>10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79</v>
      </c>
    </row>
    <row r="127" spans="1:29" x14ac:dyDescent="0.25">
      <c r="A127" s="182"/>
      <c r="B127" s="190">
        <f t="shared" ref="B127:Y127" ca="1" si="48">IndGencost(B126,OFFSET(HeatRateStart,1,MATCH($A124,HeatRateNames,0)-1,250,1),$A125)</f>
        <v>48.053575735254292</v>
      </c>
      <c r="C127" s="190">
        <f t="shared" ca="1" si="48"/>
        <v>48.053575735254292</v>
      </c>
      <c r="D127" s="190">
        <f t="shared" ca="1" si="48"/>
        <v>51.236534566092281</v>
      </c>
      <c r="E127" s="190">
        <f ca="1">IndGencost(E126,OFFSET(HeatRateStart,1,MATCH($A124,HeatRateNames,0)-1,250,1),$A125)</f>
        <v>48.053575735254292</v>
      </c>
      <c r="F127" s="190">
        <f t="shared" ca="1" si="48"/>
        <v>48.053575735254292</v>
      </c>
      <c r="G127" s="190">
        <f t="shared" ca="1" si="48"/>
        <v>48.053575735254292</v>
      </c>
      <c r="H127" s="190">
        <f t="shared" ca="1" si="48"/>
        <v>48.053575735254292</v>
      </c>
      <c r="I127" s="190">
        <f t="shared" ca="1" si="48"/>
        <v>48.053575735254292</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3824.8791125626312</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174</v>
      </c>
      <c r="K139" s="181">
        <f t="shared" si="59"/>
        <v>177</v>
      </c>
      <c r="L139" s="181">
        <f t="shared" si="59"/>
        <v>212</v>
      </c>
      <c r="M139" s="181">
        <f t="shared" si="59"/>
        <v>216</v>
      </c>
      <c r="N139" s="181">
        <f t="shared" si="59"/>
        <v>216</v>
      </c>
      <c r="O139" s="181">
        <f t="shared" si="59"/>
        <v>207</v>
      </c>
      <c r="P139" s="181">
        <f t="shared" si="59"/>
        <v>182</v>
      </c>
      <c r="Q139" s="181">
        <f t="shared" si="59"/>
        <v>104</v>
      </c>
      <c r="R139" s="181">
        <f t="shared" si="59"/>
        <v>153</v>
      </c>
      <c r="S139" s="181">
        <f t="shared" si="59"/>
        <v>139</v>
      </c>
      <c r="T139" s="181">
        <f t="shared" si="59"/>
        <v>130</v>
      </c>
      <c r="U139" s="181">
        <f t="shared" si="59"/>
        <v>202</v>
      </c>
      <c r="V139" s="181">
        <f t="shared" si="59"/>
        <v>214</v>
      </c>
      <c r="W139" s="181">
        <f t="shared" si="59"/>
        <v>172</v>
      </c>
      <c r="X139" s="181">
        <f t="shared" si="59"/>
        <v>173</v>
      </c>
      <c r="Y139" s="181">
        <f t="shared" si="59"/>
        <v>173</v>
      </c>
      <c r="Z139" s="224">
        <f>SUM(B139:Y139)</f>
        <v>2844</v>
      </c>
      <c r="AA139" s="323"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18.387126533174222</v>
      </c>
      <c r="K140" s="189">
        <f t="shared" ca="1" si="60"/>
        <v>18.340823835301684</v>
      </c>
      <c r="L140" s="189">
        <f t="shared" ca="1" si="60"/>
        <v>17.9872609980814</v>
      </c>
      <c r="M140" s="189" t="str">
        <f t="shared" ca="1" si="60"/>
        <v>Error - No HeatRate</v>
      </c>
      <c r="N140" s="189" t="str">
        <f t="shared" ca="1" si="60"/>
        <v>Error - No HeatRate</v>
      </c>
      <c r="O140" s="189">
        <f t="shared" ca="1" si="60"/>
        <v>18.020076533067904</v>
      </c>
      <c r="P140" s="189">
        <f t="shared" ca="1" si="60"/>
        <v>18.270190998972605</v>
      </c>
      <c r="Q140" s="189">
        <f t="shared" ca="1" si="60"/>
        <v>20.929247500263596</v>
      </c>
      <c r="R140" s="189">
        <f t="shared" ca="1" si="60"/>
        <v>18.809243398667665</v>
      </c>
      <c r="S140" s="189">
        <f t="shared" ca="1" si="60"/>
        <v>19.211977082076</v>
      </c>
      <c r="T140" s="189">
        <f t="shared" ca="1" si="60"/>
        <v>19.539476861830234</v>
      </c>
      <c r="U140" s="189">
        <f t="shared" ca="1" si="60"/>
        <v>18.058059954508845</v>
      </c>
      <c r="V140" s="189">
        <f t="shared" ca="1" si="60"/>
        <v>17.9755006516469</v>
      </c>
      <c r="W140" s="189">
        <f t="shared" ca="1" si="60"/>
        <v>18.419724613940186</v>
      </c>
      <c r="X140" s="189">
        <f t="shared" ca="1" si="60"/>
        <v>18.403248612894419</v>
      </c>
      <c r="Y140" s="189">
        <f t="shared" ca="1" si="60"/>
        <v>18.403248612894419</v>
      </c>
      <c r="Z140" s="264" t="e">
        <f t="array" aca="1" ref="Z140" ca="1">SUM(B139:Y139*B140:Y140)</f>
        <v>#VALUE!</v>
      </c>
      <c r="AA140" s="323"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1.8569089186562771</v>
      </c>
      <c r="K143" s="188">
        <f t="shared" ca="1" si="62"/>
        <v>1.9032116165288144</v>
      </c>
      <c r="L143" s="188">
        <f t="shared" ca="1" si="62"/>
        <v>2.2567744537490988</v>
      </c>
      <c r="M143" s="188" t="e">
        <f t="shared" ca="1" si="62"/>
        <v>#VALUE!</v>
      </c>
      <c r="N143" s="188" t="e">
        <f t="shared" ca="1" si="62"/>
        <v>#VALUE!</v>
      </c>
      <c r="O143" s="188">
        <f t="shared" ca="1" si="62"/>
        <v>2.2239589187625945</v>
      </c>
      <c r="P143" s="188">
        <f t="shared" ca="1" si="62"/>
        <v>1.9738444528578931</v>
      </c>
      <c r="Q143" s="188">
        <f t="shared" ca="1" si="62"/>
        <v>-0.68521204843309746</v>
      </c>
      <c r="R143" s="188">
        <f t="shared" ca="1" si="62"/>
        <v>1.434792053162834</v>
      </c>
      <c r="S143" s="188">
        <f t="shared" ca="1" si="62"/>
        <v>1.0320583697544983</v>
      </c>
      <c r="T143" s="188">
        <f t="shared" ca="1" si="62"/>
        <v>-1.307975827806068</v>
      </c>
      <c r="U143" s="188">
        <f t="shared" ca="1" si="62"/>
        <v>0.17344107951532095</v>
      </c>
      <c r="V143" s="188">
        <f t="shared" ca="1" si="62"/>
        <v>0.47826271104332463</v>
      </c>
      <c r="W143" s="188">
        <f t="shared" ca="1" si="62"/>
        <v>0.12578233882438994</v>
      </c>
      <c r="X143" s="188">
        <f t="shared" ca="1" si="62"/>
        <v>0.62186674255888619</v>
      </c>
      <c r="Y143" s="188">
        <f t="shared" ca="1" si="62"/>
        <v>0.62186674255888619</v>
      </c>
      <c r="Z143" s="265" t="e">
        <f ca="1">Z140-Z142</f>
        <v>#VALUE!</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5">
      <c r="A154" s="183" t="str">
        <f>Economics!A44</f>
        <v>Rio Grande 7</v>
      </c>
      <c r="B154" s="181">
        <f t="shared" ref="B154:Y154" si="72">B51</f>
        <v>29</v>
      </c>
      <c r="C154" s="181">
        <f t="shared" si="72"/>
        <v>29</v>
      </c>
      <c r="D154" s="181">
        <f t="shared" si="72"/>
        <v>29</v>
      </c>
      <c r="E154" s="181">
        <f>E51</f>
        <v>29</v>
      </c>
      <c r="F154" s="181">
        <f t="shared" si="72"/>
        <v>29</v>
      </c>
      <c r="G154" s="181">
        <f t="shared" si="72"/>
        <v>30</v>
      </c>
      <c r="H154" s="181">
        <f t="shared" si="72"/>
        <v>37</v>
      </c>
      <c r="I154" s="181">
        <f t="shared" si="72"/>
        <v>37</v>
      </c>
      <c r="J154" s="181">
        <f t="shared" si="72"/>
        <v>35</v>
      </c>
      <c r="K154" s="181">
        <f t="shared" si="72"/>
        <v>36</v>
      </c>
      <c r="L154" s="181">
        <f t="shared" si="72"/>
        <v>36</v>
      </c>
      <c r="M154" s="181">
        <f t="shared" si="72"/>
        <v>36</v>
      </c>
      <c r="N154" s="181">
        <f t="shared" si="72"/>
        <v>36</v>
      </c>
      <c r="O154" s="181">
        <f t="shared" si="72"/>
        <v>36</v>
      </c>
      <c r="P154" s="181">
        <f t="shared" si="72"/>
        <v>37</v>
      </c>
      <c r="Q154" s="181">
        <f t="shared" si="72"/>
        <v>36</v>
      </c>
      <c r="R154" s="181">
        <f t="shared" si="72"/>
        <v>35</v>
      </c>
      <c r="S154" s="181">
        <f t="shared" si="72"/>
        <v>37</v>
      </c>
      <c r="T154" s="181">
        <f t="shared" si="72"/>
        <v>37</v>
      </c>
      <c r="U154" s="181">
        <f t="shared" si="72"/>
        <v>37</v>
      </c>
      <c r="V154" s="181">
        <f t="shared" si="72"/>
        <v>37</v>
      </c>
      <c r="W154" s="181">
        <f t="shared" si="72"/>
        <v>37</v>
      </c>
      <c r="X154" s="181">
        <f t="shared" si="72"/>
        <v>37</v>
      </c>
      <c r="Y154" s="181">
        <f t="shared" si="72"/>
        <v>37</v>
      </c>
      <c r="Z154" s="224">
        <f>SUM(B154:Y154)</f>
        <v>831</v>
      </c>
      <c r="AA154" s="323" t="s">
        <v>178</v>
      </c>
    </row>
    <row r="155" spans="1:27" x14ac:dyDescent="0.25">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22.287926284694674</v>
      </c>
      <c r="H155" s="189">
        <f t="shared" ca="1" si="73"/>
        <v>22.283142670296524</v>
      </c>
      <c r="I155" s="189">
        <f t="shared" ca="1" si="73"/>
        <v>22.283142670296524</v>
      </c>
      <c r="J155" s="189">
        <f t="shared" ca="1" si="73"/>
        <v>22.2326935583915</v>
      </c>
      <c r="K155" s="189">
        <f t="shared" ca="1" si="73"/>
        <v>22.253600126104356</v>
      </c>
      <c r="L155" s="189">
        <f t="shared" ca="1" si="73"/>
        <v>22.253600126104356</v>
      </c>
      <c r="M155" s="189">
        <f t="shared" ca="1" si="73"/>
        <v>22.253600126104356</v>
      </c>
      <c r="N155" s="189">
        <f t="shared" ca="1" si="73"/>
        <v>22.253600126104356</v>
      </c>
      <c r="O155" s="189">
        <f t="shared" ca="1" si="73"/>
        <v>22.253600126104356</v>
      </c>
      <c r="P155" s="189">
        <f t="shared" ca="1" si="73"/>
        <v>22.283142670296524</v>
      </c>
      <c r="Q155" s="189">
        <f t="shared" ca="1" si="73"/>
        <v>22.253600126104356</v>
      </c>
      <c r="R155" s="189">
        <f t="shared" ca="1" si="73"/>
        <v>22.2326935583915</v>
      </c>
      <c r="S155" s="189">
        <f t="shared" ca="1" si="73"/>
        <v>22.283142670296524</v>
      </c>
      <c r="T155" s="189">
        <f t="shared" ca="1" si="73"/>
        <v>22.283142670296524</v>
      </c>
      <c r="U155" s="189">
        <f t="shared" ca="1" si="73"/>
        <v>22.283142670296524</v>
      </c>
      <c r="V155" s="189">
        <f t="shared" ca="1" si="73"/>
        <v>22.283142670296524</v>
      </c>
      <c r="W155" s="189">
        <f t="shared" ca="1" si="73"/>
        <v>22.283142670296524</v>
      </c>
      <c r="X155" s="189">
        <f t="shared" ca="1" si="73"/>
        <v>22.283142670296524</v>
      </c>
      <c r="Y155" s="189">
        <f t="shared" ca="1" si="73"/>
        <v>22.283142670296524</v>
      </c>
      <c r="Z155" s="264">
        <f t="array" aca="1" ref="Z155" ca="1">SUM(B154:Y154*B155:Y155)</f>
        <v>18515.569373555252</v>
      </c>
      <c r="AA155" s="323"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-22.287926284694674</v>
      </c>
      <c r="H158" s="188">
        <f t="shared" ca="1" si="75"/>
        <v>-22.283142670296524</v>
      </c>
      <c r="I158" s="188">
        <f t="shared" ca="1" si="75"/>
        <v>-22.283142670296524</v>
      </c>
      <c r="J158" s="188">
        <f t="shared" ca="1" si="75"/>
        <v>-22.2326935583915</v>
      </c>
      <c r="K158" s="188">
        <f t="shared" ca="1" si="75"/>
        <v>-22.253600126104356</v>
      </c>
      <c r="L158" s="188">
        <f t="shared" ca="1" si="75"/>
        <v>-22.253600126104356</v>
      </c>
      <c r="M158" s="188">
        <f t="shared" ca="1" si="75"/>
        <v>-22.253600126104356</v>
      </c>
      <c r="N158" s="188">
        <f t="shared" ca="1" si="75"/>
        <v>-22.253600126104356</v>
      </c>
      <c r="O158" s="188">
        <f t="shared" ca="1" si="75"/>
        <v>-22.253600126104356</v>
      </c>
      <c r="P158" s="188">
        <f t="shared" ca="1" si="75"/>
        <v>-22.283142670296524</v>
      </c>
      <c r="Q158" s="188">
        <f t="shared" ca="1" si="75"/>
        <v>-22.253600126104356</v>
      </c>
      <c r="R158" s="188">
        <f t="shared" ca="1" si="75"/>
        <v>-22.2326935583915</v>
      </c>
      <c r="S158" s="188">
        <f t="shared" ca="1" si="75"/>
        <v>-22.283142670296524</v>
      </c>
      <c r="T158" s="188">
        <f t="shared" ca="1" si="75"/>
        <v>-22.283142670296524</v>
      </c>
      <c r="U158" s="188">
        <f t="shared" ca="1" si="75"/>
        <v>-22.283142670296524</v>
      </c>
      <c r="V158" s="188">
        <f t="shared" ca="1" si="75"/>
        <v>-22.283142670296524</v>
      </c>
      <c r="W158" s="188">
        <f t="shared" ca="1" si="75"/>
        <v>-22.283142670296524</v>
      </c>
      <c r="X158" s="188">
        <f t="shared" ca="1" si="75"/>
        <v>-22.283142670296524</v>
      </c>
      <c r="Y158" s="188">
        <f t="shared" ca="1" si="75"/>
        <v>-22.283142670296524</v>
      </c>
      <c r="Z158" s="265">
        <f ca="1">Z155-Z157</f>
        <v>18515.569373555252</v>
      </c>
    </row>
    <row r="159" spans="1:27" x14ac:dyDescent="0.25">
      <c r="A159" s="183" t="str">
        <f>Economics!A45</f>
        <v>Rio Grande 8</v>
      </c>
      <c r="B159" s="181">
        <f t="shared" ref="B159:Y159" si="76">B52</f>
        <v>101</v>
      </c>
      <c r="C159" s="181">
        <f t="shared" si="76"/>
        <v>92</v>
      </c>
      <c r="D159" s="181">
        <f t="shared" si="76"/>
        <v>95</v>
      </c>
      <c r="E159" s="181">
        <f>E52</f>
        <v>101</v>
      </c>
      <c r="F159" s="181">
        <f t="shared" si="76"/>
        <v>99</v>
      </c>
      <c r="G159" s="181">
        <f t="shared" si="76"/>
        <v>119</v>
      </c>
      <c r="H159" s="181">
        <f t="shared" si="76"/>
        <v>112</v>
      </c>
      <c r="I159" s="181">
        <f t="shared" si="76"/>
        <v>118</v>
      </c>
      <c r="J159" s="181">
        <f t="shared" si="76"/>
        <v>88</v>
      </c>
      <c r="K159" s="181">
        <f t="shared" si="76"/>
        <v>101</v>
      </c>
      <c r="L159" s="181">
        <f t="shared" si="76"/>
        <v>102</v>
      </c>
      <c r="M159" s="181">
        <f t="shared" si="76"/>
        <v>102</v>
      </c>
      <c r="N159" s="181">
        <f t="shared" si="76"/>
        <v>118</v>
      </c>
      <c r="O159" s="181">
        <f t="shared" si="76"/>
        <v>105</v>
      </c>
      <c r="P159" s="181">
        <f t="shared" si="76"/>
        <v>128</v>
      </c>
      <c r="Q159" s="181">
        <f t="shared" si="76"/>
        <v>128</v>
      </c>
      <c r="R159" s="181">
        <f t="shared" si="76"/>
        <v>92</v>
      </c>
      <c r="S159" s="181">
        <f t="shared" si="76"/>
        <v>128</v>
      </c>
      <c r="T159" s="181">
        <f t="shared" si="76"/>
        <v>122</v>
      </c>
      <c r="U159" s="181">
        <f t="shared" si="76"/>
        <v>97</v>
      </c>
      <c r="V159" s="181">
        <f t="shared" si="76"/>
        <v>99</v>
      </c>
      <c r="W159" s="181">
        <f t="shared" si="76"/>
        <v>86</v>
      </c>
      <c r="X159" s="181">
        <f t="shared" si="76"/>
        <v>94</v>
      </c>
      <c r="Y159" s="181">
        <f t="shared" si="76"/>
        <v>83</v>
      </c>
      <c r="Z159" s="224">
        <f>SUM(B159:Y159)</f>
        <v>2510</v>
      </c>
      <c r="AA159" s="323" t="s">
        <v>178</v>
      </c>
    </row>
    <row r="160" spans="1:27" x14ac:dyDescent="0.25">
      <c r="A160" s="185">
        <f>Economics!$I45</f>
        <v>2.09</v>
      </c>
      <c r="B160" s="189">
        <f t="shared" ref="B160:Y160" ca="1" si="77">IndGencost(B159,OFFSET(HeatRateStart,1,MATCH($A159,HeatRateNames,0)-1,250,1),$A160)</f>
        <v>21.324920955925887</v>
      </c>
      <c r="C160" s="189">
        <f t="shared" ca="1" si="77"/>
        <v>21.242077605905742</v>
      </c>
      <c r="D160" s="189">
        <f t="shared" ca="1" si="77"/>
        <v>21.265694126675005</v>
      </c>
      <c r="E160" s="189">
        <f ca="1">IndGencost(E159,OFFSET(HeatRateStart,1,MATCH($A159,HeatRateNames,0)-1,250,1),$A160)</f>
        <v>21.324920955925887</v>
      </c>
      <c r="F160" s="189">
        <f t="shared" ca="1" si="77"/>
        <v>21.303527458454621</v>
      </c>
      <c r="G160" s="189">
        <f t="shared" ca="1" si="77"/>
        <v>21.576781508857461</v>
      </c>
      <c r="H160" s="189">
        <f t="shared" ca="1" si="77"/>
        <v>21.467620725525276</v>
      </c>
      <c r="I160" s="189">
        <f t="shared" ca="1" si="77"/>
        <v>21.560439114570617</v>
      </c>
      <c r="J160" s="189">
        <f t="shared" ca="1" si="77"/>
        <v>21.217726628644897</v>
      </c>
      <c r="K160" s="189">
        <f t="shared" ca="1" si="77"/>
        <v>21.324920955925887</v>
      </c>
      <c r="L160" s="189">
        <f t="shared" ca="1" si="77"/>
        <v>21.336194417897392</v>
      </c>
      <c r="M160" s="189">
        <f t="shared" ca="1" si="77"/>
        <v>21.336194417897392</v>
      </c>
      <c r="N160" s="189">
        <f t="shared" ca="1" si="77"/>
        <v>21.560439114570617</v>
      </c>
      <c r="O160" s="189">
        <f t="shared" ca="1" si="77"/>
        <v>21.372189836587221</v>
      </c>
      <c r="P160" s="189">
        <f t="shared" ca="1" si="77"/>
        <v>21.733680513706059</v>
      </c>
      <c r="Q160" s="189">
        <f t="shared" ca="1" si="77"/>
        <v>21.733680513706059</v>
      </c>
      <c r="R160" s="189">
        <f t="shared" ca="1" si="77"/>
        <v>21.242077605905742</v>
      </c>
      <c r="S160" s="189">
        <f t="shared" ca="1" si="77"/>
        <v>21.733680513706059</v>
      </c>
      <c r="T160" s="189">
        <f t="shared" ca="1" si="77"/>
        <v>21.627182062649332</v>
      </c>
      <c r="U160" s="189">
        <f t="shared" ca="1" si="77"/>
        <v>21.283751136242724</v>
      </c>
      <c r="V160" s="189">
        <f t="shared" ca="1" si="77"/>
        <v>21.303527458454621</v>
      </c>
      <c r="W160" s="189">
        <f t="shared" ca="1" si="77"/>
        <v>21.20893029179684</v>
      </c>
      <c r="X160" s="189">
        <f t="shared" ca="1" si="77"/>
        <v>21.257344658932791</v>
      </c>
      <c r="Y160" s="189">
        <f t="shared" ca="1" si="77"/>
        <v>21.20041774381356</v>
      </c>
      <c r="Z160" s="264">
        <f t="array" aca="1" ref="Z160" ca="1">SUM(B159:Y159*B160:Y160)</f>
        <v>53762.996862097985</v>
      </c>
      <c r="AA160" s="323"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165</v>
      </c>
      <c r="B163" s="188">
        <f t="shared" ref="B163:Y163" ca="1" si="79">B162-B160</f>
        <v>0.19618137454590112</v>
      </c>
      <c r="C163" s="188">
        <f t="shared" ca="1" si="79"/>
        <v>0.27902472456604599</v>
      </c>
      <c r="D163" s="188">
        <f t="shared" ca="1" si="79"/>
        <v>0.25540820379678308</v>
      </c>
      <c r="E163" s="188">
        <f t="shared" ca="1" si="79"/>
        <v>0.19618137454590112</v>
      </c>
      <c r="F163" s="188">
        <f t="shared" ca="1" si="79"/>
        <v>5.5489741310985607E-3</v>
      </c>
      <c r="G163" s="188">
        <f t="shared" ca="1" si="79"/>
        <v>-0.36683537989303971</v>
      </c>
      <c r="H163" s="188">
        <f t="shared" ca="1" si="79"/>
        <v>5.3481604946512107E-2</v>
      </c>
      <c r="I163" s="188">
        <f t="shared" ca="1" si="79"/>
        <v>-3.9336784098829014E-2</v>
      </c>
      <c r="J163" s="188">
        <f t="shared" ca="1" si="79"/>
        <v>0.30337570182689078</v>
      </c>
      <c r="K163" s="188">
        <f t="shared" ca="1" si="79"/>
        <v>0.19618137454590112</v>
      </c>
      <c r="L163" s="188">
        <f t="shared" ca="1" si="79"/>
        <v>0.18490791257439554</v>
      </c>
      <c r="M163" s="188">
        <f t="shared" ca="1" si="79"/>
        <v>0.18490791257439554</v>
      </c>
      <c r="N163" s="188">
        <f t="shared" ca="1" si="79"/>
        <v>-3.9336784098829014E-2</v>
      </c>
      <c r="O163" s="188">
        <f t="shared" ca="1" si="79"/>
        <v>0.14891249388456629</v>
      </c>
      <c r="P163" s="188">
        <f t="shared" ca="1" si="79"/>
        <v>-0.21257818323427102</v>
      </c>
      <c r="Q163" s="188">
        <f t="shared" ca="1" si="79"/>
        <v>-0.21257818323427102</v>
      </c>
      <c r="R163" s="188">
        <f t="shared" ca="1" si="79"/>
        <v>0.27902472456604599</v>
      </c>
      <c r="S163" s="188">
        <f t="shared" ca="1" si="79"/>
        <v>-0.21257818323427102</v>
      </c>
      <c r="T163" s="188">
        <f t="shared" ca="1" si="79"/>
        <v>-0.42173558055894134</v>
      </c>
      <c r="U163" s="188">
        <f t="shared" ca="1" si="79"/>
        <v>0.15508798332167473</v>
      </c>
      <c r="V163" s="188">
        <f t="shared" ca="1" si="79"/>
        <v>-7.4701663598865764E-2</v>
      </c>
      <c r="W163" s="188">
        <f t="shared" ca="1" si="79"/>
        <v>0.10014614078887973</v>
      </c>
      <c r="X163" s="188">
        <f t="shared" ca="1" si="79"/>
        <v>0.26375767153899687</v>
      </c>
      <c r="Y163" s="188">
        <f t="shared" ca="1" si="79"/>
        <v>0.32068458665822774</v>
      </c>
      <c r="Z163" s="265">
        <f ca="1">Z160-Z162</f>
        <v>21637.470241407162</v>
      </c>
      <c r="AA163" s="267"/>
    </row>
    <row r="164" spans="1:27" s="274" customFormat="1" x14ac:dyDescent="0.25">
      <c r="A164" s="307" t="s">
        <v>182</v>
      </c>
      <c r="B164" s="308">
        <f t="shared" ref="B164:Y164" si="80">B159+B154+B149+B144+B139+B134+B129+B124+B119+B114+B109+B104+B101+B98+B95+B92+B89</f>
        <v>546</v>
      </c>
      <c r="C164" s="308">
        <f t="shared" si="80"/>
        <v>516</v>
      </c>
      <c r="D164" s="308">
        <f t="shared" si="80"/>
        <v>527</v>
      </c>
      <c r="E164" s="308">
        <f t="shared" si="80"/>
        <v>545</v>
      </c>
      <c r="F164" s="308">
        <f t="shared" si="80"/>
        <v>556</v>
      </c>
      <c r="G164" s="308">
        <f t="shared" si="80"/>
        <v>655</v>
      </c>
      <c r="H164" s="308">
        <f t="shared" si="80"/>
        <v>617</v>
      </c>
      <c r="I164" s="308">
        <f t="shared" si="80"/>
        <v>662</v>
      </c>
      <c r="J164" s="308">
        <f t="shared" si="80"/>
        <v>697</v>
      </c>
      <c r="K164" s="308">
        <f t="shared" si="80"/>
        <v>771</v>
      </c>
      <c r="L164" s="308">
        <f t="shared" si="80"/>
        <v>794</v>
      </c>
      <c r="M164" s="308" t="e">
        <f t="shared" si="80"/>
        <v>#REF!</v>
      </c>
      <c r="N164" s="308">
        <f t="shared" si="80"/>
        <v>773</v>
      </c>
      <c r="O164" s="308">
        <f t="shared" si="80"/>
        <v>714</v>
      </c>
      <c r="P164" s="308">
        <f t="shared" si="80"/>
        <v>715</v>
      </c>
      <c r="Q164" s="308">
        <f t="shared" si="80"/>
        <v>613</v>
      </c>
      <c r="R164" s="308">
        <f t="shared" si="80"/>
        <v>618</v>
      </c>
      <c r="S164" s="308">
        <f t="shared" si="80"/>
        <v>648</v>
      </c>
      <c r="T164" s="308">
        <f t="shared" si="80"/>
        <v>635</v>
      </c>
      <c r="U164" s="308">
        <f t="shared" si="80"/>
        <v>691</v>
      </c>
      <c r="V164" s="308">
        <f t="shared" si="80"/>
        <v>713</v>
      </c>
      <c r="W164" s="308">
        <f t="shared" si="80"/>
        <v>643</v>
      </c>
      <c r="X164" s="308">
        <f t="shared" si="80"/>
        <v>662</v>
      </c>
      <c r="Y164" s="309">
        <f t="shared" si="80"/>
        <v>637</v>
      </c>
      <c r="Z164" s="275"/>
      <c r="AA164" s="273"/>
    </row>
    <row r="165" spans="1:27" s="274" customFormat="1" ht="13.5" customHeight="1" thickBot="1" x14ac:dyDescent="0.3">
      <c r="A165" s="310" t="s">
        <v>183</v>
      </c>
      <c r="B165" s="311">
        <f t="shared" ref="B165:Y165" si="81">B161+B156+B151+B146+B141+B136+B131+B126+B121+B116+B111+B106+B102+B99+B96+B93+B90</f>
        <v>999</v>
      </c>
      <c r="C165" s="311">
        <f t="shared" si="81"/>
        <v>898</v>
      </c>
      <c r="D165" s="311">
        <f t="shared" si="81"/>
        <v>867</v>
      </c>
      <c r="E165" s="311">
        <f t="shared" si="81"/>
        <v>868</v>
      </c>
      <c r="F165" s="311">
        <f t="shared" si="81"/>
        <v>878</v>
      </c>
      <c r="G165" s="311">
        <f t="shared" si="81"/>
        <v>888</v>
      </c>
      <c r="H165" s="311">
        <f t="shared" si="81"/>
        <v>914</v>
      </c>
      <c r="I165" s="311">
        <f t="shared" si="81"/>
        <v>899</v>
      </c>
      <c r="J165" s="311">
        <f t="shared" si="81"/>
        <v>879</v>
      </c>
      <c r="K165" s="311">
        <f t="shared" si="81"/>
        <v>879</v>
      </c>
      <c r="L165" s="311">
        <f t="shared" si="81"/>
        <v>930</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909</v>
      </c>
      <c r="Y165" s="312">
        <f t="shared" si="81"/>
        <v>909</v>
      </c>
      <c r="Z165" s="276"/>
      <c r="AA165" s="174" t="e">
        <f ca="1">Z163+Z158+Z153+Z148+Z143+Z138+Z133+Z128+Z123+Z118+Z113+Z108+Z103+Z100+Z97+Z94+Z91</f>
        <v>#VALUE!</v>
      </c>
    </row>
    <row r="166" spans="1:27" x14ac:dyDescent="0.25">
      <c r="A166" s="335" t="s">
        <v>184</v>
      </c>
      <c r="B166" s="336">
        <f t="shared" ref="B166:Y166" si="82">B165-B164</f>
        <v>453</v>
      </c>
      <c r="C166" s="336">
        <f t="shared" si="82"/>
        <v>382</v>
      </c>
      <c r="D166" s="336">
        <f t="shared" si="82"/>
        <v>340</v>
      </c>
      <c r="E166" s="336">
        <f t="shared" si="82"/>
        <v>323</v>
      </c>
      <c r="F166" s="336">
        <f t="shared" si="82"/>
        <v>322</v>
      </c>
      <c r="G166" s="336">
        <f t="shared" si="82"/>
        <v>233</v>
      </c>
      <c r="H166" s="336">
        <f t="shared" si="82"/>
        <v>297</v>
      </c>
      <c r="I166" s="336">
        <f t="shared" si="82"/>
        <v>237</v>
      </c>
      <c r="J166" s="336">
        <f t="shared" si="82"/>
        <v>182</v>
      </c>
      <c r="K166" s="336">
        <f t="shared" si="82"/>
        <v>108</v>
      </c>
      <c r="L166" s="336">
        <f t="shared" si="82"/>
        <v>136</v>
      </c>
      <c r="M166" s="336" t="e">
        <f t="shared" si="82"/>
        <v>#REF!</v>
      </c>
      <c r="N166" s="336">
        <f t="shared" si="82"/>
        <v>157</v>
      </c>
      <c r="O166" s="336">
        <f t="shared" si="82"/>
        <v>216</v>
      </c>
      <c r="P166" s="336">
        <f t="shared" si="82"/>
        <v>215</v>
      </c>
      <c r="Q166" s="336">
        <f t="shared" si="82"/>
        <v>317</v>
      </c>
      <c r="R166" s="336">
        <f t="shared" si="82"/>
        <v>312</v>
      </c>
      <c r="S166" s="336">
        <f t="shared" si="82"/>
        <v>282</v>
      </c>
      <c r="T166" s="336">
        <f t="shared" si="82"/>
        <v>394</v>
      </c>
      <c r="U166" s="336">
        <f t="shared" si="82"/>
        <v>363</v>
      </c>
      <c r="V166" s="336">
        <f t="shared" si="82"/>
        <v>255</v>
      </c>
      <c r="W166" s="336">
        <f t="shared" si="82"/>
        <v>295</v>
      </c>
      <c r="X166" s="336">
        <f t="shared" si="82"/>
        <v>247</v>
      </c>
      <c r="Y166" s="337">
        <f t="shared" si="82"/>
        <v>272</v>
      </c>
      <c r="Z166" s="341" t="e">
        <f>SUM(B166:Y166)</f>
        <v>#REF!</v>
      </c>
    </row>
    <row r="167" spans="1:27" s="330" customFormat="1" ht="32.25" customHeight="1" thickBot="1" x14ac:dyDescent="0.3">
      <c r="A167" s="338" t="s">
        <v>185</v>
      </c>
      <c r="B167" s="339">
        <f t="shared" ref="B167:Y167" ca="1" si="83">B58</f>
        <v>1</v>
      </c>
      <c r="C167" s="339">
        <f t="shared" ca="1" si="83"/>
        <v>-3</v>
      </c>
      <c r="D167" s="339">
        <f t="shared" ca="1" si="83"/>
        <v>-5</v>
      </c>
      <c r="E167" s="339">
        <f ca="1">E58</f>
        <v>-8</v>
      </c>
      <c r="F167" s="339">
        <f t="shared" ca="1" si="83"/>
        <v>2</v>
      </c>
      <c r="G167" s="339">
        <f t="shared" ca="1" si="83"/>
        <v>-8</v>
      </c>
      <c r="H167" s="339">
        <f t="shared" ca="1" si="83"/>
        <v>-5</v>
      </c>
      <c r="I167" s="339">
        <f t="shared" ca="1" si="83"/>
        <v>-7</v>
      </c>
      <c r="J167" s="339">
        <f t="shared" ca="1" si="83"/>
        <v>-5</v>
      </c>
      <c r="K167" s="339">
        <f t="shared" ca="1" si="83"/>
        <v>-3</v>
      </c>
      <c r="L167" s="339">
        <f t="shared" ca="1" si="83"/>
        <v>-10</v>
      </c>
      <c r="M167" s="339">
        <f t="shared" ca="1" si="83"/>
        <v>-5</v>
      </c>
      <c r="N167" s="339">
        <f t="shared" ca="1" si="83"/>
        <v>-15</v>
      </c>
      <c r="O167" s="339">
        <f t="shared" ca="1" si="83"/>
        <v>-9</v>
      </c>
      <c r="P167" s="339">
        <f t="shared" ca="1" si="83"/>
        <v>5</v>
      </c>
      <c r="Q167" s="339">
        <f t="shared" ca="1" si="83"/>
        <v>2</v>
      </c>
      <c r="R167" s="339">
        <f t="shared" ca="1" si="83"/>
        <v>7</v>
      </c>
      <c r="S167" s="339">
        <f t="shared" ca="1" si="83"/>
        <v>53</v>
      </c>
      <c r="T167" s="339">
        <f t="shared" ca="1" si="83"/>
        <v>-5</v>
      </c>
      <c r="U167" s="339">
        <f t="shared" ca="1" si="83"/>
        <v>-6</v>
      </c>
      <c r="V167" s="339">
        <f t="shared" ca="1" si="83"/>
        <v>-2</v>
      </c>
      <c r="W167" s="339">
        <f t="shared" ca="1" si="83"/>
        <v>5</v>
      </c>
      <c r="X167" s="339">
        <f t="shared" ca="1" si="83"/>
        <v>9</v>
      </c>
      <c r="Y167" s="340">
        <f t="shared" ca="1" si="83"/>
        <v>0</v>
      </c>
      <c r="Z167" s="328">
        <f ca="1">SUM(B167:Y167)</f>
        <v>-12</v>
      </c>
      <c r="AA167" s="329"/>
    </row>
    <row r="168" spans="1:27" ht="13.8" hidden="1" thickBot="1" x14ac:dyDescent="0.3">
      <c r="A168" s="331" t="s">
        <v>186</v>
      </c>
      <c r="B168" s="332">
        <f t="shared" ref="B168:Y168" ca="1" si="84">B167+B166</f>
        <v>454</v>
      </c>
      <c r="C168" s="332">
        <f t="shared" ca="1" si="84"/>
        <v>379</v>
      </c>
      <c r="D168" s="332">
        <f t="shared" ca="1" si="84"/>
        <v>335</v>
      </c>
      <c r="E168" s="332">
        <f t="shared" ca="1" si="84"/>
        <v>315</v>
      </c>
      <c r="F168" s="332">
        <f t="shared" ca="1" si="84"/>
        <v>324</v>
      </c>
      <c r="G168" s="332">
        <f t="shared" ca="1" si="84"/>
        <v>225</v>
      </c>
      <c r="H168" s="332">
        <f t="shared" ca="1" si="84"/>
        <v>292</v>
      </c>
      <c r="I168" s="332">
        <f t="shared" ca="1" si="84"/>
        <v>230</v>
      </c>
      <c r="J168" s="332">
        <f t="shared" ca="1" si="84"/>
        <v>177</v>
      </c>
      <c r="K168" s="332">
        <f t="shared" ca="1" si="84"/>
        <v>105</v>
      </c>
      <c r="L168" s="332">
        <f t="shared" ca="1" si="84"/>
        <v>126</v>
      </c>
      <c r="M168" s="332" t="e">
        <f t="shared" ca="1" si="84"/>
        <v>#REF!</v>
      </c>
      <c r="N168" s="332">
        <f t="shared" ca="1" si="84"/>
        <v>142</v>
      </c>
      <c r="O168" s="332">
        <f t="shared" ca="1" si="84"/>
        <v>207</v>
      </c>
      <c r="P168" s="332">
        <f t="shared" ca="1" si="84"/>
        <v>220</v>
      </c>
      <c r="Q168" s="332">
        <f t="shared" ca="1" si="84"/>
        <v>319</v>
      </c>
      <c r="R168" s="332">
        <f t="shared" ca="1" si="84"/>
        <v>319</v>
      </c>
      <c r="S168" s="332">
        <f t="shared" ca="1" si="84"/>
        <v>335</v>
      </c>
      <c r="T168" s="332">
        <f t="shared" ca="1" si="84"/>
        <v>389</v>
      </c>
      <c r="U168" s="332">
        <f t="shared" ca="1" si="84"/>
        <v>357</v>
      </c>
      <c r="V168" s="332">
        <f t="shared" ca="1" si="84"/>
        <v>253</v>
      </c>
      <c r="W168" s="332">
        <f t="shared" ca="1" si="84"/>
        <v>300</v>
      </c>
      <c r="X168" s="332">
        <f t="shared" ca="1" si="84"/>
        <v>256</v>
      </c>
      <c r="Y168" s="332">
        <f t="shared" ca="1" si="84"/>
        <v>272</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3">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659</v>
      </c>
      <c r="C171" s="343">
        <f t="shared" si="85"/>
        <v>680</v>
      </c>
      <c r="D171" s="343">
        <f t="shared" si="85"/>
        <v>671</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660</v>
      </c>
      <c r="F171" s="343">
        <f t="shared" si="85"/>
        <v>647</v>
      </c>
      <c r="G171" s="343">
        <f t="shared" si="85"/>
        <v>559</v>
      </c>
      <c r="H171" s="343">
        <f t="shared" si="85"/>
        <v>597</v>
      </c>
      <c r="I171" s="343">
        <f t="shared" si="85"/>
        <v>552</v>
      </c>
      <c r="J171" s="343">
        <f t="shared" si="85"/>
        <v>600</v>
      </c>
      <c r="K171" s="343">
        <f t="shared" si="85"/>
        <v>539</v>
      </c>
      <c r="L171" s="343">
        <f t="shared" si="85"/>
        <v>517</v>
      </c>
      <c r="M171" s="343">
        <f t="shared" si="85"/>
        <v>507</v>
      </c>
      <c r="N171" s="343">
        <f t="shared" si="85"/>
        <v>546</v>
      </c>
      <c r="O171" s="343">
        <f t="shared" si="85"/>
        <v>600</v>
      </c>
      <c r="P171" s="343">
        <f t="shared" si="85"/>
        <v>604</v>
      </c>
      <c r="Q171" s="343">
        <f t="shared" si="85"/>
        <v>685</v>
      </c>
      <c r="R171" s="343">
        <f t="shared" si="85"/>
        <v>683</v>
      </c>
      <c r="S171" s="343">
        <f t="shared" si="85"/>
        <v>671</v>
      </c>
      <c r="T171" s="343">
        <f t="shared" si="85"/>
        <v>684</v>
      </c>
      <c r="U171" s="343">
        <f t="shared" si="85"/>
        <v>615</v>
      </c>
      <c r="V171" s="343">
        <f t="shared" si="85"/>
        <v>595</v>
      </c>
      <c r="W171" s="343">
        <f t="shared" si="85"/>
        <v>651</v>
      </c>
      <c r="X171" s="343">
        <f t="shared" si="85"/>
        <v>641</v>
      </c>
      <c r="Y171" s="344">
        <f t="shared" si="85"/>
        <v>654</v>
      </c>
      <c r="Z171" s="274"/>
    </row>
    <row r="172" spans="1:27" ht="28.5" customHeight="1" thickBot="1" x14ac:dyDescent="0.3">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6">
        <f t="shared" si="86"/>
        <v>220</v>
      </c>
      <c r="D172" s="346">
        <f t="shared" si="86"/>
        <v>251</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6">
        <f t="shared" si="86"/>
        <v>249</v>
      </c>
      <c r="G172" s="346">
        <f t="shared" si="86"/>
        <v>249</v>
      </c>
      <c r="H172" s="346">
        <f t="shared" si="86"/>
        <v>204</v>
      </c>
      <c r="I172" s="346">
        <f t="shared" si="86"/>
        <v>219</v>
      </c>
      <c r="J172" s="346">
        <f t="shared" si="86"/>
        <v>229</v>
      </c>
      <c r="K172" s="346">
        <f t="shared" si="86"/>
        <v>229</v>
      </c>
      <c r="L172" s="346">
        <f t="shared" si="86"/>
        <v>178</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209</v>
      </c>
      <c r="Y172" s="347">
        <f t="shared" si="86"/>
        <v>209</v>
      </c>
      <c r="Z172" s="274"/>
    </row>
    <row r="173" spans="1:27" hidden="1" x14ac:dyDescent="0.25">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5">
      <c r="B176" s="269" t="s">
        <v>194</v>
      </c>
      <c r="C176" s="157"/>
      <c r="D176" s="157"/>
      <c r="E176" s="157"/>
      <c r="F176" s="157"/>
      <c r="G176" s="157"/>
      <c r="H176" s="325" t="s">
        <v>195</v>
      </c>
      <c r="I176" s="326"/>
      <c r="J176" s="326"/>
      <c r="K176" s="327">
        <v>524</v>
      </c>
      <c r="L176" s="157" t="s">
        <v>196</v>
      </c>
      <c r="M176" s="157"/>
      <c r="N176" s="157"/>
      <c r="O176" s="157"/>
      <c r="P176" s="268"/>
    </row>
    <row r="177" spans="2:26" x14ac:dyDescent="0.25">
      <c r="B177" s="269" t="s">
        <v>197</v>
      </c>
      <c r="C177" s="157"/>
      <c r="D177" s="157"/>
      <c r="E177" s="157"/>
      <c r="F177" s="157"/>
      <c r="G177" s="157"/>
      <c r="H177" s="157"/>
      <c r="I177" s="157"/>
      <c r="J177" s="157"/>
      <c r="K177" s="157"/>
      <c r="L177" s="157"/>
      <c r="M177" s="157"/>
      <c r="N177" s="157"/>
      <c r="O177" s="157"/>
      <c r="P177" s="268"/>
    </row>
    <row r="178" spans="2:26" x14ac:dyDescent="0.25">
      <c r="B178" s="269" t="s">
        <v>198</v>
      </c>
      <c r="C178" s="157"/>
      <c r="D178" s="157"/>
      <c r="E178" s="157"/>
      <c r="F178" s="157"/>
      <c r="G178" s="157"/>
      <c r="H178" s="157"/>
      <c r="I178" s="157"/>
      <c r="J178" s="157"/>
      <c r="K178" s="157"/>
      <c r="L178" s="157"/>
      <c r="M178" s="157"/>
      <c r="N178" s="157"/>
      <c r="O178" s="157"/>
      <c r="P178" s="268"/>
    </row>
    <row r="179" spans="2:26" x14ac:dyDescent="0.25">
      <c r="B179" s="269" t="s">
        <v>199</v>
      </c>
      <c r="C179" s="157"/>
      <c r="D179" s="157"/>
      <c r="E179" s="157"/>
      <c r="F179" s="157"/>
      <c r="G179" s="157"/>
      <c r="H179" s="157"/>
      <c r="I179" s="157"/>
      <c r="J179" s="157"/>
      <c r="K179" s="157"/>
      <c r="L179" s="157"/>
      <c r="M179" s="157"/>
      <c r="N179" s="157"/>
      <c r="O179" s="157"/>
      <c r="P179" s="268"/>
    </row>
    <row r="180" spans="2:26" x14ac:dyDescent="0.25">
      <c r="B180" s="348" t="s">
        <v>200</v>
      </c>
      <c r="C180" s="157"/>
      <c r="D180" s="157"/>
      <c r="E180" s="157"/>
      <c r="F180" s="157"/>
      <c r="G180" s="157"/>
      <c r="H180" s="157"/>
      <c r="I180" s="157"/>
      <c r="J180" s="157"/>
      <c r="K180" s="157"/>
      <c r="L180" s="157"/>
      <c r="M180" s="157"/>
      <c r="N180" s="157"/>
      <c r="O180" s="157"/>
      <c r="P180" s="268"/>
    </row>
    <row r="181" spans="2:26" x14ac:dyDescent="0.25">
      <c r="B181" s="285" t="s">
        <v>201</v>
      </c>
      <c r="C181" s="286"/>
      <c r="D181" s="157"/>
      <c r="E181" s="157"/>
      <c r="F181" s="157"/>
      <c r="G181" s="157"/>
      <c r="H181" s="157"/>
      <c r="I181" s="157"/>
      <c r="J181" s="157"/>
      <c r="K181" s="157"/>
      <c r="L181" s="157"/>
      <c r="M181" s="157"/>
      <c r="N181" s="157"/>
      <c r="O181" s="157"/>
      <c r="P181" s="268"/>
    </row>
    <row r="182" spans="2:26" x14ac:dyDescent="0.25">
      <c r="B182" s="349" t="s">
        <v>202</v>
      </c>
      <c r="C182" s="157"/>
      <c r="D182" s="157"/>
      <c r="E182" s="157"/>
      <c r="F182" s="157"/>
      <c r="G182" s="157"/>
      <c r="H182" s="157"/>
      <c r="I182" s="157"/>
      <c r="J182" s="157"/>
      <c r="K182" s="157"/>
      <c r="L182" s="157"/>
      <c r="M182" s="157"/>
      <c r="N182" s="157"/>
      <c r="O182" s="157"/>
      <c r="P182" s="268"/>
    </row>
    <row r="183" spans="2:26" x14ac:dyDescent="0.25">
      <c r="B183" s="350" t="s">
        <v>203</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21"/>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21"/>
    </row>
    <row r="200" spans="1:25" x14ac:dyDescent="0.25">
      <c r="A200" s="521"/>
    </row>
    <row r="222" spans="5:5" x14ac:dyDescent="0.25">
      <c r="E222" s="351"/>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68</v>
      </c>
      <c r="E5" s="1" t="s">
        <v>69</v>
      </c>
    </row>
    <row r="6" spans="1:8" x14ac:dyDescent="0.25">
      <c r="A6" s="2" t="s">
        <v>70</v>
      </c>
      <c r="C6" s="237">
        <v>1.4550000000000001</v>
      </c>
      <c r="E6" s="2" t="s">
        <v>71</v>
      </c>
      <c r="G6" s="237">
        <v>1.5149999999999999</v>
      </c>
    </row>
    <row r="7" spans="1:8" x14ac:dyDescent="0.25">
      <c r="A7" s="2" t="s">
        <v>72</v>
      </c>
      <c r="C7" s="238">
        <f>J49</f>
        <v>2.09</v>
      </c>
      <c r="E7" s="2" t="s">
        <v>73</v>
      </c>
      <c r="G7" s="238">
        <f>K49</f>
        <v>1.96</v>
      </c>
    </row>
    <row r="8" spans="1:8" x14ac:dyDescent="0.25">
      <c r="A8" s="2" t="s">
        <v>74</v>
      </c>
      <c r="C8" s="238">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9" t="s">
        <v>57</v>
      </c>
      <c r="C12" s="240">
        <v>1</v>
      </c>
      <c r="D12" s="240">
        <v>0</v>
      </c>
      <c r="E12" s="32">
        <f ca="1">-INDEX(Economics!$A$34:$D$45,MATCH(B12,Economics!$A$34:$A$45,0),4)/F12</f>
        <v>25723.923444976077</v>
      </c>
      <c r="F12" s="33">
        <f>(D12*$C$6)+(C12*$C$7)</f>
        <v>2.09</v>
      </c>
      <c r="G12" s="32">
        <f ca="1">E12*F12</f>
        <v>53763</v>
      </c>
      <c r="H12" s="33"/>
    </row>
    <row r="13" spans="1:8" x14ac:dyDescent="0.25">
      <c r="B13" s="239" t="s">
        <v>56</v>
      </c>
      <c r="C13" s="240">
        <v>1</v>
      </c>
      <c r="D13" s="240">
        <v>0</v>
      </c>
      <c r="E13" s="32">
        <f ca="1">-INDEX(Economics!$A$34:$D$45,MATCH(Fuel!B13,Economics!$A$34:$A$45,0),4)/Fuel!F13</f>
        <v>8859.1236169258373</v>
      </c>
      <c r="F13" s="33">
        <f>(D13*$C$6)+(C13*$C$7)</f>
        <v>2.09</v>
      </c>
      <c r="G13" s="32">
        <f ca="1">E13*F13</f>
        <v>18515.568359375</v>
      </c>
      <c r="H13" s="33"/>
    </row>
    <row r="14" spans="1:8" x14ac:dyDescent="0.25">
      <c r="B14" s="239" t="s">
        <v>55</v>
      </c>
      <c r="C14" s="240">
        <v>1</v>
      </c>
      <c r="D14" s="240">
        <v>0</v>
      </c>
      <c r="E14" s="32">
        <f ca="1">-INDEX(Economics!$A$34:$D$45,MATCH(Fuel!B14,Economics!$A$34:$A$45,0),4)/Fuel!F14</f>
        <v>0</v>
      </c>
      <c r="F14" s="33">
        <f>(D14*$C$6)+(C14*$C$7)</f>
        <v>2.09</v>
      </c>
      <c r="G14" s="32">
        <f ca="1">E14*F14</f>
        <v>0</v>
      </c>
      <c r="H14" s="33"/>
    </row>
    <row r="15" spans="1:8" x14ac:dyDescent="0.25">
      <c r="B15" s="241" t="s">
        <v>18</v>
      </c>
      <c r="E15" s="34">
        <f ca="1">SUM(E12:E14)</f>
        <v>34583.047061901918</v>
      </c>
      <c r="F15" s="35"/>
      <c r="G15" s="34">
        <f ca="1">SUM(G12:G14)</f>
        <v>72278.568359375</v>
      </c>
      <c r="H15" s="33"/>
    </row>
    <row r="16" spans="1:8" x14ac:dyDescent="0.25">
      <c r="E16" s="32"/>
      <c r="F16" s="33"/>
      <c r="G16" s="33"/>
      <c r="H16" s="33"/>
    </row>
    <row r="17" spans="1:12" x14ac:dyDescent="0.25">
      <c r="A17" s="2" t="s">
        <v>83</v>
      </c>
      <c r="F17" s="33"/>
      <c r="G17" s="33"/>
      <c r="H17" s="33"/>
    </row>
    <row r="18" spans="1:12" x14ac:dyDescent="0.25">
      <c r="B18" s="2" t="s">
        <v>54</v>
      </c>
      <c r="C18" s="240">
        <v>1</v>
      </c>
      <c r="D18" s="240">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2" t="s">
        <v>84</v>
      </c>
      <c r="J20" s="243"/>
      <c r="K20" s="243"/>
      <c r="L20" s="244"/>
    </row>
    <row r="21" spans="1:12" x14ac:dyDescent="0.25">
      <c r="A21" s="2" t="s">
        <v>85</v>
      </c>
      <c r="E21" s="32"/>
      <c r="F21" s="33"/>
      <c r="I21" s="245" t="s">
        <v>86</v>
      </c>
      <c r="J21" s="246" t="s">
        <v>87</v>
      </c>
      <c r="K21" s="246"/>
      <c r="L21" s="247"/>
    </row>
    <row r="22" spans="1:12" x14ac:dyDescent="0.25">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0</v>
      </c>
      <c r="F24" s="33">
        <f t="shared" si="1"/>
        <v>1.96</v>
      </c>
      <c r="G24" s="32">
        <f t="shared" ca="1" si="0"/>
        <v>0</v>
      </c>
      <c r="I24" s="31"/>
      <c r="J24" s="31"/>
      <c r="K24" s="31"/>
    </row>
    <row r="25" spans="1:12" x14ac:dyDescent="0.25">
      <c r="B25" s="239" t="s">
        <v>48</v>
      </c>
      <c r="C25" s="240">
        <v>1</v>
      </c>
      <c r="D25" s="240">
        <v>0</v>
      </c>
      <c r="E25" s="32">
        <f ca="1">-INDEX(Economics!$A$34:$D$45,MATCH(Fuel!B25,Economics!$A$34:$A$45,0),4)/Fuel!F25</f>
        <v>13840.017139668367</v>
      </c>
      <c r="F25" s="33">
        <f t="shared" si="1"/>
        <v>1.96</v>
      </c>
      <c r="G25" s="32">
        <f t="shared" ca="1" si="0"/>
        <v>27126.43359375</v>
      </c>
      <c r="I25" s="31"/>
      <c r="J25" s="31"/>
      <c r="K25" s="31"/>
    </row>
    <row r="26" spans="1:12" x14ac:dyDescent="0.25">
      <c r="B26" s="239" t="s">
        <v>47</v>
      </c>
      <c r="C26" s="240">
        <v>1</v>
      </c>
      <c r="D26" s="240">
        <v>0</v>
      </c>
      <c r="E26" s="32">
        <f ca="1">-INDEX(Economics!$A$34:$D$45,MATCH(Fuel!B26,Economics!$A$34:$A$45,0),4)/Fuel!F26</f>
        <v>9407.7098612882655</v>
      </c>
      <c r="F26" s="33">
        <f t="shared" si="1"/>
        <v>1.96</v>
      </c>
      <c r="G26" s="32">
        <f t="shared" ca="1" si="0"/>
        <v>18439.111328125</v>
      </c>
      <c r="I26" s="31"/>
      <c r="J26" s="31"/>
      <c r="K26" s="31"/>
    </row>
    <row r="27" spans="1:12" x14ac:dyDescent="0.25">
      <c r="B27" s="251" t="s">
        <v>46</v>
      </c>
      <c r="C27" s="240">
        <v>1</v>
      </c>
      <c r="D27" s="240">
        <v>0</v>
      </c>
      <c r="E27" s="32">
        <f ca="1">-INDEX(Economics!$A$34:$D$45,MATCH(Fuel!B27,Economics!$A$34:$A$45,0),4)/Fuel!F27</f>
        <v>11571.84610172194</v>
      </c>
      <c r="F27" s="33">
        <f t="shared" si="1"/>
        <v>1.96</v>
      </c>
      <c r="G27" s="32">
        <f t="shared" ca="1" si="0"/>
        <v>22680.818359375</v>
      </c>
      <c r="I27" s="31"/>
      <c r="J27" s="31"/>
      <c r="K27" s="31"/>
    </row>
    <row r="28" spans="1:12" x14ac:dyDescent="0.25">
      <c r="B28" s="239" t="s">
        <v>49</v>
      </c>
      <c r="C28" s="240">
        <v>1</v>
      </c>
      <c r="D28" s="240">
        <v>0</v>
      </c>
      <c r="E28" s="32">
        <f ca="1">-INDEX(Economics!$A$34:$D$45,MATCH(Fuel!B28,Economics!$A$34:$A$45,0),4)/Fuel!F28</f>
        <v>1961.3703513632015</v>
      </c>
      <c r="F28" s="33">
        <f t="shared" si="1"/>
        <v>1.96</v>
      </c>
      <c r="G28" s="32">
        <f t="shared" ca="1" si="0"/>
        <v>3844.285888671875</v>
      </c>
      <c r="I28" s="31"/>
      <c r="J28" s="31"/>
      <c r="K28" s="31"/>
    </row>
    <row r="29" spans="1:12" x14ac:dyDescent="0.25">
      <c r="B29" s="239" t="s">
        <v>50</v>
      </c>
      <c r="C29" s="240">
        <v>1</v>
      </c>
      <c r="D29" s="240">
        <v>0</v>
      </c>
      <c r="E29" s="32">
        <f ca="1">-INDEX(Economics!$A$34:$D$45,MATCH(Fuel!B29,Economics!$A$34:$A$45,0),4)/Fuel!F29</f>
        <v>1951.4688297193877</v>
      </c>
      <c r="F29" s="33">
        <f t="shared" si="1"/>
        <v>1.96</v>
      </c>
      <c r="G29" s="32">
        <f t="shared" ca="1" si="0"/>
        <v>3824.87890625</v>
      </c>
      <c r="I29" s="31"/>
      <c r="J29" s="31"/>
      <c r="K29" s="31"/>
    </row>
    <row r="30" spans="1:12" x14ac:dyDescent="0.25">
      <c r="B30" s="241"/>
      <c r="C30" s="36"/>
      <c r="D30" s="36"/>
      <c r="E30" s="34">
        <f ca="1">SUM(E22:E29)</f>
        <v>38732.412283761158</v>
      </c>
      <c r="F30" s="35"/>
      <c r="G30" s="34">
        <f ca="1">SUM(G22:G29)</f>
        <v>75915.528076171875</v>
      </c>
      <c r="I30" s="31"/>
      <c r="J30" s="31"/>
      <c r="K30" s="31"/>
    </row>
    <row r="31" spans="1:12" x14ac:dyDescent="0.25">
      <c r="B31" s="241"/>
      <c r="I31" s="31"/>
      <c r="J31" s="31"/>
      <c r="K31" s="31"/>
    </row>
    <row r="32" spans="1:12" ht="13.8" thickBot="1" x14ac:dyDescent="0.3">
      <c r="B32" s="241" t="s">
        <v>18</v>
      </c>
      <c r="E32" s="7">
        <f ca="1">E15+E18+E30</f>
        <v>73315.459345663083</v>
      </c>
      <c r="F32" s="8"/>
      <c r="G32" s="7">
        <f ca="1">G15+G18+G30</f>
        <v>148194.09643554688</v>
      </c>
    </row>
    <row r="33" spans="1:11" ht="13.8" thickTop="1" x14ac:dyDescent="0.25"/>
    <row r="34" spans="1:11" x14ac:dyDescent="0.25">
      <c r="A34" s="9" t="s">
        <v>88</v>
      </c>
      <c r="H34" s="4"/>
    </row>
    <row r="35" spans="1:11" ht="27.75" customHeight="1" x14ac:dyDescent="0.25">
      <c r="A35" s="252"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5">
      <c r="A39" s="236" t="s">
        <v>99</v>
      </c>
      <c r="B39" s="241" t="s">
        <v>100</v>
      </c>
      <c r="C39" s="324">
        <v>2.09</v>
      </c>
      <c r="E39" s="254">
        <v>10000</v>
      </c>
      <c r="G39" s="254">
        <v>10000</v>
      </c>
      <c r="H39" s="254">
        <v>0</v>
      </c>
      <c r="J39" s="32">
        <f t="shared" si="2"/>
        <v>627000</v>
      </c>
      <c r="K39" s="32">
        <f t="shared" si="3"/>
        <v>0</v>
      </c>
    </row>
    <row r="40" spans="1:11" x14ac:dyDescent="0.25">
      <c r="A40" s="236" t="s">
        <v>101</v>
      </c>
      <c r="B40" s="241" t="s">
        <v>102</v>
      </c>
      <c r="C40" s="253">
        <v>2.09</v>
      </c>
      <c r="E40" s="254">
        <v>15050</v>
      </c>
      <c r="G40" s="254">
        <v>15050</v>
      </c>
      <c r="H40" s="254">
        <v>0</v>
      </c>
      <c r="J40" s="32">
        <f t="shared" si="2"/>
        <v>943634.99999999988</v>
      </c>
      <c r="K40" s="32">
        <f t="shared" si="3"/>
        <v>0</v>
      </c>
    </row>
    <row r="41" spans="1:11" x14ac:dyDescent="0.25">
      <c r="A41" s="236" t="s">
        <v>63</v>
      </c>
      <c r="B41" s="241" t="s">
        <v>102</v>
      </c>
      <c r="C41" s="253">
        <v>2.09</v>
      </c>
      <c r="E41" s="254">
        <v>10000</v>
      </c>
      <c r="G41" s="254">
        <v>10000</v>
      </c>
      <c r="H41" s="254">
        <v>0</v>
      </c>
      <c r="J41" s="32">
        <f t="shared" si="2"/>
        <v>627000</v>
      </c>
      <c r="K41" s="32">
        <f t="shared" si="3"/>
        <v>0</v>
      </c>
    </row>
    <row r="42" spans="1:11" x14ac:dyDescent="0.25">
      <c r="A42" s="236" t="s">
        <v>103</v>
      </c>
      <c r="B42" s="241" t="s">
        <v>104</v>
      </c>
      <c r="C42" s="253">
        <v>1.96</v>
      </c>
      <c r="E42" s="254">
        <v>56100</v>
      </c>
      <c r="G42" s="255">
        <v>0</v>
      </c>
      <c r="H42" s="255">
        <v>56100</v>
      </c>
      <c r="I42" s="13"/>
      <c r="J42" s="12">
        <f t="shared" si="2"/>
        <v>0</v>
      </c>
      <c r="K42" s="12">
        <f t="shared" si="3"/>
        <v>3298680</v>
      </c>
    </row>
    <row r="43" spans="1:11" ht="15" x14ac:dyDescent="0.4">
      <c r="A43" s="236" t="s">
        <v>105</v>
      </c>
      <c r="B43" s="241" t="s">
        <v>106</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8">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458049.6</v>
      </c>
      <c r="C3" s="117">
        <f ca="1">6.8*0.75*E3</f>
        <v>112852.79999999999</v>
      </c>
      <c r="D3" s="117">
        <f ca="1">C3+B3</f>
        <v>570902.39999999991</v>
      </c>
      <c r="E3" s="118">
        <f ca="1">SUM(Preschedule!B59:Y59)</f>
        <v>22128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-2381</v>
      </c>
      <c r="F8" s="124" t="e">
        <f t="shared" ca="1" si="0"/>
        <v>#N/A</v>
      </c>
      <c r="G8" s="126" t="e">
        <f t="shared" ca="1" si="1"/>
        <v>#N/A</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-1305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Balancing!H30</f>
        <v>0</v>
      </c>
      <c r="C24" s="120"/>
      <c r="D24" s="120">
        <f t="shared"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-20932.882880000005</v>
      </c>
      <c r="C28" s="120"/>
      <c r="D28" s="120">
        <f>C28+B28</f>
        <v>-20932.882880000005</v>
      </c>
      <c r="E28" s="114">
        <f>SUM(Preschedule!B56:Y56)</f>
        <v>1601</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-9387.84</v>
      </c>
      <c r="C30" s="120"/>
      <c r="D30" s="120">
        <f>C30+B30</f>
        <v>-9387.84</v>
      </c>
      <c r="E30" s="114">
        <f>SUM(Preschedule!B53:Y53)</f>
        <v>1540</v>
      </c>
      <c r="F30" s="120">
        <f>H30*I30</f>
        <v>6.0960000000000001</v>
      </c>
      <c r="G30" s="79">
        <f>-IF(E30=0,0,D30/E30)</f>
        <v>6.0960000000000001</v>
      </c>
      <c r="H30" s="134">
        <v>10.16</v>
      </c>
      <c r="I30" s="135">
        <v>0.6</v>
      </c>
    </row>
    <row r="31" spans="1:9" ht="12" x14ac:dyDescent="0.25">
      <c r="A31" s="83" t="s">
        <v>44</v>
      </c>
      <c r="B31" s="120">
        <f>-F31*E31</f>
        <v>-9400.0319999999992</v>
      </c>
      <c r="C31" s="120"/>
      <c r="D31" s="120">
        <f>C31+B31</f>
        <v>-9400.0319999999992</v>
      </c>
      <c r="E31" s="114">
        <f>SUM(Preschedule!B54:Y54)</f>
        <v>1542</v>
      </c>
      <c r="F31" s="120">
        <f>H31*I31</f>
        <v>6.0960000000000001</v>
      </c>
      <c r="G31" s="79">
        <f>-IF(E31=0,0,D31/E31)</f>
        <v>6.0959999999999992</v>
      </c>
      <c r="H31" s="134">
        <v>10.16</v>
      </c>
      <c r="I31" s="135">
        <v>0.6</v>
      </c>
    </row>
    <row r="32" spans="1:9" ht="12" x14ac:dyDescent="0.25">
      <c r="A32" s="83" t="s">
        <v>45</v>
      </c>
      <c r="B32" s="120">
        <f>-F32*E32</f>
        <v>-9400.0319999999992</v>
      </c>
      <c r="C32" s="120"/>
      <c r="D32" s="120">
        <f>C32+B32</f>
        <v>-9400.0319999999992</v>
      </c>
      <c r="E32" s="114">
        <f>SUM(Preschedule!B55:Y55)</f>
        <v>1542</v>
      </c>
      <c r="F32" s="120">
        <f>H32*I32</f>
        <v>6.0960000000000001</v>
      </c>
      <c r="G32" s="79">
        <f>-IF(E32=0,0,D32/E32)</f>
        <v>6.0959999999999992</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-22680.818359375</v>
      </c>
      <c r="C34" s="120"/>
      <c r="D34" s="120">
        <f ca="1">IF(ISTEXT(B34),0,C34+B34)</f>
        <v>-22680.818359375</v>
      </c>
      <c r="E34" s="114">
        <f>SUM(Preschedule!B41:Y41)</f>
        <v>989</v>
      </c>
      <c r="F34" s="120">
        <f ca="1">-IF(OR(ISTEXT(B34),E34=0),0,B34/E34)</f>
        <v>22.933082264282103</v>
      </c>
      <c r="G34" s="79">
        <f t="shared" ref="G34:G45" ca="1" si="6">-IF(E34=0,0,D34/E34)</f>
        <v>22.933082264282103</v>
      </c>
      <c r="H34" s="136"/>
      <c r="I34" s="135">
        <f>INDEX(FuelPriceTable,MATCH(A34,FuelNames,0),5)</f>
        <v>1.96</v>
      </c>
    </row>
    <row r="35" spans="1:9" ht="12" x14ac:dyDescent="0.25">
      <c r="A35" s="83" t="s">
        <v>47</v>
      </c>
      <c r="B35" s="120">
        <f ca="1">Gencost(Preschedule!B42:Y42,OFFSET(HeatRateStart,1,MATCH(A35,HeatRateNames,0)-1,250,1),I35)</f>
        <v>-18439.111328125</v>
      </c>
      <c r="C35" s="120"/>
      <c r="D35" s="120">
        <f t="shared" ref="D35:D45" ca="1" si="7">IF(ISTEXT(B35),0,C35+B35)</f>
        <v>-18439.111328125</v>
      </c>
      <c r="E35" s="114">
        <f>SUM(Preschedule!B42:Y42)</f>
        <v>869</v>
      </c>
      <c r="F35" s="120">
        <f t="shared" ref="F35:F45" ca="1" si="8">-IF(OR(ISTEXT(B35),E35=0),0,B35/E35)</f>
        <v>21.218770227991946</v>
      </c>
      <c r="G35" s="79">
        <f t="shared" ca="1" si="6"/>
        <v>21.218770227991946</v>
      </c>
      <c r="H35" s="136"/>
      <c r="I35" s="135">
        <f t="shared" ref="I35:I45" si="9">INDEX(FuelPriceTable,MATCH(A35,FuelNames,0),5)</f>
        <v>1.96</v>
      </c>
    </row>
    <row r="36" spans="1:9" ht="12" x14ac:dyDescent="0.25">
      <c r="A36" s="83" t="s">
        <v>48</v>
      </c>
      <c r="B36" s="120">
        <f ca="1">Gencost(Preschedule!B43:Y43,OFFSET(HeatRateStart,1,MATCH(A36,HeatRateNames,0)-1,250,1),I36)</f>
        <v>-27126.43359375</v>
      </c>
      <c r="C36" s="120"/>
      <c r="D36" s="120">
        <f t="shared" ca="1" si="7"/>
        <v>-27126.43359375</v>
      </c>
      <c r="E36" s="114">
        <f>SUM(Preschedule!B43:Y43)</f>
        <v>1329</v>
      </c>
      <c r="F36" s="120">
        <f t="shared" ca="1" si="8"/>
        <v>20.411161470090292</v>
      </c>
      <c r="G36" s="79">
        <f t="shared" ca="1" si="6"/>
        <v>20.411161470090292</v>
      </c>
      <c r="H36" s="136"/>
      <c r="I36" s="135">
        <f>INDEX(FuelPriceTable,MATCH(A36,FuelNames,0),5)</f>
        <v>1.96</v>
      </c>
    </row>
    <row r="37" spans="1:9" ht="12" x14ac:dyDescent="0.25">
      <c r="A37" s="83" t="s">
        <v>49</v>
      </c>
      <c r="B37" s="120">
        <f ca="1">Gencost(Preschedule!B44:Y44,OFFSET(HeatRateStart,1,MATCH(A37,HeatRateNames,0)-1,250,1),I37)</f>
        <v>-3844.285888671875</v>
      </c>
      <c r="C37" s="120"/>
      <c r="D37" s="120">
        <f t="shared" ca="1" si="7"/>
        <v>-3844.285888671875</v>
      </c>
      <c r="E37" s="114">
        <f>SUM(Preschedule!B44:Y44)</f>
        <v>80</v>
      </c>
      <c r="F37" s="120">
        <f t="shared" ca="1" si="8"/>
        <v>48.053573608398438</v>
      </c>
      <c r="G37" s="79">
        <f t="shared" ca="1" si="6"/>
        <v>48.053573608398438</v>
      </c>
      <c r="H37" s="136"/>
      <c r="I37" s="135">
        <f t="shared" si="9"/>
        <v>1.96</v>
      </c>
    </row>
    <row r="38" spans="1:9" ht="12" x14ac:dyDescent="0.25">
      <c r="A38" s="83" t="s">
        <v>50</v>
      </c>
      <c r="B38" s="120">
        <f ca="1">Gencost(Preschedule!B45:Y45,OFFSET(HeatRateStart,1,MATCH(A38,HeatRateNames,0)-1,250,1),I38)</f>
        <v>-3824.87890625</v>
      </c>
      <c r="C38" s="120"/>
      <c r="D38" s="120">
        <f t="shared" ca="1" si="7"/>
        <v>-3824.87890625</v>
      </c>
      <c r="E38" s="114">
        <f>SUM(Preschedule!B45:Y45)</f>
        <v>79</v>
      </c>
      <c r="F38" s="120">
        <f t="shared" ca="1" si="8"/>
        <v>48.416188686708864</v>
      </c>
      <c r="G38" s="79">
        <f t="shared" ca="1" si="6"/>
        <v>48.416188686708864</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2844</v>
      </c>
      <c r="F41" s="120">
        <f t="shared" ca="1" si="8"/>
        <v>0</v>
      </c>
      <c r="G41" s="79">
        <f t="shared" ca="1"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-18515.568359375</v>
      </c>
      <c r="C44" s="120"/>
      <c r="D44" s="120">
        <f t="shared" ca="1" si="7"/>
        <v>-18515.568359375</v>
      </c>
      <c r="E44" s="114">
        <f>SUM(Preschedule!B51:Y51)</f>
        <v>831</v>
      </c>
      <c r="F44" s="120">
        <f t="shared" ca="1" si="8"/>
        <v>22.281069024518651</v>
      </c>
      <c r="G44" s="79">
        <f t="shared" ca="1" si="6"/>
        <v>22.281069024518651</v>
      </c>
      <c r="H44" s="136"/>
      <c r="I44" s="135">
        <f t="shared" si="9"/>
        <v>2.09</v>
      </c>
    </row>
    <row r="45" spans="1:9" ht="12.6" thickBot="1" x14ac:dyDescent="0.3">
      <c r="A45" s="83" t="s">
        <v>57</v>
      </c>
      <c r="B45" s="120">
        <f ca="1">Gencost(Preschedule!B52:Y52,OFFSET(HeatRateStart,1,MATCH(A45,HeatRateNames,0)-1,250,1),I45)</f>
        <v>-53763</v>
      </c>
      <c r="C45" s="120"/>
      <c r="D45" s="120">
        <f t="shared" ca="1" si="7"/>
        <v>-53763</v>
      </c>
      <c r="E45" s="114">
        <f>SUM(Preschedule!B52:Y52)</f>
        <v>2510</v>
      </c>
      <c r="F45" s="120">
        <f t="shared" ca="1" si="8"/>
        <v>21.419521912350596</v>
      </c>
      <c r="G45" s="79">
        <f t="shared" ca="1" si="6"/>
        <v>21.419521912350596</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22" t="s">
        <v>247</v>
      </c>
      <c r="B4" s="422" t="s">
        <v>250</v>
      </c>
      <c r="C4" s="423" t="s">
        <v>248</v>
      </c>
      <c r="D4" s="423" t="s">
        <v>249</v>
      </c>
    </row>
    <row r="5" spans="1:4" x14ac:dyDescent="0.25">
      <c r="A5" s="424"/>
      <c r="B5" s="484"/>
      <c r="C5" s="426"/>
      <c r="D5" s="426"/>
    </row>
    <row r="6" spans="1:4" x14ac:dyDescent="0.25">
      <c r="A6" s="424">
        <v>36592</v>
      </c>
      <c r="B6" s="425" t="s">
        <v>282</v>
      </c>
      <c r="C6" s="426" t="s">
        <v>281</v>
      </c>
      <c r="D6" s="426" t="s">
        <v>284</v>
      </c>
    </row>
    <row r="7" spans="1:4" x14ac:dyDescent="0.25">
      <c r="A7" s="427"/>
      <c r="B7" s="425" t="s">
        <v>283</v>
      </c>
      <c r="C7" s="426"/>
      <c r="D7" s="426" t="s">
        <v>285</v>
      </c>
    </row>
    <row r="8" spans="1:4" x14ac:dyDescent="0.25">
      <c r="A8" s="509"/>
      <c r="B8" s="425"/>
      <c r="C8" s="426"/>
      <c r="D8" s="426" t="s">
        <v>286</v>
      </c>
    </row>
    <row r="9" spans="1:4" x14ac:dyDescent="0.25">
      <c r="A9" s="427"/>
      <c r="B9" s="425"/>
      <c r="C9" s="426"/>
      <c r="D9" s="426"/>
    </row>
    <row r="10" spans="1:4" x14ac:dyDescent="0.25">
      <c r="A10" s="424">
        <v>36603</v>
      </c>
      <c r="B10" s="425" t="s">
        <v>287</v>
      </c>
      <c r="C10" s="426" t="s">
        <v>289</v>
      </c>
      <c r="D10" s="426" t="s">
        <v>295</v>
      </c>
    </row>
    <row r="11" spans="1:4" x14ac:dyDescent="0.25">
      <c r="A11" s="427"/>
      <c r="B11" s="425" t="s">
        <v>288</v>
      </c>
      <c r="C11" s="426"/>
      <c r="D11" s="426" t="s">
        <v>292</v>
      </c>
    </row>
    <row r="12" spans="1:4" x14ac:dyDescent="0.25">
      <c r="A12" s="427"/>
      <c r="B12" s="425"/>
      <c r="C12" s="426"/>
      <c r="D12" s="426" t="s">
        <v>290</v>
      </c>
    </row>
    <row r="13" spans="1:4" x14ac:dyDescent="0.25">
      <c r="A13" s="427"/>
      <c r="B13" s="425"/>
      <c r="C13" s="426"/>
      <c r="D13" s="426" t="s">
        <v>291</v>
      </c>
    </row>
    <row r="14" spans="1:4" x14ac:dyDescent="0.25">
      <c r="A14" s="427"/>
      <c r="B14" s="425"/>
      <c r="C14" s="426"/>
      <c r="D14" s="426"/>
    </row>
    <row r="15" spans="1:4" x14ac:dyDescent="0.25">
      <c r="A15" s="424">
        <v>36603</v>
      </c>
      <c r="B15" s="425" t="s">
        <v>293</v>
      </c>
      <c r="C15" s="426" t="s">
        <v>289</v>
      </c>
      <c r="D15" s="426" t="s">
        <v>296</v>
      </c>
    </row>
    <row r="16" spans="1:4" x14ac:dyDescent="0.25">
      <c r="A16" s="427"/>
      <c r="B16" s="425" t="s">
        <v>294</v>
      </c>
      <c r="C16" s="426"/>
      <c r="D16" s="426" t="s">
        <v>297</v>
      </c>
    </row>
    <row r="17" spans="1:4" x14ac:dyDescent="0.25">
      <c r="A17" s="509"/>
      <c r="B17" s="425"/>
      <c r="C17" s="426"/>
      <c r="D17" s="426" t="s">
        <v>299</v>
      </c>
    </row>
    <row r="18" spans="1:4" x14ac:dyDescent="0.25">
      <c r="A18" s="427"/>
      <c r="B18" s="425"/>
      <c r="C18" s="426"/>
      <c r="D18" s="426" t="s">
        <v>300</v>
      </c>
    </row>
    <row r="19" spans="1:4" x14ac:dyDescent="0.25">
      <c r="A19" s="427"/>
      <c r="B19" s="425"/>
      <c r="C19" s="426"/>
      <c r="D19" s="426" t="s">
        <v>298</v>
      </c>
    </row>
    <row r="20" spans="1:4" x14ac:dyDescent="0.25">
      <c r="A20" s="424">
        <v>36644</v>
      </c>
      <c r="B20" s="425" t="s">
        <v>303</v>
      </c>
      <c r="C20" s="426" t="s">
        <v>302</v>
      </c>
      <c r="D20" s="426" t="s">
        <v>301</v>
      </c>
    </row>
    <row r="21" spans="1:4" x14ac:dyDescent="0.25">
      <c r="A21" s="424"/>
      <c r="B21" s="425"/>
      <c r="C21" s="426"/>
      <c r="D21" s="426"/>
    </row>
    <row r="22" spans="1:4" x14ac:dyDescent="0.25">
      <c r="A22" s="424">
        <v>36730</v>
      </c>
      <c r="B22" s="425" t="s">
        <v>307</v>
      </c>
      <c r="C22" s="426" t="s">
        <v>308</v>
      </c>
      <c r="D22" s="426" t="s">
        <v>309</v>
      </c>
    </row>
    <row r="23" spans="1:4" x14ac:dyDescent="0.25">
      <c r="A23" s="427"/>
      <c r="B23" s="425"/>
      <c r="C23" s="426"/>
      <c r="D23" s="426"/>
    </row>
    <row r="24" spans="1:4" x14ac:dyDescent="0.25">
      <c r="A24" s="424">
        <v>36733</v>
      </c>
      <c r="B24" s="425" t="s">
        <v>310</v>
      </c>
      <c r="C24" s="426" t="s">
        <v>311</v>
      </c>
      <c r="D24" s="426" t="s">
        <v>312</v>
      </c>
    </row>
    <row r="25" spans="1:4" x14ac:dyDescent="0.25">
      <c r="A25" s="427"/>
      <c r="B25" s="425"/>
      <c r="C25" s="426"/>
      <c r="D25" s="426"/>
    </row>
    <row r="26" spans="1:4" x14ac:dyDescent="0.25">
      <c r="A26" s="424">
        <v>36733</v>
      </c>
      <c r="B26" s="425" t="s">
        <v>314</v>
      </c>
      <c r="C26" s="426" t="s">
        <v>311</v>
      </c>
      <c r="D26" s="426" t="s">
        <v>313</v>
      </c>
    </row>
    <row r="27" spans="1:4" x14ac:dyDescent="0.25">
      <c r="A27" s="427"/>
      <c r="B27" s="425"/>
      <c r="C27" s="426"/>
      <c r="D27" s="426"/>
    </row>
    <row r="28" spans="1:4" x14ac:dyDescent="0.25">
      <c r="A28" s="424">
        <v>36734</v>
      </c>
      <c r="B28" s="425" t="s">
        <v>316</v>
      </c>
      <c r="C28" s="426" t="s">
        <v>311</v>
      </c>
      <c r="D28" s="426" t="s">
        <v>315</v>
      </c>
    </row>
    <row r="29" spans="1:4" x14ac:dyDescent="0.25">
      <c r="A29" s="427"/>
      <c r="B29" s="425"/>
      <c r="C29" s="426"/>
      <c r="D29" s="426"/>
    </row>
    <row r="30" spans="1:4" x14ac:dyDescent="0.25">
      <c r="A30" s="424">
        <v>36734</v>
      </c>
      <c r="B30" s="425" t="s">
        <v>317</v>
      </c>
      <c r="C30" s="426"/>
      <c r="D30" s="426" t="s">
        <v>318</v>
      </c>
    </row>
    <row r="31" spans="1:4" x14ac:dyDescent="0.25">
      <c r="A31" s="427"/>
      <c r="B31" s="425"/>
      <c r="C31" s="426"/>
      <c r="D31" s="426"/>
    </row>
    <row r="32" spans="1:4" x14ac:dyDescent="0.25">
      <c r="A32" s="424">
        <v>36778</v>
      </c>
      <c r="B32" s="425" t="s">
        <v>321</v>
      </c>
      <c r="C32" s="426" t="s">
        <v>324</v>
      </c>
      <c r="D32" s="426" t="s">
        <v>323</v>
      </c>
    </row>
    <row r="33" spans="1:4" x14ac:dyDescent="0.25">
      <c r="A33" s="427"/>
      <c r="B33" s="425"/>
      <c r="C33" s="426"/>
      <c r="D33" s="426"/>
    </row>
    <row r="34" spans="1:4" x14ac:dyDescent="0.25">
      <c r="A34" s="424">
        <v>36778</v>
      </c>
      <c r="B34" s="425" t="s">
        <v>325</v>
      </c>
      <c r="C34" s="426" t="s">
        <v>322</v>
      </c>
      <c r="D34" s="426" t="s">
        <v>326</v>
      </c>
    </row>
    <row r="35" spans="1:4" x14ac:dyDescent="0.25">
      <c r="A35" s="427"/>
      <c r="B35" s="425"/>
      <c r="C35" s="426"/>
      <c r="D35" s="426"/>
    </row>
    <row r="36" spans="1:4" x14ac:dyDescent="0.25">
      <c r="A36" s="424">
        <v>36779</v>
      </c>
      <c r="B36" s="425" t="s">
        <v>327</v>
      </c>
      <c r="C36" s="426" t="s">
        <v>329</v>
      </c>
      <c r="D36" s="426" t="s">
        <v>328</v>
      </c>
    </row>
    <row r="37" spans="1:4" x14ac:dyDescent="0.25">
      <c r="A37" s="427"/>
      <c r="B37" s="425"/>
      <c r="C37" s="426"/>
      <c r="D37" s="426"/>
    </row>
    <row r="38" spans="1:4" x14ac:dyDescent="0.25">
      <c r="A38" s="424">
        <v>36779</v>
      </c>
      <c r="B38" s="425" t="s">
        <v>330</v>
      </c>
      <c r="C38" s="426" t="s">
        <v>329</v>
      </c>
      <c r="D38" s="426" t="s">
        <v>331</v>
      </c>
    </row>
    <row r="39" spans="1:4" x14ac:dyDescent="0.25">
      <c r="A39" s="427"/>
      <c r="B39" s="425"/>
      <c r="C39" s="426"/>
      <c r="D39" s="426"/>
    </row>
    <row r="40" spans="1:4" x14ac:dyDescent="0.25">
      <c r="A40" s="424">
        <v>36803</v>
      </c>
      <c r="B40" s="425" t="s">
        <v>332</v>
      </c>
      <c r="C40" s="426" t="s">
        <v>333</v>
      </c>
      <c r="D40" s="426" t="s">
        <v>334</v>
      </c>
    </row>
    <row r="41" spans="1:4" x14ac:dyDescent="0.25">
      <c r="A41" s="427"/>
      <c r="B41" s="425"/>
      <c r="C41" s="426"/>
      <c r="D41" s="426"/>
    </row>
    <row r="42" spans="1:4" x14ac:dyDescent="0.25">
      <c r="A42" s="424">
        <v>36839</v>
      </c>
      <c r="B42" s="425" t="s">
        <v>336</v>
      </c>
      <c r="C42" s="426"/>
      <c r="D42" s="426" t="s">
        <v>337</v>
      </c>
    </row>
    <row r="43" spans="1:4" x14ac:dyDescent="0.25">
      <c r="A43" s="427"/>
      <c r="B43" s="425"/>
      <c r="C43" s="426"/>
      <c r="D43" s="426"/>
    </row>
    <row r="44" spans="1:4" x14ac:dyDescent="0.25">
      <c r="A44" s="424">
        <v>36847</v>
      </c>
      <c r="B44" s="425" t="s">
        <v>338</v>
      </c>
      <c r="C44" s="426" t="s">
        <v>339</v>
      </c>
      <c r="D44" s="426" t="s">
        <v>340</v>
      </c>
    </row>
    <row r="45" spans="1:4" x14ac:dyDescent="0.25">
      <c r="A45" s="427"/>
      <c r="B45" s="425"/>
      <c r="C45" s="426"/>
      <c r="D45" s="426"/>
    </row>
    <row r="46" spans="1:4" x14ac:dyDescent="0.25">
      <c r="A46" s="424">
        <v>36886</v>
      </c>
      <c r="B46" s="425" t="s">
        <v>342</v>
      </c>
      <c r="C46" s="426" t="s">
        <v>343</v>
      </c>
      <c r="D46" s="426" t="s">
        <v>344</v>
      </c>
    </row>
    <row r="47" spans="1:4" x14ac:dyDescent="0.25">
      <c r="A47" s="427"/>
      <c r="B47" s="425"/>
      <c r="C47" s="426"/>
      <c r="D47" s="426"/>
    </row>
    <row r="48" spans="1:4" x14ac:dyDescent="0.25">
      <c r="A48" s="427"/>
      <c r="B48" s="425"/>
      <c r="C48" s="426"/>
      <c r="D48" s="426"/>
    </row>
    <row r="49" spans="1:4" x14ac:dyDescent="0.25">
      <c r="A49" s="427"/>
      <c r="B49" s="425"/>
      <c r="C49" s="426"/>
      <c r="D49" s="426"/>
    </row>
    <row r="50" spans="1:4" x14ac:dyDescent="0.25">
      <c r="A50" s="427"/>
      <c r="B50" s="425"/>
      <c r="C50" s="426"/>
      <c r="D50" s="426"/>
    </row>
    <row r="51" spans="1:4" x14ac:dyDescent="0.25">
      <c r="A51" s="427"/>
      <c r="B51" s="425"/>
      <c r="C51" s="426"/>
      <c r="D51" s="426"/>
    </row>
    <row r="52" spans="1:4" x14ac:dyDescent="0.25">
      <c r="A52" s="427"/>
      <c r="B52" s="425"/>
      <c r="C52" s="426"/>
      <c r="D52" s="426"/>
    </row>
    <row r="53" spans="1:4" x14ac:dyDescent="0.25">
      <c r="A53" s="427"/>
      <c r="B53" s="425"/>
      <c r="C53" s="426"/>
      <c r="D53" s="426"/>
    </row>
    <row r="54" spans="1:4" x14ac:dyDescent="0.25">
      <c r="A54" s="427"/>
      <c r="B54" s="425"/>
      <c r="C54" s="426"/>
      <c r="D54" s="426"/>
    </row>
    <row r="55" spans="1:4" x14ac:dyDescent="0.25">
      <c r="A55" s="427"/>
      <c r="B55" s="425"/>
      <c r="C55" s="426"/>
      <c r="D55" s="426"/>
    </row>
    <row r="56" spans="1:4" x14ac:dyDescent="0.25">
      <c r="A56" s="427"/>
      <c r="B56" s="425"/>
      <c r="C56" s="426"/>
      <c r="D56" s="426"/>
    </row>
    <row r="57" spans="1:4" x14ac:dyDescent="0.25">
      <c r="A57" s="427"/>
      <c r="B57" s="425"/>
      <c r="C57" s="426"/>
      <c r="D57" s="426"/>
    </row>
    <row r="58" spans="1:4" x14ac:dyDescent="0.25">
      <c r="A58" s="427"/>
      <c r="B58" s="425"/>
      <c r="C58" s="426"/>
      <c r="D58" s="426"/>
    </row>
    <row r="59" spans="1:4" x14ac:dyDescent="0.25">
      <c r="A59" s="427"/>
      <c r="B59" s="425"/>
      <c r="C59" s="426"/>
      <c r="D59" s="426"/>
    </row>
    <row r="60" spans="1:4" x14ac:dyDescent="0.25">
      <c r="A60" s="427"/>
      <c r="B60" s="425"/>
      <c r="C60" s="426"/>
      <c r="D60" s="426"/>
    </row>
    <row r="61" spans="1:4" x14ac:dyDescent="0.25">
      <c r="A61" s="427"/>
      <c r="B61" s="425"/>
      <c r="C61" s="426"/>
      <c r="D61" s="426"/>
    </row>
    <row r="62" spans="1:4" x14ac:dyDescent="0.25">
      <c r="A62" s="427"/>
      <c r="B62" s="425"/>
      <c r="C62" s="426"/>
      <c r="D62" s="426"/>
    </row>
    <row r="63" spans="1:4" x14ac:dyDescent="0.25">
      <c r="A63" s="427"/>
      <c r="B63" s="425"/>
      <c r="C63" s="426"/>
      <c r="D63" s="426"/>
    </row>
    <row r="64" spans="1:4" x14ac:dyDescent="0.25">
      <c r="A64" s="427"/>
      <c r="B64" s="425"/>
      <c r="C64" s="426"/>
      <c r="D64" s="426"/>
    </row>
    <row r="65" spans="1:4" x14ac:dyDescent="0.25">
      <c r="A65" s="427"/>
      <c r="B65" s="425"/>
      <c r="C65" s="426"/>
      <c r="D65" s="426"/>
    </row>
    <row r="66" spans="1:4" x14ac:dyDescent="0.25">
      <c r="A66" s="427"/>
      <c r="B66" s="425"/>
      <c r="C66" s="426"/>
      <c r="D66" s="426"/>
    </row>
    <row r="67" spans="1:4" x14ac:dyDescent="0.25">
      <c r="A67" s="427"/>
      <c r="B67" s="425"/>
      <c r="C67" s="426"/>
      <c r="D67" s="426"/>
    </row>
    <row r="68" spans="1:4" x14ac:dyDescent="0.25">
      <c r="A68" s="427"/>
      <c r="B68" s="425"/>
      <c r="C68" s="426"/>
      <c r="D68" s="426"/>
    </row>
    <row r="69" spans="1:4" x14ac:dyDescent="0.25">
      <c r="A69" s="427"/>
      <c r="B69" s="425"/>
      <c r="C69" s="426"/>
      <c r="D69" s="426"/>
    </row>
    <row r="70" spans="1:4" x14ac:dyDescent="0.25">
      <c r="A70" s="427"/>
      <c r="B70" s="425"/>
      <c r="C70" s="426"/>
      <c r="D70" s="426"/>
    </row>
    <row r="71" spans="1:4" x14ac:dyDescent="0.25">
      <c r="A71" s="427"/>
      <c r="B71" s="425"/>
      <c r="C71" s="426"/>
      <c r="D71" s="426"/>
    </row>
    <row r="72" spans="1:4" x14ac:dyDescent="0.25">
      <c r="A72" s="427"/>
      <c r="B72" s="425"/>
      <c r="C72" s="426"/>
      <c r="D72" s="426"/>
    </row>
    <row r="73" spans="1:4" x14ac:dyDescent="0.25">
      <c r="A73" s="427"/>
      <c r="B73" s="425"/>
      <c r="C73" s="426"/>
      <c r="D73" s="426"/>
    </row>
    <row r="74" spans="1:4" x14ac:dyDescent="0.25">
      <c r="A74" s="427"/>
      <c r="B74" s="425"/>
      <c r="C74" s="426"/>
      <c r="D74" s="426"/>
    </row>
    <row r="75" spans="1:4" x14ac:dyDescent="0.25">
      <c r="A75" s="427"/>
      <c r="B75" s="425"/>
      <c r="C75" s="426"/>
      <c r="D75" s="426"/>
    </row>
    <row r="76" spans="1:4" x14ac:dyDescent="0.25">
      <c r="A76" s="427"/>
      <c r="B76" s="425"/>
      <c r="C76" s="426"/>
      <c r="D76" s="426"/>
    </row>
    <row r="77" spans="1:4" x14ac:dyDescent="0.25">
      <c r="A77" s="427"/>
      <c r="B77" s="425"/>
      <c r="C77" s="426"/>
      <c r="D77" s="426"/>
    </row>
    <row r="78" spans="1:4" x14ac:dyDescent="0.25">
      <c r="A78" s="427"/>
      <c r="B78" s="425"/>
      <c r="C78" s="426"/>
      <c r="D78" s="426"/>
    </row>
    <row r="79" spans="1:4" x14ac:dyDescent="0.25">
      <c r="A79" s="427"/>
      <c r="B79" s="425"/>
      <c r="C79" s="426"/>
      <c r="D79" s="426"/>
    </row>
    <row r="80" spans="1:4" x14ac:dyDescent="0.25">
      <c r="A80" s="427"/>
      <c r="B80" s="425"/>
      <c r="C80" s="426"/>
      <c r="D80" s="426"/>
    </row>
    <row r="81" spans="1:4" x14ac:dyDescent="0.25">
      <c r="A81" s="427"/>
      <c r="B81" s="425"/>
      <c r="C81" s="426"/>
      <c r="D81" s="426"/>
    </row>
    <row r="82" spans="1:4" x14ac:dyDescent="0.25">
      <c r="A82" s="427"/>
      <c r="B82" s="425"/>
      <c r="C82" s="426"/>
      <c r="D82" s="426"/>
    </row>
    <row r="83" spans="1:4" x14ac:dyDescent="0.25">
      <c r="A83" s="427"/>
      <c r="B83" s="425"/>
      <c r="C83" s="426"/>
      <c r="D83" s="426"/>
    </row>
    <row r="84" spans="1:4" x14ac:dyDescent="0.25">
      <c r="A84" s="427"/>
      <c r="B84" s="425"/>
      <c r="C84" s="426"/>
      <c r="D84" s="426"/>
    </row>
    <row r="85" spans="1:4" x14ac:dyDescent="0.25">
      <c r="A85" s="427"/>
      <c r="B85" s="425"/>
      <c r="C85" s="426"/>
      <c r="D85" s="426"/>
    </row>
    <row r="86" spans="1:4" x14ac:dyDescent="0.25">
      <c r="A86" s="427"/>
      <c r="B86" s="425"/>
      <c r="C86" s="426"/>
      <c r="D86" s="426"/>
    </row>
    <row r="87" spans="1:4" x14ac:dyDescent="0.25">
      <c r="A87" s="427"/>
      <c r="B87" s="425"/>
      <c r="C87" s="426"/>
      <c r="D87" s="426"/>
    </row>
    <row r="88" spans="1:4" x14ac:dyDescent="0.25">
      <c r="A88" s="427"/>
      <c r="B88" s="425"/>
      <c r="C88" s="426"/>
      <c r="D88" s="426"/>
    </row>
    <row r="89" spans="1:4" x14ac:dyDescent="0.25">
      <c r="A89" s="427"/>
      <c r="B89" s="425"/>
      <c r="C89" s="426"/>
      <c r="D89" s="426"/>
    </row>
    <row r="90" spans="1:4" x14ac:dyDescent="0.25">
      <c r="A90" s="427"/>
      <c r="B90" s="425"/>
      <c r="C90" s="426"/>
      <c r="D90" s="426"/>
    </row>
    <row r="91" spans="1:4" x14ac:dyDescent="0.25">
      <c r="A91" s="427"/>
      <c r="B91" s="425"/>
      <c r="C91" s="426"/>
      <c r="D91" s="426"/>
    </row>
    <row r="92" spans="1:4" x14ac:dyDescent="0.25">
      <c r="A92" s="427"/>
      <c r="B92" s="425"/>
      <c r="C92" s="426"/>
      <c r="D92" s="426"/>
    </row>
    <row r="93" spans="1:4" x14ac:dyDescent="0.25">
      <c r="A93" s="427"/>
      <c r="B93" s="425"/>
      <c r="C93" s="426"/>
      <c r="D93" s="426"/>
    </row>
    <row r="94" spans="1:4" x14ac:dyDescent="0.25">
      <c r="A94" s="427"/>
      <c r="B94" s="425"/>
      <c r="C94" s="426"/>
      <c r="D94" s="426"/>
    </row>
    <row r="95" spans="1:4" x14ac:dyDescent="0.25">
      <c r="A95" s="427"/>
      <c r="B95" s="425"/>
      <c r="C95" s="426"/>
      <c r="D95" s="426"/>
    </row>
    <row r="96" spans="1:4" x14ac:dyDescent="0.25">
      <c r="A96" s="427"/>
      <c r="B96" s="425"/>
      <c r="C96" s="426"/>
      <c r="D96" s="426"/>
    </row>
    <row r="97" spans="1:4" x14ac:dyDescent="0.25">
      <c r="A97" s="427"/>
      <c r="B97" s="425"/>
      <c r="C97" s="426"/>
      <c r="D97" s="426"/>
    </row>
    <row r="98" spans="1:4" x14ac:dyDescent="0.25">
      <c r="A98" s="427"/>
      <c r="B98" s="425"/>
      <c r="C98" s="426"/>
      <c r="D98" s="426"/>
    </row>
    <row r="99" spans="1:4" x14ac:dyDescent="0.25">
      <c r="A99" s="427"/>
      <c r="B99" s="425"/>
      <c r="C99" s="426"/>
      <c r="D99" s="426"/>
    </row>
    <row r="100" spans="1:4" x14ac:dyDescent="0.25">
      <c r="A100" s="427"/>
      <c r="B100" s="425"/>
      <c r="C100" s="426"/>
      <c r="D100" s="426"/>
    </row>
    <row r="101" spans="1:4" x14ac:dyDescent="0.25">
      <c r="A101" s="427"/>
      <c r="B101" s="425"/>
      <c r="C101" s="426"/>
      <c r="D101" s="426"/>
    </row>
    <row r="102" spans="1:4" x14ac:dyDescent="0.25">
      <c r="A102" s="427"/>
      <c r="B102" s="425"/>
      <c r="C102" s="426"/>
      <c r="D102" s="426"/>
    </row>
    <row r="103" spans="1:4" x14ac:dyDescent="0.25">
      <c r="A103" s="427"/>
      <c r="B103" s="425"/>
      <c r="C103" s="426"/>
      <c r="D103" s="426"/>
    </row>
    <row r="104" spans="1:4" x14ac:dyDescent="0.25">
      <c r="A104" s="427"/>
      <c r="B104" s="425"/>
      <c r="C104" s="426"/>
      <c r="D104" s="426"/>
    </row>
    <row r="105" spans="1:4" x14ac:dyDescent="0.25">
      <c r="A105" s="427"/>
      <c r="B105" s="425"/>
      <c r="C105" s="426"/>
      <c r="D105" s="426"/>
    </row>
    <row r="106" spans="1:4" x14ac:dyDescent="0.25">
      <c r="A106" s="427"/>
      <c r="B106" s="425"/>
      <c r="C106" s="426"/>
      <c r="D106" s="426"/>
    </row>
    <row r="107" spans="1:4" x14ac:dyDescent="0.25">
      <c r="A107" s="427"/>
      <c r="B107" s="425"/>
      <c r="C107" s="426"/>
      <c r="D107" s="426"/>
    </row>
    <row r="108" spans="1:4" x14ac:dyDescent="0.25">
      <c r="A108" s="427"/>
      <c r="B108" s="425"/>
      <c r="C108" s="426"/>
      <c r="D108" s="426"/>
    </row>
    <row r="109" spans="1:4" x14ac:dyDescent="0.25">
      <c r="A109" s="427"/>
      <c r="B109" s="425"/>
      <c r="C109" s="426"/>
      <c r="D109" s="426"/>
    </row>
    <row r="110" spans="1:4" x14ac:dyDescent="0.25">
      <c r="A110" s="427"/>
      <c r="B110" s="425"/>
      <c r="C110" s="426"/>
      <c r="D110" s="426"/>
    </row>
    <row r="111" spans="1:4" x14ac:dyDescent="0.25">
      <c r="A111" s="427"/>
      <c r="B111" s="425"/>
      <c r="C111" s="426"/>
      <c r="D111" s="426"/>
    </row>
    <row r="112" spans="1:4" x14ac:dyDescent="0.25">
      <c r="A112" s="427"/>
      <c r="B112" s="425"/>
      <c r="C112" s="426"/>
      <c r="D112" s="426"/>
    </row>
    <row r="113" spans="1:4" x14ac:dyDescent="0.25">
      <c r="A113" s="427"/>
      <c r="B113" s="425"/>
      <c r="C113" s="426"/>
      <c r="D113" s="426"/>
    </row>
    <row r="114" spans="1:4" x14ac:dyDescent="0.25">
      <c r="A114" s="427"/>
      <c r="B114" s="425"/>
      <c r="C114" s="426"/>
      <c r="D114" s="426"/>
    </row>
    <row r="115" spans="1:4" x14ac:dyDescent="0.25">
      <c r="A115" s="427"/>
      <c r="B115" s="425"/>
      <c r="C115" s="426"/>
      <c r="D115" s="426"/>
    </row>
    <row r="116" spans="1:4" x14ac:dyDescent="0.25">
      <c r="A116" s="427"/>
      <c r="B116" s="425"/>
      <c r="C116" s="426"/>
      <c r="D116" s="426"/>
    </row>
    <row r="117" spans="1:4" x14ac:dyDescent="0.25">
      <c r="A117" s="427"/>
      <c r="B117" s="425"/>
      <c r="C117" s="426"/>
      <c r="D117" s="426"/>
    </row>
    <row r="118" spans="1:4" x14ac:dyDescent="0.25">
      <c r="A118" s="427"/>
      <c r="B118" s="425"/>
      <c r="C118" s="426"/>
      <c r="D118" s="426"/>
    </row>
    <row r="119" spans="1:4" x14ac:dyDescent="0.25">
      <c r="A119" s="427"/>
      <c r="B119" s="425"/>
      <c r="C119" s="426"/>
      <c r="D119" s="426"/>
    </row>
    <row r="120" spans="1:4" x14ac:dyDescent="0.25">
      <c r="A120" s="427"/>
      <c r="B120" s="425"/>
      <c r="C120" s="426"/>
      <c r="D120" s="426"/>
    </row>
    <row r="121" spans="1:4" x14ac:dyDescent="0.25">
      <c r="A121" s="427"/>
      <c r="B121" s="425"/>
      <c r="C121" s="426"/>
      <c r="D121" s="426"/>
    </row>
    <row r="122" spans="1:4" x14ac:dyDescent="0.25">
      <c r="A122" s="427"/>
      <c r="B122" s="425"/>
      <c r="C122" s="426"/>
      <c r="D122" s="426"/>
    </row>
    <row r="123" spans="1:4" x14ac:dyDescent="0.25">
      <c r="A123" s="427"/>
      <c r="B123" s="425"/>
      <c r="C123" s="426"/>
      <c r="D123" s="426"/>
    </row>
    <row r="124" spans="1:4" x14ac:dyDescent="0.25">
      <c r="A124" s="427"/>
      <c r="B124" s="425"/>
      <c r="C124" s="426"/>
      <c r="D124" s="426"/>
    </row>
    <row r="125" spans="1:4" x14ac:dyDescent="0.25">
      <c r="A125" s="427"/>
      <c r="B125" s="425"/>
      <c r="C125" s="426"/>
      <c r="D125" s="426"/>
    </row>
    <row r="126" spans="1:4" x14ac:dyDescent="0.25">
      <c r="A126" s="427"/>
      <c r="B126" s="425"/>
      <c r="C126" s="426"/>
      <c r="D126" s="426"/>
    </row>
    <row r="127" spans="1:4" x14ac:dyDescent="0.25">
      <c r="A127" s="427"/>
      <c r="B127" s="425"/>
      <c r="C127" s="426"/>
      <c r="D127" s="426"/>
    </row>
    <row r="128" spans="1:4" x14ac:dyDescent="0.25">
      <c r="A128" s="427"/>
      <c r="B128" s="425"/>
      <c r="C128" s="426"/>
      <c r="D128" s="426"/>
    </row>
    <row r="129" spans="1:4" x14ac:dyDescent="0.25">
      <c r="A129" s="427"/>
      <c r="B129" s="425"/>
      <c r="C129" s="426"/>
      <c r="D129" s="426"/>
    </row>
    <row r="130" spans="1:4" x14ac:dyDescent="0.25">
      <c r="A130" s="427"/>
      <c r="B130" s="425"/>
      <c r="C130" s="426"/>
      <c r="D130" s="426"/>
    </row>
    <row r="131" spans="1:4" x14ac:dyDescent="0.25">
      <c r="A131" s="427"/>
      <c r="B131" s="425"/>
      <c r="C131" s="426"/>
      <c r="D131" s="426"/>
    </row>
    <row r="132" spans="1:4" x14ac:dyDescent="0.25">
      <c r="A132" s="427"/>
      <c r="B132" s="425"/>
      <c r="C132" s="426"/>
      <c r="D132" s="426"/>
    </row>
    <row r="133" spans="1:4" x14ac:dyDescent="0.25">
      <c r="A133" s="427"/>
      <c r="B133" s="425"/>
      <c r="C133" s="426"/>
      <c r="D133" s="426"/>
    </row>
    <row r="134" spans="1:4" x14ac:dyDescent="0.25">
      <c r="A134" s="427"/>
      <c r="B134" s="425"/>
      <c r="C134" s="426"/>
      <c r="D134" s="426"/>
    </row>
    <row r="135" spans="1:4" x14ac:dyDescent="0.25">
      <c r="A135" s="427"/>
      <c r="B135" s="425"/>
      <c r="C135" s="426"/>
      <c r="D135" s="426"/>
    </row>
    <row r="136" spans="1:4" x14ac:dyDescent="0.25">
      <c r="A136" s="427"/>
      <c r="B136" s="425"/>
      <c r="C136" s="426"/>
      <c r="D136" s="426"/>
    </row>
    <row r="137" spans="1:4" x14ac:dyDescent="0.25">
      <c r="A137" s="427"/>
      <c r="B137" s="425"/>
      <c r="C137" s="426"/>
      <c r="D137" s="426"/>
    </row>
    <row r="138" spans="1:4" x14ac:dyDescent="0.25">
      <c r="A138" s="427"/>
      <c r="B138" s="425"/>
      <c r="C138" s="426"/>
      <c r="D138" s="426"/>
    </row>
    <row r="139" spans="1:4" x14ac:dyDescent="0.25">
      <c r="A139" s="427"/>
      <c r="B139" s="425"/>
      <c r="C139" s="426"/>
      <c r="D139" s="426"/>
    </row>
    <row r="140" spans="1:4" x14ac:dyDescent="0.25">
      <c r="A140" s="427"/>
      <c r="B140" s="425"/>
      <c r="C140" s="426"/>
      <c r="D140" s="426"/>
    </row>
    <row r="141" spans="1:4" x14ac:dyDescent="0.25">
      <c r="A141" s="427"/>
      <c r="B141" s="425"/>
      <c r="C141" s="426"/>
      <c r="D141" s="426"/>
    </row>
    <row r="142" spans="1:4" x14ac:dyDescent="0.25">
      <c r="A142" s="427"/>
      <c r="B142" s="425"/>
      <c r="C142" s="426"/>
      <c r="D142" s="426"/>
    </row>
    <row r="143" spans="1:4" x14ac:dyDescent="0.25">
      <c r="A143" s="427"/>
      <c r="B143" s="425"/>
      <c r="C143" s="426"/>
      <c r="D143" s="426"/>
    </row>
    <row r="144" spans="1:4" x14ac:dyDescent="0.25">
      <c r="A144" s="427"/>
      <c r="B144" s="425"/>
      <c r="C144" s="426"/>
      <c r="D144" s="426"/>
    </row>
    <row r="145" spans="1:4" x14ac:dyDescent="0.25">
      <c r="A145" s="427"/>
      <c r="B145" s="425"/>
      <c r="C145" s="426"/>
      <c r="D145" s="426"/>
    </row>
    <row r="146" spans="1:4" x14ac:dyDescent="0.25">
      <c r="A146" s="427"/>
      <c r="B146" s="425"/>
      <c r="C146" s="426"/>
      <c r="D146" s="426"/>
    </row>
    <row r="147" spans="1:4" x14ac:dyDescent="0.25">
      <c r="A147" s="427"/>
      <c r="B147" s="425"/>
      <c r="C147" s="426"/>
      <c r="D147" s="426"/>
    </row>
    <row r="148" spans="1:4" x14ac:dyDescent="0.25">
      <c r="A148" s="427"/>
      <c r="B148" s="425"/>
      <c r="C148" s="426"/>
      <c r="D148" s="426"/>
    </row>
    <row r="149" spans="1:4" x14ac:dyDescent="0.25">
      <c r="A149" s="427"/>
      <c r="B149" s="425"/>
      <c r="C149" s="426"/>
      <c r="D149" s="426"/>
    </row>
    <row r="150" spans="1:4" x14ac:dyDescent="0.25">
      <c r="A150" s="427"/>
      <c r="B150" s="425"/>
      <c r="C150" s="426"/>
      <c r="D150" s="426"/>
    </row>
    <row r="151" spans="1:4" x14ac:dyDescent="0.25">
      <c r="A151" s="427"/>
      <c r="B151" s="425"/>
      <c r="C151" s="426"/>
      <c r="D151" s="426"/>
    </row>
    <row r="152" spans="1:4" x14ac:dyDescent="0.25">
      <c r="A152" s="427"/>
      <c r="B152" s="425"/>
      <c r="C152" s="426"/>
      <c r="D152" s="426"/>
    </row>
    <row r="153" spans="1:4" x14ac:dyDescent="0.25">
      <c r="A153" s="427"/>
      <c r="B153" s="425"/>
      <c r="C153" s="426"/>
      <c r="D153" s="426"/>
    </row>
    <row r="154" spans="1:4" x14ac:dyDescent="0.25">
      <c r="A154" s="427"/>
      <c r="B154" s="425"/>
      <c r="C154" s="426"/>
      <c r="D154" s="426"/>
    </row>
    <row r="155" spans="1:4" x14ac:dyDescent="0.25">
      <c r="A155" s="427"/>
      <c r="B155" s="425"/>
      <c r="C155" s="426"/>
      <c r="D155" s="426"/>
    </row>
    <row r="156" spans="1:4" x14ac:dyDescent="0.25">
      <c r="A156" s="427"/>
      <c r="B156" s="425"/>
      <c r="C156" s="426"/>
      <c r="D156" s="426"/>
    </row>
    <row r="157" spans="1:4" x14ac:dyDescent="0.25">
      <c r="A157" s="427"/>
      <c r="B157" s="425"/>
      <c r="C157" s="426"/>
      <c r="D157" s="426"/>
    </row>
    <row r="158" spans="1:4" x14ac:dyDescent="0.25">
      <c r="A158" s="427"/>
      <c r="B158" s="425"/>
      <c r="C158" s="426"/>
      <c r="D158" s="426"/>
    </row>
    <row r="159" spans="1:4" x14ac:dyDescent="0.25">
      <c r="A159" s="427"/>
      <c r="B159" s="425"/>
      <c r="C159" s="426"/>
      <c r="D159" s="426"/>
    </row>
    <row r="160" spans="1:4" x14ac:dyDescent="0.25">
      <c r="A160" s="427"/>
      <c r="B160" s="425"/>
      <c r="C160" s="426"/>
      <c r="D160" s="426"/>
    </row>
    <row r="161" spans="1:4" x14ac:dyDescent="0.25">
      <c r="A161" s="427"/>
      <c r="B161" s="425"/>
      <c r="C161" s="426"/>
      <c r="D161" s="426"/>
    </row>
    <row r="162" spans="1:4" x14ac:dyDescent="0.25">
      <c r="A162" s="427"/>
      <c r="B162" s="425"/>
      <c r="C162" s="426"/>
      <c r="D162" s="426"/>
    </row>
    <row r="163" spans="1:4" x14ac:dyDescent="0.25">
      <c r="A163" s="427"/>
      <c r="B163" s="425"/>
      <c r="C163" s="426"/>
      <c r="D163" s="426"/>
    </row>
    <row r="164" spans="1:4" x14ac:dyDescent="0.25">
      <c r="A164" s="427"/>
      <c r="B164" s="425"/>
      <c r="C164" s="426"/>
      <c r="D164" s="426"/>
    </row>
    <row r="165" spans="1:4" x14ac:dyDescent="0.25">
      <c r="A165" s="427"/>
      <c r="B165" s="425"/>
      <c r="C165" s="426"/>
      <c r="D165" s="426"/>
    </row>
    <row r="166" spans="1:4" x14ac:dyDescent="0.25">
      <c r="A166" s="427"/>
      <c r="B166" s="425"/>
      <c r="C166" s="426"/>
      <c r="D166" s="426"/>
    </row>
    <row r="167" spans="1:4" x14ac:dyDescent="0.25">
      <c r="A167" s="427"/>
      <c r="B167" s="425"/>
      <c r="C167" s="426"/>
      <c r="D167" s="426"/>
    </row>
    <row r="168" spans="1:4" x14ac:dyDescent="0.25">
      <c r="A168" s="427"/>
      <c r="B168" s="425"/>
      <c r="C168" s="426"/>
      <c r="D168" s="426"/>
    </row>
    <row r="169" spans="1:4" x14ac:dyDescent="0.25">
      <c r="A169" s="427"/>
      <c r="B169" s="425"/>
      <c r="C169" s="426"/>
      <c r="D169" s="426"/>
    </row>
    <row r="170" spans="1:4" x14ac:dyDescent="0.25">
      <c r="A170" s="427"/>
      <c r="B170" s="425"/>
      <c r="C170" s="426"/>
      <c r="D170" s="426"/>
    </row>
    <row r="171" spans="1:4" x14ac:dyDescent="0.25">
      <c r="A171" s="427"/>
      <c r="B171" s="425"/>
      <c r="C171" s="426"/>
      <c r="D171" s="426"/>
    </row>
    <row r="172" spans="1:4" x14ac:dyDescent="0.25">
      <c r="A172" s="427"/>
      <c r="B172" s="425"/>
      <c r="C172" s="426"/>
      <c r="D172" s="426"/>
    </row>
    <row r="173" spans="1:4" x14ac:dyDescent="0.25">
      <c r="A173" s="427"/>
      <c r="B173" s="425"/>
      <c r="C173" s="426"/>
      <c r="D173" s="426"/>
    </row>
    <row r="174" spans="1:4" x14ac:dyDescent="0.25">
      <c r="A174" s="427"/>
      <c r="B174" s="425"/>
      <c r="C174" s="426"/>
      <c r="D174" s="426"/>
    </row>
    <row r="175" spans="1:4" x14ac:dyDescent="0.25">
      <c r="A175" s="427"/>
      <c r="B175" s="425"/>
      <c r="C175" s="426"/>
      <c r="D175" s="426"/>
    </row>
    <row r="176" spans="1:4" x14ac:dyDescent="0.25">
      <c r="A176" s="427"/>
      <c r="B176" s="425"/>
      <c r="C176" s="426"/>
      <c r="D176" s="426"/>
    </row>
    <row r="177" spans="1:4" x14ac:dyDescent="0.25">
      <c r="A177" s="427"/>
      <c r="B177" s="425"/>
      <c r="C177" s="426"/>
      <c r="D177" s="426"/>
    </row>
    <row r="178" spans="1:4" x14ac:dyDescent="0.25">
      <c r="A178" s="427"/>
      <c r="B178" s="425"/>
      <c r="C178" s="426"/>
      <c r="D178" s="426"/>
    </row>
    <row r="179" spans="1:4" x14ac:dyDescent="0.25">
      <c r="A179" s="427"/>
      <c r="B179" s="425"/>
      <c r="C179" s="426"/>
      <c r="D179" s="426"/>
    </row>
    <row r="180" spans="1:4" x14ac:dyDescent="0.25">
      <c r="A180" s="427"/>
      <c r="B180" s="425"/>
      <c r="C180" s="426"/>
      <c r="D180" s="426"/>
    </row>
    <row r="181" spans="1:4" x14ac:dyDescent="0.25">
      <c r="A181" s="427"/>
      <c r="B181" s="425"/>
      <c r="C181" s="426"/>
      <c r="D181" s="426"/>
    </row>
    <row r="182" spans="1:4" x14ac:dyDescent="0.25">
      <c r="A182" s="427"/>
      <c r="B182" s="425"/>
      <c r="C182" s="426"/>
      <c r="D182" s="426"/>
    </row>
    <row r="183" spans="1:4" x14ac:dyDescent="0.25">
      <c r="A183" s="427"/>
      <c r="B183" s="425"/>
      <c r="C183" s="426"/>
      <c r="D183" s="426"/>
    </row>
    <row r="184" spans="1:4" x14ac:dyDescent="0.25">
      <c r="A184" s="427"/>
      <c r="B184" s="425"/>
      <c r="C184" s="426"/>
      <c r="D184" s="426"/>
    </row>
    <row r="185" spans="1:4" x14ac:dyDescent="0.25">
      <c r="A185" s="427"/>
      <c r="B185" s="425"/>
      <c r="C185" s="426"/>
      <c r="D185" s="426"/>
    </row>
    <row r="186" spans="1:4" x14ac:dyDescent="0.25">
      <c r="A186" s="427"/>
      <c r="B186" s="425"/>
      <c r="C186" s="426"/>
      <c r="D186" s="426"/>
    </row>
    <row r="187" spans="1:4" x14ac:dyDescent="0.25">
      <c r="A187" s="427"/>
      <c r="B187" s="425"/>
      <c r="C187" s="426"/>
      <c r="D187" s="426"/>
    </row>
    <row r="188" spans="1:4" x14ac:dyDescent="0.25">
      <c r="A188" s="427"/>
      <c r="B188" s="425"/>
      <c r="C188" s="426"/>
      <c r="D188" s="426"/>
    </row>
    <row r="189" spans="1:4" x14ac:dyDescent="0.25">
      <c r="A189" s="427"/>
      <c r="B189" s="425"/>
      <c r="C189" s="426"/>
      <c r="D189" s="426"/>
    </row>
    <row r="190" spans="1:4" x14ac:dyDescent="0.25">
      <c r="A190" s="427"/>
      <c r="B190" s="425"/>
      <c r="C190" s="426"/>
      <c r="D190" s="426"/>
    </row>
    <row r="191" spans="1:4" x14ac:dyDescent="0.25">
      <c r="A191" s="427"/>
      <c r="B191" s="425"/>
      <c r="C191" s="426"/>
      <c r="D191" s="426"/>
    </row>
    <row r="192" spans="1:4" x14ac:dyDescent="0.25">
      <c r="A192" s="427"/>
      <c r="B192" s="425"/>
      <c r="C192" s="426"/>
      <c r="D192" s="426"/>
    </row>
    <row r="193" spans="1:4" x14ac:dyDescent="0.25">
      <c r="A193" s="427"/>
      <c r="B193" s="425"/>
      <c r="C193" s="426"/>
      <c r="D193" s="426"/>
    </row>
    <row r="194" spans="1:4" x14ac:dyDescent="0.25">
      <c r="A194" s="427"/>
      <c r="B194" s="425"/>
      <c r="C194" s="426"/>
      <c r="D194" s="426"/>
    </row>
    <row r="195" spans="1:4" x14ac:dyDescent="0.25">
      <c r="A195" s="427"/>
      <c r="B195" s="425"/>
      <c r="C195" s="426"/>
      <c r="D195" s="426"/>
    </row>
    <row r="196" spans="1:4" x14ac:dyDescent="0.25">
      <c r="A196" s="427"/>
      <c r="B196" s="425"/>
      <c r="C196" s="426"/>
      <c r="D196" s="426"/>
    </row>
    <row r="197" spans="1:4" x14ac:dyDescent="0.25">
      <c r="A197" s="427"/>
      <c r="B197" s="425"/>
      <c r="C197" s="426"/>
      <c r="D197" s="426"/>
    </row>
    <row r="198" spans="1:4" x14ac:dyDescent="0.25">
      <c r="A198" s="427"/>
      <c r="B198" s="425"/>
      <c r="C198" s="426"/>
      <c r="D198" s="426"/>
    </row>
    <row r="199" spans="1:4" x14ac:dyDescent="0.25">
      <c r="A199" s="427"/>
      <c r="B199" s="425"/>
      <c r="C199" s="426"/>
      <c r="D199" s="426"/>
    </row>
    <row r="200" spans="1:4" x14ac:dyDescent="0.25">
      <c r="A200" s="427"/>
      <c r="B200" s="425"/>
      <c r="C200" s="426"/>
      <c r="D200" s="426"/>
    </row>
    <row r="201" spans="1:4" x14ac:dyDescent="0.25">
      <c r="A201" s="427"/>
      <c r="B201" s="425"/>
      <c r="C201" s="426"/>
      <c r="D201" s="426"/>
    </row>
    <row r="202" spans="1:4" x14ac:dyDescent="0.25">
      <c r="A202" s="427"/>
      <c r="B202" s="425"/>
      <c r="C202" s="426"/>
      <c r="D202" s="426"/>
    </row>
    <row r="203" spans="1:4" x14ac:dyDescent="0.25">
      <c r="A203" s="427"/>
      <c r="B203" s="425"/>
      <c r="C203" s="426"/>
      <c r="D203" s="426"/>
    </row>
    <row r="204" spans="1:4" x14ac:dyDescent="0.25">
      <c r="A204" s="427"/>
      <c r="B204" s="425"/>
      <c r="C204" s="426"/>
      <c r="D204" s="426"/>
    </row>
    <row r="205" spans="1:4" x14ac:dyDescent="0.25">
      <c r="A205" s="427"/>
      <c r="B205" s="425"/>
      <c r="C205" s="426"/>
      <c r="D205" s="426"/>
    </row>
    <row r="206" spans="1:4" x14ac:dyDescent="0.25">
      <c r="A206" s="427"/>
      <c r="B206" s="425"/>
      <c r="C206" s="426"/>
      <c r="D206" s="426"/>
    </row>
    <row r="207" spans="1:4" x14ac:dyDescent="0.25">
      <c r="A207" s="427"/>
      <c r="B207" s="425"/>
      <c r="C207" s="426"/>
      <c r="D207" s="426"/>
    </row>
    <row r="208" spans="1:4" x14ac:dyDescent="0.25">
      <c r="A208" s="427"/>
      <c r="B208" s="425"/>
      <c r="C208" s="426"/>
      <c r="D208" s="426"/>
    </row>
    <row r="209" spans="1:4" x14ac:dyDescent="0.25">
      <c r="A209" s="427"/>
      <c r="B209" s="425"/>
      <c r="C209" s="426"/>
      <c r="D209" s="426"/>
    </row>
    <row r="210" spans="1:4" x14ac:dyDescent="0.25">
      <c r="A210" s="427"/>
      <c r="B210" s="425"/>
      <c r="C210" s="426"/>
      <c r="D210" s="426"/>
    </row>
    <row r="211" spans="1:4" x14ac:dyDescent="0.25">
      <c r="A211" s="427"/>
      <c r="B211" s="425"/>
      <c r="C211" s="426"/>
      <c r="D211" s="426"/>
    </row>
    <row r="212" spans="1:4" x14ac:dyDescent="0.25">
      <c r="A212" s="427"/>
      <c r="B212" s="425"/>
      <c r="C212" s="426"/>
      <c r="D212" s="426"/>
    </row>
    <row r="213" spans="1:4" x14ac:dyDescent="0.25">
      <c r="A213" s="427"/>
      <c r="B213" s="425"/>
      <c r="C213" s="426"/>
      <c r="D213" s="426"/>
    </row>
    <row r="214" spans="1:4" x14ac:dyDescent="0.25">
      <c r="A214" s="427"/>
      <c r="B214" s="425"/>
      <c r="C214" s="426"/>
      <c r="D214" s="426"/>
    </row>
    <row r="215" spans="1:4" x14ac:dyDescent="0.25">
      <c r="A215" s="427"/>
      <c r="B215" s="425"/>
      <c r="C215" s="426"/>
      <c r="D215" s="426"/>
    </row>
    <row r="216" spans="1:4" x14ac:dyDescent="0.25">
      <c r="A216" s="427"/>
      <c r="B216" s="425"/>
      <c r="C216" s="426"/>
      <c r="D216" s="426"/>
    </row>
    <row r="217" spans="1:4" x14ac:dyDescent="0.25">
      <c r="A217" s="427"/>
      <c r="B217" s="425"/>
      <c r="C217" s="426"/>
      <c r="D217" s="426"/>
    </row>
    <row r="218" spans="1:4" x14ac:dyDescent="0.25">
      <c r="A218" s="427"/>
      <c r="B218" s="425"/>
      <c r="C218" s="426"/>
      <c r="D218" s="426"/>
    </row>
    <row r="219" spans="1:4" x14ac:dyDescent="0.25">
      <c r="A219" s="427"/>
      <c r="B219" s="425"/>
      <c r="C219" s="426"/>
      <c r="D219" s="426"/>
    </row>
    <row r="220" spans="1:4" x14ac:dyDescent="0.25">
      <c r="A220" s="427"/>
      <c r="B220" s="425"/>
      <c r="C220" s="426"/>
      <c r="D220" s="426"/>
    </row>
    <row r="221" spans="1:4" x14ac:dyDescent="0.25">
      <c r="A221" s="427"/>
      <c r="B221" s="425"/>
      <c r="C221" s="426"/>
      <c r="D221" s="426"/>
    </row>
    <row r="222" spans="1:4" x14ac:dyDescent="0.25">
      <c r="A222" s="427"/>
      <c r="B222" s="425"/>
      <c r="C222" s="426"/>
      <c r="D222" s="426"/>
    </row>
    <row r="223" spans="1:4" x14ac:dyDescent="0.25">
      <c r="A223" s="427"/>
      <c r="B223" s="425"/>
      <c r="C223" s="426"/>
      <c r="D223" s="426"/>
    </row>
    <row r="224" spans="1:4" x14ac:dyDescent="0.25">
      <c r="A224" s="427"/>
      <c r="B224" s="425"/>
      <c r="C224" s="426"/>
      <c r="D224" s="426"/>
    </row>
    <row r="225" spans="1:4" x14ac:dyDescent="0.25">
      <c r="A225" s="427"/>
      <c r="B225" s="425"/>
      <c r="C225" s="426"/>
      <c r="D225" s="426"/>
    </row>
    <row r="226" spans="1:4" x14ac:dyDescent="0.25">
      <c r="A226" s="427"/>
      <c r="B226" s="425"/>
      <c r="C226" s="426"/>
      <c r="D226" s="426"/>
    </row>
    <row r="227" spans="1:4" x14ac:dyDescent="0.25">
      <c r="A227" s="427"/>
      <c r="B227" s="425"/>
      <c r="C227" s="426"/>
      <c r="D227" s="426"/>
    </row>
    <row r="228" spans="1:4" x14ac:dyDescent="0.25">
      <c r="A228" s="427"/>
      <c r="B228" s="425"/>
      <c r="C228" s="426"/>
      <c r="D228" s="426"/>
    </row>
    <row r="229" spans="1:4" x14ac:dyDescent="0.25">
      <c r="A229" s="427"/>
      <c r="B229" s="425"/>
      <c r="C229" s="426"/>
      <c r="D229" s="426"/>
    </row>
    <row r="230" spans="1:4" x14ac:dyDescent="0.25">
      <c r="A230" s="427"/>
      <c r="B230" s="425"/>
      <c r="C230" s="426"/>
      <c r="D230" s="426"/>
    </row>
    <row r="231" spans="1:4" x14ac:dyDescent="0.25">
      <c r="A231" s="427"/>
      <c r="B231" s="425"/>
      <c r="C231" s="426"/>
      <c r="D231" s="426"/>
    </row>
    <row r="232" spans="1:4" x14ac:dyDescent="0.25">
      <c r="A232" s="427"/>
      <c r="B232" s="425"/>
      <c r="C232" s="426"/>
      <c r="D232" s="426"/>
    </row>
    <row r="233" spans="1:4" x14ac:dyDescent="0.25">
      <c r="A233" s="427"/>
      <c r="B233" s="425"/>
      <c r="C233" s="426"/>
      <c r="D233" s="426"/>
    </row>
    <row r="234" spans="1:4" x14ac:dyDescent="0.25">
      <c r="A234" s="427"/>
      <c r="B234" s="425"/>
      <c r="C234" s="426"/>
      <c r="D234" s="426"/>
    </row>
    <row r="235" spans="1:4" x14ac:dyDescent="0.25">
      <c r="A235" s="427"/>
      <c r="B235" s="425"/>
      <c r="C235" s="426"/>
      <c r="D235" s="426"/>
    </row>
    <row r="236" spans="1:4" x14ac:dyDescent="0.25">
      <c r="A236" s="427"/>
      <c r="B236" s="425"/>
      <c r="C236" s="426"/>
      <c r="D236" s="426"/>
    </row>
    <row r="237" spans="1:4" x14ac:dyDescent="0.25">
      <c r="A237" s="427"/>
      <c r="B237" s="425"/>
      <c r="C237" s="426"/>
      <c r="D237" s="426"/>
    </row>
    <row r="238" spans="1:4" x14ac:dyDescent="0.25">
      <c r="A238" s="427"/>
      <c r="B238" s="425"/>
      <c r="C238" s="426"/>
      <c r="D238" s="426"/>
    </row>
    <row r="239" spans="1:4" x14ac:dyDescent="0.25">
      <c r="A239" s="427"/>
      <c r="B239" s="425"/>
      <c r="C239" s="426"/>
      <c r="D239" s="426"/>
    </row>
    <row r="240" spans="1:4" x14ac:dyDescent="0.25">
      <c r="A240" s="427"/>
      <c r="B240" s="425"/>
      <c r="C240" s="426"/>
      <c r="D240" s="426"/>
    </row>
    <row r="241" spans="1:4" x14ac:dyDescent="0.25">
      <c r="A241" s="427"/>
      <c r="B241" s="425"/>
      <c r="C241" s="426"/>
      <c r="D241" s="426"/>
    </row>
    <row r="242" spans="1:4" x14ac:dyDescent="0.25">
      <c r="A242" s="427"/>
      <c r="B242" s="425"/>
      <c r="C242" s="426"/>
      <c r="D242" s="426"/>
    </row>
    <row r="243" spans="1:4" x14ac:dyDescent="0.25">
      <c r="A243" s="427"/>
      <c r="B243" s="425"/>
      <c r="C243" s="426"/>
      <c r="D243" s="426"/>
    </row>
    <row r="244" spans="1:4" x14ac:dyDescent="0.25">
      <c r="A244" s="427"/>
      <c r="B244" s="425"/>
      <c r="C244" s="426"/>
      <c r="D244" s="426"/>
    </row>
    <row r="245" spans="1:4" x14ac:dyDescent="0.25">
      <c r="A245" s="427"/>
      <c r="B245" s="425"/>
      <c r="C245" s="426"/>
      <c r="D245" s="426"/>
    </row>
    <row r="246" spans="1:4" x14ac:dyDescent="0.25">
      <c r="A246" s="427"/>
      <c r="B246" s="425"/>
      <c r="C246" s="426"/>
      <c r="D246" s="426"/>
    </row>
    <row r="247" spans="1:4" x14ac:dyDescent="0.25">
      <c r="A247" s="427"/>
      <c r="B247" s="425"/>
      <c r="C247" s="426"/>
      <c r="D247" s="426"/>
    </row>
    <row r="248" spans="1:4" x14ac:dyDescent="0.25">
      <c r="A248" s="427"/>
      <c r="B248" s="425"/>
      <c r="C248" s="426"/>
      <c r="D248" s="426"/>
    </row>
    <row r="249" spans="1:4" x14ac:dyDescent="0.25">
      <c r="A249" s="427"/>
      <c r="B249" s="425"/>
      <c r="C249" s="426"/>
      <c r="D249" s="426"/>
    </row>
    <row r="250" spans="1:4" x14ac:dyDescent="0.25">
      <c r="A250" s="427"/>
      <c r="B250" s="425"/>
      <c r="C250" s="426"/>
      <c r="D250" s="426"/>
    </row>
    <row r="251" spans="1:4" x14ac:dyDescent="0.25">
      <c r="A251" s="427"/>
      <c r="B251" s="425"/>
      <c r="C251" s="426"/>
      <c r="D251" s="426"/>
    </row>
    <row r="252" spans="1:4" x14ac:dyDescent="0.25">
      <c r="A252" s="427"/>
      <c r="B252" s="425"/>
      <c r="C252" s="426"/>
      <c r="D252" s="426"/>
    </row>
    <row r="253" spans="1:4" x14ac:dyDescent="0.25">
      <c r="A253" s="427"/>
      <c r="B253" s="425"/>
      <c r="C253" s="426"/>
      <c r="D253" s="426"/>
    </row>
    <row r="254" spans="1:4" x14ac:dyDescent="0.25">
      <c r="A254" s="427"/>
      <c r="B254" s="425"/>
      <c r="C254" s="426"/>
      <c r="D254" s="426"/>
    </row>
    <row r="255" spans="1:4" x14ac:dyDescent="0.25">
      <c r="A255" s="427"/>
      <c r="B255" s="425"/>
      <c r="C255" s="426"/>
      <c r="D255" s="426"/>
    </row>
    <row r="256" spans="1:4" x14ac:dyDescent="0.25">
      <c r="A256" s="427"/>
      <c r="B256" s="425"/>
      <c r="C256" s="426"/>
      <c r="D256" s="426"/>
    </row>
    <row r="257" spans="1:4" x14ac:dyDescent="0.25">
      <c r="A257" s="427"/>
      <c r="B257" s="425"/>
      <c r="C257" s="426"/>
      <c r="D257" s="426"/>
    </row>
    <row r="258" spans="1:4" x14ac:dyDescent="0.25">
      <c r="A258" s="427"/>
      <c r="B258" s="425"/>
      <c r="C258" s="426"/>
      <c r="D258" s="426"/>
    </row>
    <row r="259" spans="1:4" x14ac:dyDescent="0.25">
      <c r="A259" s="427"/>
      <c r="B259" s="425"/>
      <c r="C259" s="426"/>
      <c r="D259" s="426"/>
    </row>
    <row r="260" spans="1:4" x14ac:dyDescent="0.25">
      <c r="A260" s="427"/>
      <c r="B260" s="425"/>
      <c r="C260" s="426"/>
      <c r="D260" s="426"/>
    </row>
    <row r="261" spans="1:4" x14ac:dyDescent="0.25">
      <c r="A261" s="427"/>
      <c r="B261" s="425"/>
      <c r="C261" s="426"/>
      <c r="D261" s="426"/>
    </row>
    <row r="262" spans="1:4" x14ac:dyDescent="0.25">
      <c r="A262" s="427"/>
      <c r="B262" s="425"/>
      <c r="C262" s="426"/>
      <c r="D262" s="426"/>
    </row>
    <row r="263" spans="1:4" x14ac:dyDescent="0.25">
      <c r="A263" s="427"/>
      <c r="B263" s="425"/>
      <c r="C263" s="426"/>
      <c r="D263" s="426"/>
    </row>
    <row r="264" spans="1:4" x14ac:dyDescent="0.25">
      <c r="A264" s="427"/>
      <c r="B264" s="425"/>
      <c r="C264" s="426"/>
      <c r="D264" s="426"/>
    </row>
    <row r="265" spans="1:4" x14ac:dyDescent="0.25">
      <c r="A265" s="427"/>
      <c r="B265" s="425"/>
      <c r="C265" s="426"/>
      <c r="D265" s="426"/>
    </row>
    <row r="266" spans="1:4" x14ac:dyDescent="0.25">
      <c r="A266" s="427"/>
      <c r="B266" s="425"/>
      <c r="C266" s="426"/>
      <c r="D266" s="426"/>
    </row>
    <row r="267" spans="1:4" x14ac:dyDescent="0.25">
      <c r="A267" s="427"/>
      <c r="B267" s="425"/>
      <c r="C267" s="426"/>
      <c r="D267" s="426"/>
    </row>
    <row r="268" spans="1:4" x14ac:dyDescent="0.25">
      <c r="A268" s="427"/>
      <c r="B268" s="425"/>
      <c r="C268" s="426"/>
      <c r="D268" s="426"/>
    </row>
    <row r="269" spans="1:4" x14ac:dyDescent="0.25">
      <c r="A269" s="427"/>
      <c r="B269" s="425"/>
      <c r="C269" s="426"/>
      <c r="D269" s="426"/>
    </row>
    <row r="270" spans="1:4" x14ac:dyDescent="0.25">
      <c r="A270" s="427"/>
      <c r="B270" s="425"/>
      <c r="C270" s="426"/>
      <c r="D270" s="426"/>
    </row>
    <row r="271" spans="1:4" x14ac:dyDescent="0.25">
      <c r="A271" s="427"/>
      <c r="B271" s="425"/>
      <c r="C271" s="426"/>
      <c r="D271" s="426"/>
    </row>
    <row r="272" spans="1:4" x14ac:dyDescent="0.25">
      <c r="A272" s="427"/>
      <c r="B272" s="425"/>
      <c r="C272" s="426"/>
      <c r="D272" s="426"/>
    </row>
    <row r="273" spans="1:4" x14ac:dyDescent="0.25">
      <c r="A273" s="427"/>
      <c r="B273" s="425"/>
      <c r="C273" s="426"/>
      <c r="D273" s="426"/>
    </row>
    <row r="274" spans="1:4" x14ac:dyDescent="0.25">
      <c r="A274" s="427"/>
      <c r="B274" s="425"/>
      <c r="C274" s="426"/>
      <c r="D274" s="426"/>
    </row>
    <row r="275" spans="1:4" x14ac:dyDescent="0.25">
      <c r="A275" s="427"/>
      <c r="B275" s="425"/>
      <c r="C275" s="426"/>
      <c r="D275" s="426"/>
    </row>
    <row r="276" spans="1:4" x14ac:dyDescent="0.25">
      <c r="A276" s="427"/>
      <c r="B276" s="425"/>
      <c r="C276" s="426"/>
      <c r="D276" s="426"/>
    </row>
    <row r="277" spans="1:4" x14ac:dyDescent="0.25">
      <c r="A277" s="427"/>
      <c r="B277" s="425"/>
      <c r="C277" s="426"/>
      <c r="D277" s="426"/>
    </row>
    <row r="278" spans="1:4" x14ac:dyDescent="0.25">
      <c r="A278" s="427"/>
      <c r="B278" s="425"/>
      <c r="C278" s="426"/>
      <c r="D278" s="426"/>
    </row>
    <row r="279" spans="1:4" x14ac:dyDescent="0.25">
      <c r="A279" s="427"/>
      <c r="B279" s="425"/>
      <c r="C279" s="426"/>
      <c r="D279" s="426"/>
    </row>
    <row r="280" spans="1:4" x14ac:dyDescent="0.25">
      <c r="A280" s="427"/>
      <c r="B280" s="425"/>
      <c r="C280" s="426"/>
      <c r="D280" s="426"/>
    </row>
    <row r="281" spans="1:4" x14ac:dyDescent="0.25">
      <c r="A281" s="427"/>
      <c r="B281" s="425"/>
      <c r="C281" s="426"/>
      <c r="D281" s="426"/>
    </row>
    <row r="282" spans="1:4" x14ac:dyDescent="0.25">
      <c r="A282" s="427"/>
      <c r="B282" s="425"/>
      <c r="C282" s="426"/>
      <c r="D282" s="426"/>
    </row>
    <row r="283" spans="1:4" x14ac:dyDescent="0.25">
      <c r="A283" s="427"/>
      <c r="B283" s="425"/>
      <c r="C283" s="426"/>
      <c r="D283" s="426"/>
    </row>
    <row r="284" spans="1:4" x14ac:dyDescent="0.25">
      <c r="A284" s="427"/>
      <c r="B284" s="425"/>
      <c r="C284" s="426"/>
      <c r="D284" s="426"/>
    </row>
    <row r="285" spans="1:4" x14ac:dyDescent="0.25">
      <c r="A285" s="427"/>
      <c r="B285" s="425"/>
      <c r="C285" s="426"/>
      <c r="D285" s="426"/>
    </row>
    <row r="286" spans="1:4" x14ac:dyDescent="0.25">
      <c r="A286" s="427"/>
      <c r="B286" s="425"/>
      <c r="C286" s="426"/>
      <c r="D286" s="426"/>
    </row>
    <row r="287" spans="1:4" x14ac:dyDescent="0.25">
      <c r="A287" s="427"/>
      <c r="B287" s="425"/>
      <c r="C287" s="426"/>
      <c r="D287" s="426"/>
    </row>
    <row r="288" spans="1:4" x14ac:dyDescent="0.25">
      <c r="A288" s="427"/>
      <c r="B288" s="425"/>
      <c r="C288" s="426"/>
      <c r="D288" s="426"/>
    </row>
    <row r="289" spans="1:4" x14ac:dyDescent="0.25">
      <c r="A289" s="427"/>
      <c r="B289" s="425"/>
      <c r="C289" s="426"/>
      <c r="D289" s="426"/>
    </row>
    <row r="290" spans="1:4" x14ac:dyDescent="0.25">
      <c r="A290" s="427"/>
      <c r="B290" s="425"/>
      <c r="C290" s="426"/>
      <c r="D290" s="426"/>
    </row>
    <row r="291" spans="1:4" x14ac:dyDescent="0.25">
      <c r="A291" s="427"/>
      <c r="B291" s="425"/>
      <c r="C291" s="426"/>
      <c r="D291" s="426"/>
    </row>
    <row r="292" spans="1:4" x14ac:dyDescent="0.25">
      <c r="A292" s="427"/>
      <c r="B292" s="425"/>
      <c r="C292" s="426"/>
      <c r="D292" s="426"/>
    </row>
    <row r="293" spans="1:4" x14ac:dyDescent="0.25">
      <c r="A293" s="427"/>
      <c r="B293" s="425"/>
      <c r="C293" s="426"/>
      <c r="D293" s="426"/>
    </row>
    <row r="294" spans="1:4" x14ac:dyDescent="0.25">
      <c r="A294" s="427"/>
      <c r="B294" s="425"/>
      <c r="C294" s="426"/>
      <c r="D294" s="426"/>
    </row>
    <row r="295" spans="1:4" x14ac:dyDescent="0.25">
      <c r="A295" s="427"/>
      <c r="B295" s="425"/>
      <c r="C295" s="426"/>
      <c r="D295" s="426"/>
    </row>
    <row r="296" spans="1:4" x14ac:dyDescent="0.25">
      <c r="A296" s="427"/>
      <c r="B296" s="425"/>
      <c r="C296" s="426"/>
      <c r="D296" s="426"/>
    </row>
    <row r="297" spans="1:4" x14ac:dyDescent="0.25">
      <c r="A297" s="427"/>
      <c r="B297" s="425"/>
      <c r="C297" s="426"/>
      <c r="D297" s="426"/>
    </row>
    <row r="298" spans="1:4" x14ac:dyDescent="0.25">
      <c r="A298" s="427"/>
      <c r="B298" s="425"/>
      <c r="C298" s="426"/>
      <c r="D298" s="426"/>
    </row>
    <row r="299" spans="1:4" x14ac:dyDescent="0.25">
      <c r="A299" s="427"/>
      <c r="B299" s="425"/>
      <c r="C299" s="426"/>
      <c r="D299" s="426"/>
    </row>
    <row r="300" spans="1:4" x14ac:dyDescent="0.25">
      <c r="A300" s="427"/>
      <c r="B300" s="425"/>
      <c r="C300" s="426"/>
      <c r="D300" s="426"/>
    </row>
    <row r="301" spans="1:4" x14ac:dyDescent="0.25">
      <c r="A301" s="427"/>
      <c r="B301" s="425"/>
      <c r="C301" s="426"/>
      <c r="D301" s="426"/>
    </row>
    <row r="302" spans="1:4" x14ac:dyDescent="0.25">
      <c r="A302" s="427"/>
      <c r="B302" s="425"/>
      <c r="C302" s="426"/>
      <c r="D302" s="426"/>
    </row>
    <row r="303" spans="1:4" x14ac:dyDescent="0.25">
      <c r="A303" s="427"/>
      <c r="B303" s="425"/>
      <c r="C303" s="426"/>
      <c r="D303" s="426"/>
    </row>
    <row r="304" spans="1:4" x14ac:dyDescent="0.25">
      <c r="A304" s="427"/>
      <c r="B304" s="425"/>
      <c r="C304" s="426"/>
      <c r="D304" s="426"/>
    </row>
    <row r="305" spans="1:4" x14ac:dyDescent="0.25">
      <c r="A305" s="427"/>
      <c r="B305" s="425"/>
      <c r="C305" s="426"/>
      <c r="D305" s="426"/>
    </row>
    <row r="306" spans="1:4" x14ac:dyDescent="0.25">
      <c r="A306" s="427"/>
      <c r="B306" s="425"/>
      <c r="C306" s="426"/>
      <c r="D306" s="426"/>
    </row>
    <row r="307" spans="1:4" x14ac:dyDescent="0.25">
      <c r="A307" s="427"/>
      <c r="B307" s="425"/>
      <c r="C307" s="426"/>
      <c r="D307" s="426"/>
    </row>
    <row r="308" spans="1:4" x14ac:dyDescent="0.25">
      <c r="A308" s="427"/>
      <c r="B308" s="425"/>
      <c r="C308" s="426"/>
      <c r="D308" s="426"/>
    </row>
    <row r="309" spans="1:4" x14ac:dyDescent="0.25">
      <c r="A309" s="427"/>
      <c r="B309" s="425"/>
      <c r="C309" s="426"/>
      <c r="D309" s="426"/>
    </row>
    <row r="310" spans="1:4" x14ac:dyDescent="0.25">
      <c r="A310" s="427"/>
      <c r="B310" s="425"/>
      <c r="C310" s="426"/>
      <c r="D310" s="426"/>
    </row>
    <row r="311" spans="1:4" x14ac:dyDescent="0.25">
      <c r="A311" s="427"/>
      <c r="B311" s="425"/>
      <c r="C311" s="426"/>
      <c r="D311" s="426"/>
    </row>
    <row r="312" spans="1:4" x14ac:dyDescent="0.25">
      <c r="A312" s="427"/>
      <c r="B312" s="425"/>
      <c r="C312" s="426"/>
      <c r="D312" s="426"/>
    </row>
    <row r="313" spans="1:4" x14ac:dyDescent="0.25">
      <c r="A313" s="427"/>
      <c r="B313" s="425"/>
      <c r="C313" s="426"/>
      <c r="D313" s="426"/>
    </row>
    <row r="314" spans="1:4" x14ac:dyDescent="0.25">
      <c r="A314" s="427"/>
      <c r="B314" s="425"/>
      <c r="C314" s="426"/>
      <c r="D314" s="426"/>
    </row>
    <row r="315" spans="1:4" x14ac:dyDescent="0.25">
      <c r="A315" s="427"/>
      <c r="B315" s="425"/>
      <c r="C315" s="426"/>
      <c r="D315" s="426"/>
    </row>
    <row r="316" spans="1:4" x14ac:dyDescent="0.25">
      <c r="A316" s="427"/>
      <c r="B316" s="425"/>
      <c r="C316" s="426"/>
      <c r="D316" s="426"/>
    </row>
    <row r="317" spans="1:4" x14ac:dyDescent="0.25">
      <c r="A317" s="427"/>
      <c r="B317" s="425"/>
      <c r="C317" s="426"/>
      <c r="D317" s="426"/>
    </row>
    <row r="318" spans="1:4" x14ac:dyDescent="0.25">
      <c r="A318" s="427"/>
      <c r="B318" s="425"/>
      <c r="C318" s="426"/>
      <c r="D318" s="426"/>
    </row>
    <row r="319" spans="1:4" x14ac:dyDescent="0.25">
      <c r="A319" s="427"/>
      <c r="B319" s="425"/>
      <c r="C319" s="426"/>
      <c r="D319" s="426"/>
    </row>
    <row r="320" spans="1:4" x14ac:dyDescent="0.25">
      <c r="A320" s="427"/>
      <c r="B320" s="425"/>
      <c r="C320" s="426"/>
      <c r="D320" s="426"/>
    </row>
    <row r="321" spans="1:4" x14ac:dyDescent="0.25">
      <c r="A321" s="427"/>
      <c r="B321" s="425"/>
      <c r="C321" s="426"/>
      <c r="D321" s="426"/>
    </row>
    <row r="322" spans="1:4" x14ac:dyDescent="0.25">
      <c r="A322" s="427"/>
      <c r="B322" s="425"/>
      <c r="C322" s="426"/>
      <c r="D322" s="426"/>
    </row>
    <row r="323" spans="1:4" x14ac:dyDescent="0.25">
      <c r="A323" s="427"/>
      <c r="B323" s="425"/>
      <c r="C323" s="426"/>
      <c r="D323" s="426"/>
    </row>
    <row r="324" spans="1:4" x14ac:dyDescent="0.25">
      <c r="A324" s="427"/>
      <c r="B324" s="425"/>
      <c r="C324" s="426"/>
      <c r="D324" s="426"/>
    </row>
    <row r="325" spans="1:4" x14ac:dyDescent="0.25">
      <c r="A325" s="427"/>
      <c r="B325" s="425"/>
      <c r="C325" s="426"/>
      <c r="D325" s="426"/>
    </row>
    <row r="326" spans="1:4" x14ac:dyDescent="0.25">
      <c r="A326" s="427"/>
      <c r="B326" s="425"/>
      <c r="C326" s="426"/>
      <c r="D326" s="426"/>
    </row>
    <row r="327" spans="1:4" x14ac:dyDescent="0.25">
      <c r="A327" s="427"/>
      <c r="B327" s="425"/>
      <c r="C327" s="426"/>
      <c r="D327" s="426"/>
    </row>
    <row r="328" spans="1:4" x14ac:dyDescent="0.25">
      <c r="A328" s="427"/>
      <c r="B328" s="425"/>
      <c r="C328" s="426"/>
      <c r="D328" s="426"/>
    </row>
    <row r="329" spans="1:4" x14ac:dyDescent="0.25">
      <c r="A329" s="427"/>
      <c r="B329" s="425"/>
      <c r="C329" s="426"/>
      <c r="D329" s="426"/>
    </row>
    <row r="330" spans="1:4" x14ac:dyDescent="0.25">
      <c r="A330" s="427"/>
      <c r="B330" s="425"/>
      <c r="C330" s="426"/>
      <c r="D330" s="426"/>
    </row>
    <row r="331" spans="1:4" x14ac:dyDescent="0.25">
      <c r="A331" s="427"/>
      <c r="B331" s="425"/>
      <c r="C331" s="426"/>
      <c r="D331" s="426"/>
    </row>
    <row r="332" spans="1:4" x14ac:dyDescent="0.25">
      <c r="A332" s="427"/>
      <c r="B332" s="425"/>
      <c r="C332" s="426"/>
      <c r="D332" s="426"/>
    </row>
    <row r="333" spans="1:4" x14ac:dyDescent="0.25">
      <c r="A333" s="427"/>
      <c r="B333" s="425"/>
      <c r="C333" s="426"/>
      <c r="D333" s="426"/>
    </row>
    <row r="334" spans="1:4" x14ac:dyDescent="0.25">
      <c r="A334" s="427"/>
      <c r="B334" s="425"/>
      <c r="C334" s="426"/>
      <c r="D334" s="426"/>
    </row>
    <row r="335" spans="1:4" x14ac:dyDescent="0.25">
      <c r="A335" s="427"/>
      <c r="B335" s="425"/>
      <c r="C335" s="426"/>
      <c r="D335" s="426"/>
    </row>
    <row r="336" spans="1:4" x14ac:dyDescent="0.25">
      <c r="A336" s="427"/>
      <c r="B336" s="425"/>
      <c r="C336" s="426"/>
      <c r="D336" s="426"/>
    </row>
    <row r="337" spans="1:4" x14ac:dyDescent="0.25">
      <c r="A337" s="427"/>
      <c r="B337" s="425"/>
      <c r="C337" s="426"/>
      <c r="D337" s="426"/>
    </row>
    <row r="338" spans="1:4" x14ac:dyDescent="0.25">
      <c r="A338" s="427"/>
      <c r="B338" s="425"/>
      <c r="C338" s="426"/>
      <c r="D338" s="426"/>
    </row>
    <row r="339" spans="1:4" x14ac:dyDescent="0.25">
      <c r="A339" s="427"/>
      <c r="B339" s="425"/>
      <c r="C339" s="426"/>
      <c r="D339" s="426"/>
    </row>
    <row r="340" spans="1:4" x14ac:dyDescent="0.25">
      <c r="A340" s="427"/>
      <c r="B340" s="425"/>
      <c r="C340" s="426"/>
      <c r="D340" s="426"/>
    </row>
    <row r="341" spans="1:4" x14ac:dyDescent="0.25">
      <c r="A341" s="427"/>
      <c r="B341" s="425"/>
      <c r="C341" s="426"/>
      <c r="D341" s="426"/>
    </row>
    <row r="342" spans="1:4" x14ac:dyDescent="0.25">
      <c r="A342" s="427"/>
      <c r="B342" s="425"/>
      <c r="C342" s="426"/>
      <c r="D342" s="426"/>
    </row>
    <row r="343" spans="1:4" x14ac:dyDescent="0.25">
      <c r="A343" s="427"/>
      <c r="B343" s="425"/>
      <c r="C343" s="426"/>
      <c r="D343" s="426"/>
    </row>
    <row r="344" spans="1:4" x14ac:dyDescent="0.25">
      <c r="A344" s="427"/>
      <c r="B344" s="425"/>
      <c r="C344" s="426"/>
      <c r="D344" s="426"/>
    </row>
    <row r="345" spans="1:4" x14ac:dyDescent="0.25">
      <c r="A345" s="427"/>
      <c r="B345" s="425"/>
      <c r="C345" s="426"/>
      <c r="D345" s="426"/>
    </row>
    <row r="346" spans="1:4" x14ac:dyDescent="0.25">
      <c r="A346" s="427"/>
      <c r="B346" s="425"/>
      <c r="C346" s="426"/>
      <c r="D346" s="426"/>
    </row>
    <row r="347" spans="1:4" x14ac:dyDescent="0.25">
      <c r="A347" s="427"/>
      <c r="B347" s="425"/>
      <c r="C347" s="426"/>
      <c r="D347" s="426"/>
    </row>
    <row r="348" spans="1:4" x14ac:dyDescent="0.25">
      <c r="A348" s="427"/>
      <c r="B348" s="425"/>
      <c r="C348" s="426"/>
      <c r="D348" s="426"/>
    </row>
    <row r="349" spans="1:4" x14ac:dyDescent="0.25">
      <c r="A349" s="427"/>
      <c r="B349" s="425"/>
      <c r="C349" s="426"/>
      <c r="D349" s="426"/>
    </row>
    <row r="350" spans="1:4" x14ac:dyDescent="0.25">
      <c r="A350" s="427"/>
      <c r="B350" s="425"/>
      <c r="C350" s="426"/>
      <c r="D350" s="426"/>
    </row>
    <row r="351" spans="1:4" x14ac:dyDescent="0.25">
      <c r="A351" s="427"/>
      <c r="B351" s="425"/>
      <c r="C351" s="426"/>
      <c r="D351" s="426"/>
    </row>
    <row r="352" spans="1:4" x14ac:dyDescent="0.25">
      <c r="A352" s="427"/>
      <c r="B352" s="425"/>
      <c r="C352" s="426"/>
      <c r="D352" s="426"/>
    </row>
    <row r="353" spans="1:4" x14ac:dyDescent="0.25">
      <c r="A353" s="427"/>
      <c r="B353" s="425"/>
      <c r="C353" s="426"/>
      <c r="D353" s="426"/>
    </row>
    <row r="354" spans="1:4" x14ac:dyDescent="0.25">
      <c r="A354" s="427"/>
      <c r="B354" s="425"/>
      <c r="C354" s="426"/>
      <c r="D354" s="426"/>
    </row>
    <row r="355" spans="1:4" x14ac:dyDescent="0.25">
      <c r="A355" s="427"/>
      <c r="B355" s="425"/>
      <c r="C355" s="426"/>
      <c r="D355" s="426"/>
    </row>
    <row r="356" spans="1:4" x14ac:dyDescent="0.25">
      <c r="A356" s="427"/>
      <c r="B356" s="425"/>
      <c r="C356" s="426"/>
      <c r="D356" s="426"/>
    </row>
    <row r="357" spans="1:4" x14ac:dyDescent="0.25">
      <c r="A357" s="427"/>
      <c r="B357" s="425"/>
      <c r="C357" s="426"/>
      <c r="D357" s="426"/>
    </row>
    <row r="358" spans="1:4" x14ac:dyDescent="0.25">
      <c r="A358" s="427"/>
      <c r="B358" s="425"/>
      <c r="C358" s="426"/>
      <c r="D358" s="426"/>
    </row>
    <row r="359" spans="1:4" x14ac:dyDescent="0.25">
      <c r="A359" s="427"/>
      <c r="B359" s="425"/>
      <c r="C359" s="426"/>
      <c r="D359" s="426"/>
    </row>
    <row r="360" spans="1:4" x14ac:dyDescent="0.25">
      <c r="A360" s="427"/>
      <c r="B360" s="425"/>
      <c r="C360" s="426"/>
      <c r="D360" s="426"/>
    </row>
    <row r="361" spans="1:4" x14ac:dyDescent="0.25">
      <c r="A361" s="427"/>
      <c r="B361" s="425"/>
      <c r="C361" s="426"/>
      <c r="D361" s="426"/>
    </row>
    <row r="362" spans="1:4" x14ac:dyDescent="0.25">
      <c r="A362" s="427"/>
      <c r="B362" s="425"/>
      <c r="C362" s="426"/>
      <c r="D362" s="426"/>
    </row>
    <row r="363" spans="1:4" x14ac:dyDescent="0.25">
      <c r="A363" s="427"/>
      <c r="B363" s="425"/>
      <c r="C363" s="426"/>
      <c r="D363" s="426"/>
    </row>
    <row r="364" spans="1:4" x14ac:dyDescent="0.25">
      <c r="A364" s="427"/>
      <c r="B364" s="425"/>
      <c r="C364" s="426"/>
      <c r="D364" s="426"/>
    </row>
    <row r="365" spans="1:4" x14ac:dyDescent="0.25">
      <c r="A365" s="427"/>
      <c r="B365" s="425"/>
      <c r="C365" s="426"/>
      <c r="D365" s="426"/>
    </row>
    <row r="366" spans="1:4" x14ac:dyDescent="0.25">
      <c r="A366" s="427"/>
      <c r="B366" s="425"/>
      <c r="C366" s="426"/>
      <c r="D366" s="426"/>
    </row>
    <row r="367" spans="1:4" x14ac:dyDescent="0.25">
      <c r="A367" s="427"/>
      <c r="B367" s="425"/>
      <c r="C367" s="426"/>
      <c r="D367" s="426"/>
    </row>
    <row r="368" spans="1:4" x14ac:dyDescent="0.25">
      <c r="A368" s="427"/>
      <c r="B368" s="425"/>
      <c r="C368" s="426"/>
      <c r="D368" s="426"/>
    </row>
    <row r="369" spans="1:4" x14ac:dyDescent="0.25">
      <c r="A369" s="427"/>
      <c r="B369" s="425"/>
      <c r="C369" s="426"/>
      <c r="D369" s="426"/>
    </row>
    <row r="370" spans="1:4" x14ac:dyDescent="0.25">
      <c r="A370" s="427"/>
      <c r="B370" s="425"/>
      <c r="C370" s="426"/>
      <c r="D370" s="426"/>
    </row>
    <row r="371" spans="1:4" x14ac:dyDescent="0.25">
      <c r="A371" s="427"/>
      <c r="B371" s="425"/>
      <c r="C371" s="426"/>
      <c r="D371" s="426"/>
    </row>
    <row r="372" spans="1:4" x14ac:dyDescent="0.25">
      <c r="A372" s="427"/>
      <c r="B372" s="425"/>
      <c r="C372" s="426"/>
      <c r="D372" s="426"/>
    </row>
    <row r="373" spans="1:4" x14ac:dyDescent="0.25">
      <c r="A373" s="427"/>
      <c r="B373" s="425"/>
      <c r="C373" s="426"/>
      <c r="D373" s="426"/>
    </row>
    <row r="374" spans="1:4" x14ac:dyDescent="0.25">
      <c r="A374" s="427"/>
      <c r="B374" s="425"/>
      <c r="C374" s="426"/>
      <c r="D374" s="426"/>
    </row>
    <row r="375" spans="1:4" x14ac:dyDescent="0.25">
      <c r="A375" s="427"/>
      <c r="B375" s="425"/>
      <c r="C375" s="426"/>
      <c r="D375" s="426"/>
    </row>
    <row r="376" spans="1:4" x14ac:dyDescent="0.25">
      <c r="A376" s="427"/>
      <c r="B376" s="425"/>
      <c r="C376" s="426"/>
      <c r="D376" s="426"/>
    </row>
    <row r="377" spans="1:4" x14ac:dyDescent="0.25">
      <c r="A377" s="427"/>
      <c r="B377" s="425"/>
      <c r="C377" s="426"/>
      <c r="D377" s="426"/>
    </row>
    <row r="378" spans="1:4" x14ac:dyDescent="0.25">
      <c r="A378" s="427"/>
      <c r="B378" s="425"/>
      <c r="C378" s="426"/>
      <c r="D378" s="426"/>
    </row>
    <row r="379" spans="1:4" x14ac:dyDescent="0.25">
      <c r="A379" s="427"/>
      <c r="B379" s="425"/>
      <c r="C379" s="426"/>
      <c r="D379" s="426"/>
    </row>
    <row r="380" spans="1:4" x14ac:dyDescent="0.25">
      <c r="A380" s="427"/>
      <c r="B380" s="425"/>
      <c r="C380" s="426"/>
      <c r="D380" s="426"/>
    </row>
    <row r="381" spans="1:4" x14ac:dyDescent="0.25">
      <c r="A381" s="426"/>
      <c r="B381" s="425"/>
      <c r="C381" s="426"/>
      <c r="D381" s="426"/>
    </row>
    <row r="382" spans="1:4" x14ac:dyDescent="0.25">
      <c r="A382" s="426"/>
      <c r="B382" s="425"/>
      <c r="C382" s="426"/>
      <c r="D382" s="426"/>
    </row>
    <row r="383" spans="1:4" x14ac:dyDescent="0.25">
      <c r="A383" s="426"/>
      <c r="B383" s="425"/>
      <c r="C383" s="426"/>
      <c r="D383" s="426"/>
    </row>
    <row r="384" spans="1:4" x14ac:dyDescent="0.25">
      <c r="A384" s="426"/>
      <c r="B384" s="425"/>
      <c r="C384" s="426"/>
      <c r="D384" s="426"/>
    </row>
    <row r="385" spans="1:4" x14ac:dyDescent="0.25">
      <c r="A385" s="426"/>
      <c r="B385" s="425"/>
      <c r="C385" s="426"/>
      <c r="D385" s="426"/>
    </row>
    <row r="386" spans="1:4" x14ac:dyDescent="0.25">
      <c r="A386" s="426"/>
      <c r="B386" s="425"/>
      <c r="C386" s="426"/>
      <c r="D386" s="426"/>
    </row>
    <row r="387" spans="1:4" x14ac:dyDescent="0.25">
      <c r="A387" s="426"/>
      <c r="B387" s="425"/>
      <c r="C387" s="426"/>
      <c r="D387" s="426"/>
    </row>
    <row r="388" spans="1:4" x14ac:dyDescent="0.25">
      <c r="A388" s="426"/>
      <c r="B388" s="425"/>
      <c r="C388" s="426"/>
      <c r="D388" s="426"/>
    </row>
    <row r="389" spans="1:4" x14ac:dyDescent="0.25">
      <c r="A389" s="426"/>
      <c r="B389" s="425"/>
      <c r="C389" s="426"/>
      <c r="D389" s="426"/>
    </row>
    <row r="390" spans="1:4" x14ac:dyDescent="0.25">
      <c r="A390" s="426"/>
      <c r="B390" s="425"/>
      <c r="C390" s="426"/>
      <c r="D390" s="426"/>
    </row>
    <row r="391" spans="1:4" x14ac:dyDescent="0.25">
      <c r="A391" s="426"/>
      <c r="B391" s="425"/>
      <c r="C391" s="426"/>
      <c r="D391" s="426"/>
    </row>
    <row r="392" spans="1:4" x14ac:dyDescent="0.25">
      <c r="A392" s="426"/>
      <c r="B392" s="425"/>
      <c r="C392" s="426"/>
      <c r="D392" s="426"/>
    </row>
    <row r="393" spans="1:4" x14ac:dyDescent="0.25">
      <c r="A393" s="426"/>
      <c r="B393" s="425"/>
      <c r="C393" s="426"/>
      <c r="D393" s="426"/>
    </row>
    <row r="394" spans="1:4" x14ac:dyDescent="0.25">
      <c r="A394" s="426"/>
      <c r="B394" s="425"/>
      <c r="C394" s="426"/>
      <c r="D394" s="426"/>
    </row>
    <row r="395" spans="1:4" x14ac:dyDescent="0.25">
      <c r="A395" s="426"/>
      <c r="B395" s="425"/>
      <c r="C395" s="426"/>
      <c r="D395" s="426"/>
    </row>
    <row r="396" spans="1:4" x14ac:dyDescent="0.25">
      <c r="A396" s="426"/>
      <c r="B396" s="425"/>
      <c r="C396" s="426"/>
      <c r="D396" s="426"/>
    </row>
    <row r="397" spans="1:4" x14ac:dyDescent="0.25">
      <c r="A397" s="426"/>
      <c r="B397" s="425"/>
      <c r="C397" s="426"/>
      <c r="D397" s="426"/>
    </row>
    <row r="398" spans="1:4" x14ac:dyDescent="0.25">
      <c r="A398" s="426"/>
      <c r="B398" s="425"/>
      <c r="C398" s="426"/>
      <c r="D398" s="426"/>
    </row>
    <row r="399" spans="1:4" x14ac:dyDescent="0.25">
      <c r="A399" s="426"/>
      <c r="B399" s="425"/>
      <c r="C399" s="426"/>
      <c r="D399" s="426"/>
    </row>
    <row r="400" spans="1:4" x14ac:dyDescent="0.25">
      <c r="A400" s="426"/>
      <c r="B400" s="425"/>
      <c r="C400" s="426"/>
      <c r="D400" s="426"/>
    </row>
    <row r="401" spans="1:4" x14ac:dyDescent="0.25">
      <c r="A401" s="426"/>
      <c r="B401" s="425"/>
      <c r="C401" s="426"/>
      <c r="D401" s="426"/>
    </row>
    <row r="402" spans="1:4" x14ac:dyDescent="0.25">
      <c r="A402" s="426"/>
      <c r="B402" s="425"/>
      <c r="C402" s="426"/>
      <c r="D402" s="426"/>
    </row>
    <row r="403" spans="1:4" x14ac:dyDescent="0.25">
      <c r="A403" s="426"/>
      <c r="B403" s="425"/>
      <c r="C403" s="426"/>
      <c r="D403" s="426"/>
    </row>
    <row r="404" spans="1:4" x14ac:dyDescent="0.25">
      <c r="A404" s="426"/>
      <c r="B404" s="425"/>
      <c r="C404" s="426"/>
      <c r="D404" s="426"/>
    </row>
    <row r="405" spans="1:4" x14ac:dyDescent="0.25">
      <c r="A405" s="426"/>
      <c r="B405" s="425"/>
      <c r="C405" s="426"/>
      <c r="D405" s="426"/>
    </row>
    <row r="406" spans="1:4" x14ac:dyDescent="0.25">
      <c r="A406" s="426"/>
      <c r="B406" s="425"/>
      <c r="C406" s="426"/>
      <c r="D406" s="426"/>
    </row>
    <row r="407" spans="1:4" x14ac:dyDescent="0.25">
      <c r="A407" s="426"/>
      <c r="B407" s="425"/>
      <c r="C407" s="426"/>
      <c r="D407" s="426"/>
    </row>
    <row r="408" spans="1:4" x14ac:dyDescent="0.25">
      <c r="A408" s="426"/>
      <c r="B408" s="425"/>
      <c r="C408" s="426"/>
      <c r="D408" s="426"/>
    </row>
    <row r="409" spans="1:4" x14ac:dyDescent="0.25">
      <c r="A409" s="426"/>
      <c r="B409" s="425"/>
      <c r="C409" s="426"/>
      <c r="D409" s="426"/>
    </row>
    <row r="410" spans="1:4" x14ac:dyDescent="0.25">
      <c r="A410" s="426"/>
      <c r="B410" s="425"/>
      <c r="C410" s="426"/>
      <c r="D410" s="426"/>
    </row>
    <row r="411" spans="1:4" x14ac:dyDescent="0.25">
      <c r="A411" s="426"/>
      <c r="B411" s="425"/>
      <c r="C411" s="426"/>
      <c r="D411" s="426"/>
    </row>
    <row r="412" spans="1:4" x14ac:dyDescent="0.25">
      <c r="A412" s="426"/>
      <c r="B412" s="425"/>
      <c r="C412" s="426"/>
      <c r="D412" s="426"/>
    </row>
    <row r="413" spans="1:4" x14ac:dyDescent="0.25">
      <c r="A413" s="426"/>
      <c r="B413" s="425"/>
      <c r="C413" s="426"/>
      <c r="D413" s="426"/>
    </row>
    <row r="414" spans="1:4" x14ac:dyDescent="0.25">
      <c r="A414" s="426"/>
      <c r="B414" s="425"/>
      <c r="C414" s="426"/>
      <c r="D414" s="426"/>
    </row>
    <row r="415" spans="1:4" x14ac:dyDescent="0.25">
      <c r="A415" s="426"/>
      <c r="B415" s="425"/>
      <c r="C415" s="426"/>
      <c r="D415" s="426"/>
    </row>
    <row r="416" spans="1:4" x14ac:dyDescent="0.25">
      <c r="A416" s="426"/>
      <c r="B416" s="425"/>
      <c r="C416" s="426"/>
      <c r="D416" s="426"/>
    </row>
    <row r="417" spans="1:4" x14ac:dyDescent="0.25">
      <c r="A417" s="426"/>
      <c r="B417" s="425"/>
      <c r="C417" s="426"/>
      <c r="D417" s="426"/>
    </row>
    <row r="418" spans="1:4" x14ac:dyDescent="0.25">
      <c r="A418" s="426"/>
      <c r="B418" s="425"/>
      <c r="C418" s="426"/>
      <c r="D418" s="426"/>
    </row>
    <row r="419" spans="1:4" x14ac:dyDescent="0.25">
      <c r="A419" s="426"/>
      <c r="B419" s="425"/>
      <c r="C419" s="426"/>
      <c r="D419" s="426"/>
    </row>
    <row r="420" spans="1:4" x14ac:dyDescent="0.25">
      <c r="A420" s="426"/>
      <c r="B420" s="425"/>
      <c r="C420" s="426"/>
      <c r="D420" s="426"/>
    </row>
    <row r="421" spans="1:4" x14ac:dyDescent="0.25">
      <c r="A421" s="426"/>
      <c r="B421" s="425"/>
      <c r="C421" s="426"/>
      <c r="D421" s="426"/>
    </row>
    <row r="422" spans="1:4" x14ac:dyDescent="0.25">
      <c r="A422" s="426"/>
      <c r="B422" s="425"/>
      <c r="C422" s="426"/>
      <c r="D422" s="426"/>
    </row>
    <row r="423" spans="1:4" x14ac:dyDescent="0.25">
      <c r="A423" s="426"/>
      <c r="B423" s="425"/>
      <c r="C423" s="426"/>
      <c r="D423" s="426"/>
    </row>
    <row r="424" spans="1:4" x14ac:dyDescent="0.25">
      <c r="A424" s="426"/>
      <c r="B424" s="425"/>
      <c r="C424" s="426"/>
      <c r="D424" s="426"/>
    </row>
    <row r="425" spans="1:4" x14ac:dyDescent="0.25">
      <c r="A425" s="426"/>
      <c r="B425" s="425"/>
      <c r="C425" s="426"/>
      <c r="D425" s="426"/>
    </row>
    <row r="426" spans="1:4" x14ac:dyDescent="0.25">
      <c r="A426" s="426"/>
      <c r="B426" s="425"/>
      <c r="C426" s="426"/>
      <c r="D426" s="426"/>
    </row>
    <row r="427" spans="1:4" x14ac:dyDescent="0.25">
      <c r="A427" s="426"/>
      <c r="B427" s="425"/>
      <c r="C427" s="426"/>
      <c r="D427" s="426"/>
    </row>
    <row r="428" spans="1:4" x14ac:dyDescent="0.25">
      <c r="A428" s="426"/>
      <c r="B428" s="425"/>
      <c r="C428" s="426"/>
      <c r="D428" s="426"/>
    </row>
    <row r="429" spans="1:4" x14ac:dyDescent="0.25">
      <c r="A429" s="426"/>
      <c r="B429" s="425"/>
      <c r="C429" s="426"/>
      <c r="D429" s="426"/>
    </row>
    <row r="430" spans="1:4" x14ac:dyDescent="0.25">
      <c r="A430" s="426"/>
      <c r="B430" s="425"/>
      <c r="C430" s="426"/>
      <c r="D430" s="426"/>
    </row>
    <row r="431" spans="1:4" x14ac:dyDescent="0.25">
      <c r="A431" s="426"/>
      <c r="B431" s="425"/>
      <c r="C431" s="426"/>
      <c r="D431" s="426"/>
    </row>
    <row r="432" spans="1:4" x14ac:dyDescent="0.25">
      <c r="A432" s="426"/>
      <c r="B432" s="425"/>
      <c r="C432" s="426"/>
      <c r="D432" s="426"/>
    </row>
    <row r="433" spans="1:4" x14ac:dyDescent="0.25">
      <c r="A433" s="426"/>
      <c r="B433" s="425"/>
      <c r="C433" s="426"/>
      <c r="D433" s="426"/>
    </row>
    <row r="434" spans="1:4" x14ac:dyDescent="0.25">
      <c r="A434" s="426"/>
      <c r="B434" s="425"/>
      <c r="C434" s="426"/>
      <c r="D434" s="426"/>
    </row>
    <row r="435" spans="1:4" x14ac:dyDescent="0.25">
      <c r="A435" s="426"/>
      <c r="B435" s="425"/>
      <c r="C435" s="426"/>
      <c r="D435" s="426"/>
    </row>
    <row r="436" spans="1:4" x14ac:dyDescent="0.25">
      <c r="A436" s="426"/>
      <c r="B436" s="425"/>
      <c r="C436" s="426"/>
      <c r="D436" s="426"/>
    </row>
    <row r="437" spans="1:4" x14ac:dyDescent="0.25">
      <c r="A437" s="426"/>
      <c r="B437" s="425"/>
      <c r="C437" s="426"/>
      <c r="D437" s="426"/>
    </row>
    <row r="438" spans="1:4" x14ac:dyDescent="0.25">
      <c r="A438" s="426"/>
      <c r="B438" s="425"/>
      <c r="C438" s="426"/>
      <c r="D438" s="426"/>
    </row>
    <row r="439" spans="1:4" x14ac:dyDescent="0.25">
      <c r="A439" s="426"/>
      <c r="B439" s="425"/>
      <c r="C439" s="426"/>
      <c r="D439" s="426"/>
    </row>
    <row r="440" spans="1:4" x14ac:dyDescent="0.25">
      <c r="A440" s="426"/>
      <c r="B440" s="425"/>
      <c r="C440" s="426"/>
      <c r="D440" s="426"/>
    </row>
    <row r="441" spans="1:4" x14ac:dyDescent="0.25">
      <c r="A441" s="426"/>
      <c r="B441" s="425"/>
      <c r="C441" s="426"/>
      <c r="D441" s="426"/>
    </row>
    <row r="442" spans="1:4" x14ac:dyDescent="0.25">
      <c r="A442" s="426"/>
      <c r="B442" s="425"/>
      <c r="C442" s="426"/>
      <c r="D442" s="426"/>
    </row>
    <row r="443" spans="1:4" x14ac:dyDescent="0.25">
      <c r="A443" s="426"/>
      <c r="B443" s="425"/>
      <c r="C443" s="426"/>
      <c r="D443" s="426"/>
    </row>
    <row r="444" spans="1:4" x14ac:dyDescent="0.25">
      <c r="A444" s="426"/>
      <c r="B444" s="425"/>
      <c r="C444" s="426"/>
      <c r="D444" s="426"/>
    </row>
    <row r="445" spans="1:4" x14ac:dyDescent="0.25">
      <c r="A445" s="426"/>
      <c r="B445" s="425"/>
      <c r="C445" s="426"/>
      <c r="D445" s="426"/>
    </row>
    <row r="446" spans="1:4" x14ac:dyDescent="0.25">
      <c r="A446" s="426"/>
      <c r="B446" s="425"/>
      <c r="C446" s="426"/>
      <c r="D446" s="426"/>
    </row>
    <row r="447" spans="1:4" x14ac:dyDescent="0.25">
      <c r="A447" s="426"/>
      <c r="B447" s="425"/>
      <c r="C447" s="426"/>
      <c r="D447" s="426"/>
    </row>
    <row r="448" spans="1:4" x14ac:dyDescent="0.25">
      <c r="A448" s="426"/>
      <c r="B448" s="425"/>
      <c r="C448" s="426"/>
      <c r="D448" s="426"/>
    </row>
    <row r="449" spans="1:4" x14ac:dyDescent="0.25">
      <c r="A449" s="426"/>
      <c r="B449" s="425"/>
      <c r="C449" s="426"/>
      <c r="D449" s="426"/>
    </row>
    <row r="450" spans="1:4" x14ac:dyDescent="0.25">
      <c r="A450" s="426"/>
      <c r="B450" s="425"/>
      <c r="C450" s="426"/>
      <c r="D450" s="426"/>
    </row>
    <row r="451" spans="1:4" x14ac:dyDescent="0.25">
      <c r="A451" s="426"/>
      <c r="B451" s="425"/>
      <c r="C451" s="426"/>
      <c r="D451" s="426"/>
    </row>
    <row r="452" spans="1:4" x14ac:dyDescent="0.25">
      <c r="A452" s="426"/>
      <c r="B452" s="425"/>
      <c r="C452" s="426"/>
      <c r="D452" s="426"/>
    </row>
    <row r="453" spans="1:4" x14ac:dyDescent="0.25">
      <c r="A453" s="426"/>
      <c r="B453" s="425"/>
      <c r="C453" s="426"/>
      <c r="D453" s="426"/>
    </row>
    <row r="454" spans="1:4" x14ac:dyDescent="0.25">
      <c r="A454" s="426"/>
      <c r="B454" s="425"/>
      <c r="C454" s="426"/>
      <c r="D454" s="426"/>
    </row>
    <row r="455" spans="1:4" x14ac:dyDescent="0.25">
      <c r="A455" s="426"/>
      <c r="B455" s="425"/>
      <c r="C455" s="426"/>
      <c r="D455" s="426"/>
    </row>
    <row r="456" spans="1:4" x14ac:dyDescent="0.25">
      <c r="A456" s="426"/>
      <c r="B456" s="425"/>
      <c r="C456" s="426"/>
      <c r="D456" s="426"/>
    </row>
    <row r="457" spans="1:4" x14ac:dyDescent="0.25">
      <c r="A457" s="426"/>
      <c r="B457" s="425"/>
      <c r="C457" s="426"/>
      <c r="D457" s="426"/>
    </row>
    <row r="458" spans="1:4" x14ac:dyDescent="0.25">
      <c r="A458" s="426"/>
      <c r="B458" s="425"/>
      <c r="C458" s="426"/>
      <c r="D458" s="426"/>
    </row>
    <row r="459" spans="1:4" x14ac:dyDescent="0.25">
      <c r="A459" s="426"/>
      <c r="B459" s="425"/>
      <c r="C459" s="426"/>
      <c r="D459" s="426"/>
    </row>
    <row r="460" spans="1:4" x14ac:dyDescent="0.25">
      <c r="A460" s="426"/>
      <c r="B460" s="425"/>
      <c r="C460" s="426"/>
      <c r="D460" s="426"/>
    </row>
    <row r="461" spans="1:4" x14ac:dyDescent="0.25">
      <c r="A461" s="426"/>
      <c r="B461" s="425"/>
      <c r="C461" s="426"/>
      <c r="D461" s="426"/>
    </row>
    <row r="462" spans="1:4" x14ac:dyDescent="0.25">
      <c r="A462" s="426"/>
      <c r="B462" s="425"/>
      <c r="C462" s="426"/>
      <c r="D462" s="426"/>
    </row>
    <row r="463" spans="1:4" x14ac:dyDescent="0.25">
      <c r="A463" s="426"/>
      <c r="B463" s="425"/>
      <c r="C463" s="426"/>
      <c r="D463" s="426"/>
    </row>
    <row r="464" spans="1:4" x14ac:dyDescent="0.25">
      <c r="A464" s="426"/>
      <c r="B464" s="425"/>
      <c r="C464" s="426"/>
      <c r="D464" s="426"/>
    </row>
    <row r="465" spans="1:4" x14ac:dyDescent="0.25">
      <c r="A465" s="426"/>
      <c r="B465" s="425"/>
      <c r="C465" s="426"/>
      <c r="D465" s="426"/>
    </row>
    <row r="466" spans="1:4" x14ac:dyDescent="0.25">
      <c r="A466" s="426"/>
      <c r="B466" s="425"/>
      <c r="C466" s="426"/>
      <c r="D466" s="426"/>
    </row>
    <row r="467" spans="1:4" x14ac:dyDescent="0.25">
      <c r="A467" s="426"/>
      <c r="B467" s="425"/>
      <c r="C467" s="426"/>
      <c r="D467" s="426"/>
    </row>
    <row r="468" spans="1:4" x14ac:dyDescent="0.25">
      <c r="A468" s="426"/>
      <c r="B468" s="425"/>
      <c r="C468" s="426"/>
      <c r="D468" s="426"/>
    </row>
    <row r="469" spans="1:4" x14ac:dyDescent="0.25">
      <c r="A469" s="426"/>
      <c r="B469" s="425"/>
      <c r="C469" s="426"/>
      <c r="D469" s="426"/>
    </row>
    <row r="470" spans="1:4" x14ac:dyDescent="0.25">
      <c r="A470" s="426"/>
      <c r="B470" s="425"/>
      <c r="C470" s="426"/>
      <c r="D470" s="426"/>
    </row>
    <row r="471" spans="1:4" x14ac:dyDescent="0.25">
      <c r="A471" s="426"/>
      <c r="B471" s="425"/>
      <c r="C471" s="426"/>
      <c r="D471" s="426"/>
    </row>
    <row r="472" spans="1:4" x14ac:dyDescent="0.25">
      <c r="A472" s="426"/>
      <c r="B472" s="425"/>
      <c r="C472" s="426"/>
      <c r="D472" s="426"/>
    </row>
    <row r="473" spans="1:4" x14ac:dyDescent="0.25">
      <c r="A473" s="426"/>
      <c r="B473" s="425"/>
      <c r="C473" s="426"/>
      <c r="D473" s="426"/>
    </row>
    <row r="474" spans="1:4" x14ac:dyDescent="0.25">
      <c r="A474" s="426"/>
      <c r="B474" s="425"/>
      <c r="C474" s="426"/>
      <c r="D474" s="426"/>
    </row>
    <row r="475" spans="1:4" x14ac:dyDescent="0.25">
      <c r="A475" s="426"/>
      <c r="B475" s="425"/>
      <c r="C475" s="426"/>
      <c r="D475" s="426"/>
    </row>
    <row r="476" spans="1:4" x14ac:dyDescent="0.25">
      <c r="A476" s="426"/>
      <c r="B476" s="425"/>
      <c r="C476" s="426"/>
      <c r="D476" s="426"/>
    </row>
    <row r="477" spans="1:4" x14ac:dyDescent="0.25">
      <c r="A477" s="426"/>
      <c r="B477" s="425"/>
      <c r="C477" s="426"/>
      <c r="D477" s="426"/>
    </row>
    <row r="478" spans="1:4" x14ac:dyDescent="0.25">
      <c r="A478" s="426"/>
      <c r="B478" s="425"/>
      <c r="C478" s="426"/>
      <c r="D478" s="426"/>
    </row>
    <row r="479" spans="1:4" x14ac:dyDescent="0.25">
      <c r="A479" s="426"/>
      <c r="B479" s="425"/>
      <c r="C479" s="426"/>
      <c r="D479" s="426"/>
    </row>
    <row r="480" spans="1:4" x14ac:dyDescent="0.25">
      <c r="A480" s="426"/>
      <c r="B480" s="425"/>
      <c r="C480" s="426"/>
      <c r="D480" s="426"/>
    </row>
    <row r="481" spans="1:4" x14ac:dyDescent="0.25">
      <c r="A481" s="426"/>
      <c r="B481" s="425"/>
      <c r="C481" s="426"/>
      <c r="D481" s="426"/>
    </row>
    <row r="482" spans="1:4" x14ac:dyDescent="0.25">
      <c r="A482" s="426"/>
      <c r="B482" s="425"/>
      <c r="C482" s="426"/>
      <c r="D482" s="426"/>
    </row>
    <row r="483" spans="1:4" x14ac:dyDescent="0.25">
      <c r="A483" s="426"/>
      <c r="B483" s="425"/>
      <c r="C483" s="426"/>
      <c r="D483" s="426"/>
    </row>
    <row r="484" spans="1:4" x14ac:dyDescent="0.25">
      <c r="A484" s="426"/>
      <c r="B484" s="425"/>
      <c r="C484" s="426"/>
      <c r="D484" s="426"/>
    </row>
    <row r="485" spans="1:4" x14ac:dyDescent="0.25">
      <c r="A485" s="426"/>
      <c r="B485" s="425"/>
      <c r="C485" s="426"/>
      <c r="D485" s="426"/>
    </row>
    <row r="486" spans="1:4" x14ac:dyDescent="0.25">
      <c r="A486" s="426"/>
      <c r="B486" s="425"/>
      <c r="C486" s="426"/>
      <c r="D486" s="426"/>
    </row>
    <row r="487" spans="1:4" x14ac:dyDescent="0.25">
      <c r="A487" s="426"/>
      <c r="B487" s="425"/>
      <c r="C487" s="426"/>
      <c r="D487" s="426"/>
    </row>
    <row r="488" spans="1:4" x14ac:dyDescent="0.25">
      <c r="A488" s="426"/>
      <c r="B488" s="425"/>
      <c r="C488" s="426"/>
      <c r="D488" s="426"/>
    </row>
    <row r="489" spans="1:4" x14ac:dyDescent="0.25">
      <c r="A489" s="426"/>
      <c r="B489" s="425"/>
      <c r="C489" s="426"/>
      <c r="D489" s="426"/>
    </row>
    <row r="490" spans="1:4" x14ac:dyDescent="0.25">
      <c r="A490" s="426"/>
      <c r="B490" s="425"/>
      <c r="C490" s="426"/>
      <c r="D490" s="426"/>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2" t="s">
        <v>270</v>
      </c>
      <c r="D2" s="443"/>
      <c r="E2" s="444"/>
      <c r="F2" s="443"/>
    </row>
    <row r="4" spans="3:6" x14ac:dyDescent="0.25">
      <c r="C4" s="445" t="s">
        <v>268</v>
      </c>
      <c r="E4" s="446">
        <v>36244</v>
      </c>
    </row>
    <row r="5" spans="3:6" x14ac:dyDescent="0.25">
      <c r="C5" s="445" t="s">
        <v>269</v>
      </c>
      <c r="E5" s="446">
        <v>36244</v>
      </c>
    </row>
    <row r="17" spans="5:5" x14ac:dyDescent="0.25">
      <c r="E17" s="447"/>
    </row>
    <row r="18" spans="5:5" x14ac:dyDescent="0.25">
      <c r="E18" s="44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503">
        <v>37271.972222222219</v>
      </c>
    </row>
    <row r="32" spans="2:2" x14ac:dyDescent="0.25">
      <c r="B32" t="s">
        <v>378</v>
      </c>
    </row>
    <row r="33" spans="2:2" x14ac:dyDescent="0.25">
      <c r="B33" t="s">
        <v>380</v>
      </c>
    </row>
    <row r="34" spans="2:2" x14ac:dyDescent="0.25">
      <c r="B34" t="s">
        <v>379</v>
      </c>
    </row>
    <row r="35" spans="2:2" x14ac:dyDescent="0.25">
      <c r="B35" t="s">
        <v>373</v>
      </c>
    </row>
    <row r="36" spans="2:2" x14ac:dyDescent="0.25">
      <c r="B36" t="s">
        <v>374</v>
      </c>
    </row>
    <row r="37" spans="2:2" x14ac:dyDescent="0.25">
      <c r="B37" t="s">
        <v>368</v>
      </c>
    </row>
    <row r="38" spans="2:2" x14ac:dyDescent="0.25">
      <c r="B38" t="s">
        <v>364</v>
      </c>
    </row>
    <row r="39" spans="2:2" x14ac:dyDescent="0.25">
      <c r="B39" t="s">
        <v>382</v>
      </c>
    </row>
    <row r="40" spans="2:2" x14ac:dyDescent="0.25">
      <c r="B40" t="s">
        <v>383</v>
      </c>
    </row>
    <row r="41" spans="2:2" x14ac:dyDescent="0.25">
      <c r="B41" t="s">
        <v>361</v>
      </c>
    </row>
    <row r="42" spans="2:2" x14ac:dyDescent="0.25">
      <c r="B42" t="s">
        <v>376</v>
      </c>
    </row>
    <row r="43" spans="2:2" x14ac:dyDescent="0.25">
      <c r="B43" t="s">
        <v>375</v>
      </c>
    </row>
    <row r="44" spans="2:2" x14ac:dyDescent="0.25">
      <c r="B44" t="s">
        <v>384</v>
      </c>
    </row>
    <row r="45" spans="2:2" x14ac:dyDescent="0.25">
      <c r="B45" t="s">
        <v>385</v>
      </c>
    </row>
    <row r="46" spans="2:2" x14ac:dyDescent="0.25">
      <c r="B46" t="s">
        <v>381</v>
      </c>
    </row>
    <row r="47" spans="2:2" x14ac:dyDescent="0.25">
      <c r="B47" t="s">
        <v>377</v>
      </c>
    </row>
    <row r="48" spans="2:2" x14ac:dyDescent="0.25">
      <c r="B48" t="s">
        <v>386</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2001-10-13T07:57:21Z</cp:lastPrinted>
  <dcterms:created xsi:type="dcterms:W3CDTF">1998-02-07T06:53:21Z</dcterms:created>
  <dcterms:modified xsi:type="dcterms:W3CDTF">2023-09-10T15:03:47Z</dcterms:modified>
</cp:coreProperties>
</file>