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599"/>
    <workbookView xWindow="360" yWindow="96" windowWidth="11340" windowHeight="6792" tabRatio="601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NNG" sheetId="65" r:id="rId18"/>
    <sheet name="PNM" sheetId="64" r:id="rId19"/>
    <sheet name="NGPL" sheetId="67" r:id="rId20"/>
    <sheet name="Mojave" sheetId="68" r:id="rId21"/>
    <sheet name="EOG" sheetId="70" r:id="rId22"/>
    <sheet name="KN_Westar" sheetId="22" r:id="rId23"/>
    <sheet name="burlington" sheetId="69" r:id="rId24"/>
  </sheets>
  <externalReferences>
    <externalReference r:id="rId25"/>
    <externalReference r:id="rId2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Duke!$A$2:$C$49</definedName>
    <definedName name="_xlnm.Print_Area" localSheetId="6">'El Paso'!$A$2:$H$38</definedName>
    <definedName name="_xlnm.Print_Area" localSheetId="21">EOG!$A$1:$J$41</definedName>
    <definedName name="_xlnm.Print_Area" localSheetId="22">KN_Westar!$AD$2:$AI$51</definedName>
    <definedName name="_xlnm.Print_Area" localSheetId="2">Lonestar!$A$2:$F$42</definedName>
    <definedName name="_xlnm.Print_Area" localSheetId="15">mewborne!$A$5:$J$43</definedName>
    <definedName name="_xlnm.Print_Area" localSheetId="17">NNG!$A$1:$D$25</definedName>
    <definedName name="_xlnm.Print_Area" localSheetId="12">NW!$M$345:$R$385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D37" i="22"/>
  <c r="D38" i="22"/>
  <c r="D39" i="22"/>
  <c r="D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B4" i="68"/>
  <c r="D4" i="68"/>
  <c r="B5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D6" i="65"/>
  <c r="D7" i="65"/>
  <c r="C8" i="65"/>
  <c r="D8" i="65"/>
  <c r="D9" i="65"/>
  <c r="D10" i="65"/>
  <c r="D11" i="65"/>
  <c r="D12" i="65"/>
  <c r="D13" i="65"/>
  <c r="D14" i="65"/>
  <c r="D18" i="65"/>
  <c r="D19" i="65"/>
  <c r="D20" i="65"/>
  <c r="D24" i="65"/>
  <c r="C5" i="7"/>
  <c r="F5" i="7"/>
  <c r="Z5" i="7"/>
  <c r="AD5" i="7"/>
  <c r="AF5" i="7"/>
  <c r="AG5" i="7"/>
  <c r="AH5" i="7"/>
  <c r="AI5" i="7"/>
  <c r="C6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E40" i="64"/>
  <c r="E41" i="64"/>
  <c r="E42" i="64"/>
  <c r="C43" i="64"/>
  <c r="D43" i="64"/>
  <c r="E43" i="64"/>
  <c r="E44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/>
  <c r="B12" i="63"/>
  <c r="C12" i="63"/>
  <c r="D12" i="63"/>
  <c r="P12" i="63"/>
  <c r="B13" i="63"/>
  <c r="C13" i="63"/>
  <c r="D13" i="63"/>
  <c r="P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B30" i="63"/>
  <c r="C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B43" i="63"/>
  <c r="C43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66" i="2"/>
  <c r="D67" i="2"/>
  <c r="D68" i="2"/>
  <c r="D69" i="2"/>
  <c r="D75" i="2"/>
</calcChain>
</file>

<file path=xl/sharedStrings.xml><?xml version="1.0" encoding="utf-8"?>
<sst xmlns="http://schemas.openxmlformats.org/spreadsheetml/2006/main" count="346" uniqueCount="128">
  <si>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</si>
  <si>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</si>
  <si>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</si>
  <si>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</si>
  <si>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</si>
  <si>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</si>
  <si>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</si>
  <si>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</si>
  <si>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</si>
  <si>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</si>
  <si>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</si>
  <si>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</si>
  <si>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</si>
  <si>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</si>
  <si>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</si>
  <si>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</si>
  <si>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</si>
  <si>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</si>
  <si>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</si>
  <si>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</si>
  <si>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</si>
  <si>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</si>
  <si>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</si>
  <si>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</si>
  <si>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</si>
  <si>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</si>
  <si>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</si>
  <si>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</si>
  <si>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</si>
  <si>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</si>
  <si>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</si>
  <si>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</si>
  <si>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</si>
  <si>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</si>
  <si>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</si>
  <si>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</si>
  <si>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</si>
  <si>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</si>
  <si>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</si>
  <si>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</si>
  <si>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</si>
  <si>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</si>
  <si>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</si>
  <si>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</si>
  <si>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</si>
  <si>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</si>
  <si>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</si>
  <si>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</si>
  <si>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</si>
  <si>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</si>
  <si>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</si>
  <si>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</si>
  <si>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</si>
  <si>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</si>
  <si>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</si>
  <si>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</si>
  <si>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</si>
  <si>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</si>
  <si>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</si>
  <si>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</si>
  <si>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</si>
  <si>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</si>
  <si>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</si>
  <si>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</si>
  <si>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</si>
  <si>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</si>
  <si>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</si>
  <si>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</si>
  <si>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</si>
  <si>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</si>
  <si>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</si>
  <si>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</si>
  <si>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</si>
  <si>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</si>
  <si>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</si>
  <si>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</si>
  <si>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</si>
  <si>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</si>
  <si>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</si>
  <si>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</si>
  <si>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</si>
  <si>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</si>
  <si>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</si>
  <si>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</si>
  <si>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</si>
  <si>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</si>
  <si>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</si>
  <si>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</si>
  <si>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</si>
  <si>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</si>
  <si>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</si>
  <si>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</si>
  <si>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</si>
  <si>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</si>
  <si>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</si>
  <si>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</si>
  <si>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</si>
  <si>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</si>
  <si>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</si>
  <si>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</si>
  <si>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</si>
  <si>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</si>
  <si>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</si>
  <si>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</si>
  <si>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</si>
  <si>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</si>
  <si>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</si>
  <si>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</si>
  <si>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</si>
  <si>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</si>
  <si>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</si>
  <si>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This balance is cashed out every month</t>
  </si>
  <si>
    <t>Terry Kowalke</t>
  </si>
  <si>
    <t>Cynthia Rivers</t>
  </si>
  <si>
    <t>Amy Mulligan</t>
  </si>
  <si>
    <t>Bert Hernandez</t>
  </si>
  <si>
    <t>MS rep</t>
  </si>
  <si>
    <t>Linda Ward</t>
  </si>
  <si>
    <t>Hernandez</t>
  </si>
  <si>
    <t xml:space="preserve">Duke </t>
  </si>
  <si>
    <t>EOG</t>
  </si>
  <si>
    <t>Pronghorn</t>
  </si>
  <si>
    <t>Pitchfork Ranch</t>
  </si>
  <si>
    <t>Tristi Draw</t>
  </si>
  <si>
    <t>OneOk Westex-Ward</t>
  </si>
  <si>
    <t>Pan-Alberta-shipper</t>
  </si>
  <si>
    <t>no payback to date</t>
  </si>
  <si>
    <t>This balance is cashed out every month $214,357 is the 11/30/00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</si>
</sst>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71" formatCode="_(* #,##0.000_);_(* \(#,##0.000\);_(* &quot;-&quot;??_);_(@_)"/>
    <numFmt numFmtId="172" formatCode="_(* #,##0.0000_);_(* \(#,##0.0000\);_(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166" fontId="17" fillId="0" borderId="0" xfId="1" applyNumberFormat="1" applyFon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37" fontId="22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25" fillId="4" borderId="0" xfId="1" applyNumberFormat="1" applyFont="1" applyFill="1"/>
    <xf numFmtId="5" fontId="25" fillId="5" borderId="0" xfId="1" applyNumberFormat="1" applyFont="1" applyFill="1" applyBorder="1"/>
    <xf numFmtId="5" fontId="22" fillId="5" borderId="0" xfId="0" applyNumberFormat="1" applyFont="1" applyFill="1" applyAlignment="1">
      <alignment horizontal="left" indent="2"/>
    </xf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192" fontId="3" fillId="2" borderId="0" xfId="1" applyNumberFormat="1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0" fontId="14" fillId="0" borderId="0" xfId="0" applyFont="1" applyBorder="1"/>
    <xf numFmtId="7" fontId="22" fillId="0" borderId="0" xfId="0" applyNumberFormat="1" applyFont="1" applyFill="1"/>
    <xf numFmtId="37" fontId="28" fillId="0" borderId="0" xfId="1" applyNumberFormat="1" applyFont="1"/>
    <xf numFmtId="37" fontId="30" fillId="0" borderId="0" xfId="1" applyNumberFormat="1" applyFont="1" applyFill="1"/>
    <xf numFmtId="37" fontId="31" fillId="0" borderId="0" xfId="1" applyNumberFormat="1" applyFont="1" applyFill="1"/>
    <xf numFmtId="166" fontId="32" fillId="0" borderId="0" xfId="1" applyNumberFormat="1" applyFont="1"/>
    <xf numFmtId="166" fontId="32" fillId="0" borderId="1" xfId="1" applyNumberFormat="1" applyFont="1" applyBorder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166" fontId="25" fillId="6" borderId="1" xfId="0" applyNumberFormat="1" applyFont="1" applyFill="1" applyBorder="1"/>
    <xf numFmtId="166" fontId="3" fillId="6" borderId="0" xfId="1" applyNumberFormat="1" applyFont="1" applyFill="1"/>
    <xf numFmtId="166" fontId="3" fillId="6" borderId="1" xfId="1" applyNumberFormat="1" applyFont="1" applyFill="1" applyBorder="1"/>
    <xf numFmtId="5" fontId="3" fillId="6" borderId="1" xfId="0" applyNumberFormat="1" applyFont="1" applyFill="1" applyBorder="1"/>
    <xf numFmtId="7" fontId="25" fillId="6" borderId="1" xfId="0" applyNumberFormat="1" applyFont="1" applyFill="1" applyBorder="1"/>
    <xf numFmtId="166" fontId="3" fillId="6" borderId="0" xfId="1" applyNumberFormat="1" applyFont="1" applyFill="1" applyBorder="1"/>
    <xf numFmtId="7" fontId="3" fillId="6" borderId="0" xfId="1" applyNumberFormat="1" applyFont="1" applyFill="1"/>
    <xf numFmtId="44" fontId="9" fillId="6" borderId="0" xfId="2" applyFont="1" applyFill="1"/>
    <xf numFmtId="7" fontId="8" fillId="6" borderId="1" xfId="1" applyNumberFormat="1" applyFont="1" applyFill="1" applyBorder="1"/>
    <xf numFmtId="7" fontId="9" fillId="6" borderId="0" xfId="0" applyNumberFormat="1" applyFont="1" applyFill="1"/>
    <xf numFmtId="5" fontId="3" fillId="6" borderId="0" xfId="0" applyNumberFormat="1" applyFont="1" applyFill="1"/>
    <xf numFmtId="7" fontId="3" fillId="6" borderId="0" xfId="0" applyNumberFormat="1" applyFont="1" applyFill="1"/>
    <xf numFmtId="37" fontId="3" fillId="6" borderId="0" xfId="1" applyNumberFormat="1" applyFont="1" applyFill="1" applyBorder="1"/>
    <xf numFmtId="37" fontId="3" fillId="6" borderId="0" xfId="1" applyNumberFormat="1" applyFont="1" applyFill="1"/>
    <xf numFmtId="7" fontId="22" fillId="0" borderId="1" xfId="1" applyNumberFormat="1" applyFont="1" applyFill="1" applyBorder="1"/>
    <xf numFmtId="43" fontId="0" fillId="0" borderId="0" xfId="0" applyNumberFormat="1"/>
    <xf numFmtId="7" fontId="9" fillId="0" borderId="0" xfId="0" applyNumberFormat="1" applyFont="1" applyFill="1" applyBorder="1"/>
    <xf numFmtId="5" fontId="3" fillId="6" borderId="0" xfId="1" applyNumberFormat="1" applyFont="1" applyFill="1"/>
    <xf numFmtId="5" fontId="3" fillId="2" borderId="0" xfId="1" applyNumberFormat="1" applyFont="1" applyFill="1"/>
    <xf numFmtId="37" fontId="14" fillId="0" borderId="0" xfId="1" applyNumberFormat="1" applyFont="1" applyBorder="1"/>
    <xf numFmtId="210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hipim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2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4"/>
      <sheetName val="Texaco"/>
      <sheetName val="Richardson"/>
      <sheetName val="Aquila"/>
      <sheetName val="SoCal"/>
      <sheetName val="SoCo Energy Mktg-CA"/>
      <sheetName val="Williams"/>
      <sheetName val="Amoco Trading"/>
      <sheetName val="Various"/>
      <sheetName val="ENA"/>
      <sheetName val="Reliant"/>
      <sheetName val="Duke"/>
      <sheetName val="USGT"/>
      <sheetName val="Enserch"/>
      <sheetName val="So Co "/>
      <sheetName val="PGE EnergyTrading"/>
      <sheetName val="Burlington"/>
      <sheetName val="Dynegy"/>
      <sheetName val="Tenaska"/>
      <sheetName val="Sempra"/>
      <sheetName val="Red Cedar"/>
      <sheetName val="Utilicorp"/>
      <sheetName val="Arizona"/>
      <sheetName val="GPM"/>
      <sheetName val="Tezas-Ohio"/>
      <sheetName val="SMUD"/>
      <sheetName val="El Paso"/>
      <sheetName val="OneOK"/>
      <sheetName val="OneOK Energy"/>
      <sheetName val="Sheet12"/>
      <sheetName val="Sheet11"/>
      <sheetName val="Sheet10"/>
      <sheetName val="Sheet9"/>
      <sheetName val="Sheet1"/>
    </sheetNames>
    <sheetDataSet>
      <sheetData sheetId="0">
        <row r="20">
          <cell r="C20">
            <v>-316386.95</v>
          </cell>
        </row>
        <row r="21">
          <cell r="C21">
            <v>-337202.85000000003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00"/>
    </sheetNames>
    <sheetDataSet>
      <sheetData sheetId="0">
        <row r="39">
          <cell r="K39">
            <v>6.34</v>
          </cell>
          <cell r="M39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6"/>
  <sheetViews>
    <sheetView tabSelected="1" topLeftCell="A10" workbookViewId="0">
      <selection activeCell="B15" sqref="B15"/>
    </sheetView>
    <sheetView tabSelected="1" topLeftCell="A25" workbookViewId="1">
      <selection activeCell="D30" sqref="D30"/>
    </sheetView>
  </sheetViews>
  <sheetFormatPr defaultRowHeight="13.2" x14ac:dyDescent="0.25"/>
  <cols>
    <col min="1" max="1" width="20.5546875" style="302" customWidth="1"/>
    <col min="2" max="2" width="11.88671875" style="254" customWidth="1"/>
    <col min="3" max="3" width="11.33203125" style="303" customWidth="1"/>
    <col min="5" max="5" width="12" bestFit="1" customWidth="1"/>
    <col min="6" max="6" width="15.109375" customWidth="1"/>
  </cols>
  <sheetData>
    <row r="2" spans="1:16" ht="15.6" x14ac:dyDescent="0.3">
      <c r="A2" s="53" t="s">
        <v>98</v>
      </c>
    </row>
    <row r="3" spans="1:16" ht="15.6" x14ac:dyDescent="0.3">
      <c r="A3" s="53" t="s">
        <v>93</v>
      </c>
    </row>
    <row r="4" spans="1:16" ht="15" customHeight="1" x14ac:dyDescent="0.3">
      <c r="A4" s="53" t="s">
        <v>95</v>
      </c>
    </row>
    <row r="5" spans="1:16" ht="15" customHeight="1" x14ac:dyDescent="0.3">
      <c r="A5" s="53" t="s">
        <v>94</v>
      </c>
    </row>
    <row r="6" spans="1:16" ht="12.9" customHeight="1" x14ac:dyDescent="0.25"/>
    <row r="7" spans="1:16" ht="18" customHeight="1" x14ac:dyDescent="0.25"/>
    <row r="8" spans="1:16" ht="18" customHeight="1" x14ac:dyDescent="0.25">
      <c r="A8" s="34" t="s">
        <v>5</v>
      </c>
    </row>
    <row r="9" spans="1:16" ht="18" customHeight="1" x14ac:dyDescent="0.25">
      <c r="A9" s="34" t="s">
        <v>6</v>
      </c>
      <c r="B9" s="271"/>
    </row>
    <row r="10" spans="1:16" ht="18" customHeight="1" x14ac:dyDescent="0.25"/>
    <row r="11" spans="1:16" ht="18" customHeight="1" x14ac:dyDescent="0.25">
      <c r="A11" s="308" t="s">
        <v>100</v>
      </c>
      <c r="B11" s="309" t="s">
        <v>18</v>
      </c>
      <c r="C11" s="310" t="s">
        <v>0</v>
      </c>
      <c r="D11" s="311" t="s">
        <v>87</v>
      </c>
      <c r="E11" s="308" t="s">
        <v>101</v>
      </c>
      <c r="F11" s="351" t="s">
        <v>116</v>
      </c>
      <c r="G11" s="308" t="s">
        <v>109</v>
      </c>
      <c r="O11" s="312" t="s">
        <v>84</v>
      </c>
      <c r="P11" s="313"/>
    </row>
    <row r="12" spans="1:16" ht="18" customHeight="1" x14ac:dyDescent="0.25">
      <c r="A12" s="302" t="s">
        <v>37</v>
      </c>
      <c r="B12" s="320">
        <f>+C12*$P$13</f>
        <v>1140537.0799999998</v>
      </c>
      <c r="C12" s="321">
        <f>+'El Paso'!H38</f>
        <v>174929</v>
      </c>
      <c r="D12" s="65">
        <f>+'El Paso'!A38</f>
        <v>36862</v>
      </c>
      <c r="E12" t="s">
        <v>91</v>
      </c>
      <c r="F12" t="s">
        <v>113</v>
      </c>
      <c r="O12" s="314" t="s">
        <v>31</v>
      </c>
      <c r="P12" s="316">
        <f>+'[2]1100'!$K$39</f>
        <v>6.34</v>
      </c>
    </row>
    <row r="13" spans="1:16" ht="18" customHeight="1" x14ac:dyDescent="0.25">
      <c r="A13" s="302" t="s">
        <v>34</v>
      </c>
      <c r="B13" s="254">
        <f>+C13*$P$13</f>
        <v>1107324.2</v>
      </c>
      <c r="C13" s="303">
        <f>+'PG&amp;E'!D40</f>
        <v>169835</v>
      </c>
      <c r="D13" s="65">
        <f>+'PG&amp;E'!A40</f>
        <v>36863</v>
      </c>
      <c r="E13" t="s">
        <v>91</v>
      </c>
      <c r="F13" t="s">
        <v>117</v>
      </c>
      <c r="O13" s="315" t="s">
        <v>32</v>
      </c>
      <c r="P13" s="317">
        <f>+'[2]1100'!$M$39</f>
        <v>6.52</v>
      </c>
    </row>
    <row r="14" spans="1:16" ht="18" customHeight="1" x14ac:dyDescent="0.25">
      <c r="A14" s="302" t="s">
        <v>99</v>
      </c>
      <c r="B14" s="320">
        <f>+C14*$P$13</f>
        <v>992611.32</v>
      </c>
      <c r="C14" s="321">
        <f>+NGPL!F38</f>
        <v>152241</v>
      </c>
      <c r="D14" s="65">
        <f>+NGPL!A38</f>
        <v>36862</v>
      </c>
      <c r="E14" t="s">
        <v>91</v>
      </c>
      <c r="F14" t="s">
        <v>114</v>
      </c>
    </row>
    <row r="15" spans="1:16" ht="18" customHeight="1" x14ac:dyDescent="0.25">
      <c r="A15" s="302" t="s">
        <v>35</v>
      </c>
      <c r="B15" s="320">
        <f>+C15*$P$13</f>
        <v>488243.68</v>
      </c>
      <c r="C15" s="321">
        <f>+SoCal!D40</f>
        <v>74884</v>
      </c>
      <c r="D15" s="65">
        <f>+SoCal!A40</f>
        <v>36863</v>
      </c>
      <c r="E15" t="s">
        <v>91</v>
      </c>
      <c r="F15" t="s">
        <v>113</v>
      </c>
    </row>
    <row r="16" spans="1:16" ht="18" customHeight="1" x14ac:dyDescent="0.25">
      <c r="A16" s="302" t="s">
        <v>105</v>
      </c>
      <c r="B16" s="254">
        <f>+C16*$P$13</f>
        <v>560785.19999999995</v>
      </c>
      <c r="C16" s="303">
        <f>+Mojave!D40</f>
        <v>86010</v>
      </c>
      <c r="D16" s="65">
        <f>+Mojave!A40</f>
        <v>36863</v>
      </c>
      <c r="E16" t="s">
        <v>91</v>
      </c>
      <c r="F16" t="s">
        <v>113</v>
      </c>
    </row>
    <row r="17" spans="1:7" ht="18" customHeight="1" x14ac:dyDescent="0.25">
      <c r="A17" s="302" t="s">
        <v>2</v>
      </c>
      <c r="B17" s="320">
        <f>+mewborne!$J$43</f>
        <v>474177.88</v>
      </c>
      <c r="C17" s="321">
        <f>+B17/$P$13</f>
        <v>72726.668711656443</v>
      </c>
      <c r="D17" s="65">
        <f>+mewborne!A43</f>
        <v>36863</v>
      </c>
      <c r="E17" t="s">
        <v>92</v>
      </c>
      <c r="F17" t="s">
        <v>114</v>
      </c>
    </row>
    <row r="18" spans="1:7" ht="18" customHeight="1" x14ac:dyDescent="0.25">
      <c r="A18" s="302" t="s">
        <v>119</v>
      </c>
      <c r="B18" s="254">
        <f>+Duke!C62</f>
        <v>375429.66999999993</v>
      </c>
      <c r="C18" s="303">
        <f>+B18/$P$13</f>
        <v>57581.237730061344</v>
      </c>
      <c r="D18" s="65">
        <f>+Duke!A40</f>
        <v>36862</v>
      </c>
      <c r="E18" t="s">
        <v>92</v>
      </c>
      <c r="F18" t="s">
        <v>112</v>
      </c>
    </row>
    <row r="19" spans="1:7" ht="18" customHeight="1" x14ac:dyDescent="0.25">
      <c r="A19" s="302" t="s">
        <v>89</v>
      </c>
      <c r="B19" s="320">
        <f>+PNM!$D$23</f>
        <v>395000.94999999995</v>
      </c>
      <c r="C19" s="321">
        <f>+B19/$P$13</f>
        <v>60582.967791411036</v>
      </c>
      <c r="D19" s="65">
        <f>+PNM!A23</f>
        <v>36862</v>
      </c>
      <c r="E19" t="s">
        <v>92</v>
      </c>
      <c r="F19" t="s">
        <v>113</v>
      </c>
    </row>
    <row r="20" spans="1:7" ht="18" customHeight="1" x14ac:dyDescent="0.25">
      <c r="A20" s="302" t="s">
        <v>8</v>
      </c>
      <c r="B20" s="320">
        <f>+C20*$P$13</f>
        <v>418166.72</v>
      </c>
      <c r="C20" s="321">
        <f>+Oasis!D40</f>
        <v>64136</v>
      </c>
      <c r="D20" s="65">
        <f>+Oasis!B40</f>
        <v>36863</v>
      </c>
      <c r="E20" t="s">
        <v>91</v>
      </c>
      <c r="F20" t="s">
        <v>117</v>
      </c>
    </row>
    <row r="21" spans="1:7" ht="18" customHeight="1" x14ac:dyDescent="0.25">
      <c r="A21" s="354" t="s">
        <v>106</v>
      </c>
      <c r="B21" s="320">
        <f>+burlington!D42</f>
        <v>305640.32000000001</v>
      </c>
      <c r="C21" s="321">
        <f>+B21/$P$12</f>
        <v>48208.252365930603</v>
      </c>
      <c r="D21" s="328">
        <f>+burlington!A42</f>
        <v>36862</v>
      </c>
      <c r="E21" s="325" t="s">
        <v>92</v>
      </c>
      <c r="F21" t="s">
        <v>114</v>
      </c>
      <c r="G21" t="s">
        <v>127</v>
      </c>
    </row>
    <row r="22" spans="1:7" ht="18" customHeight="1" x14ac:dyDescent="0.25">
      <c r="A22" s="302" t="s">
        <v>33</v>
      </c>
      <c r="B22" s="320">
        <f>+C22*$P$13</f>
        <v>210856.8</v>
      </c>
      <c r="C22" s="321">
        <f>+Lonestar!F42</f>
        <v>32340</v>
      </c>
      <c r="D22" s="328">
        <f>+Lonestar!B42</f>
        <v>36863</v>
      </c>
      <c r="E22" t="s">
        <v>91</v>
      </c>
      <c r="F22" t="s">
        <v>117</v>
      </c>
    </row>
    <row r="23" spans="1:7" ht="18" customHeight="1" x14ac:dyDescent="0.25">
      <c r="A23" s="302" t="s">
        <v>77</v>
      </c>
      <c r="B23" s="364">
        <f>+transcol!$D$43</f>
        <v>83093.279999999999</v>
      </c>
      <c r="C23" s="321">
        <f>+B23/$P$13</f>
        <v>12744.36809815951</v>
      </c>
      <c r="D23" s="65">
        <f>+transcol!A43</f>
        <v>36863</v>
      </c>
      <c r="E23" t="s">
        <v>92</v>
      </c>
      <c r="F23" t="s">
        <v>114</v>
      </c>
    </row>
    <row r="24" spans="1:7" ht="18" customHeight="1" x14ac:dyDescent="0.25">
      <c r="A24" s="302" t="s">
        <v>36</v>
      </c>
      <c r="B24" s="320">
        <f>+PGETX!$H$39</f>
        <v>64688.92</v>
      </c>
      <c r="C24" s="321">
        <f>+B24/$P$13</f>
        <v>9921.6134969325158</v>
      </c>
      <c r="D24" s="65">
        <f>+PGETX!E39</f>
        <v>36863</v>
      </c>
      <c r="E24" t="s">
        <v>92</v>
      </c>
      <c r="F24" t="s">
        <v>117</v>
      </c>
      <c r="G24" t="s">
        <v>111</v>
      </c>
    </row>
    <row r="25" spans="1:7" ht="18" customHeight="1" x14ac:dyDescent="0.25">
      <c r="A25" s="302" t="s">
        <v>97</v>
      </c>
      <c r="B25" s="363">
        <f>+NNG!$D$24</f>
        <v>75397.05</v>
      </c>
      <c r="C25" s="347">
        <f>+B25/$P$13</f>
        <v>11563.964723926381</v>
      </c>
      <c r="D25" s="65">
        <f>+NNG!A24</f>
        <v>36862</v>
      </c>
      <c r="E25" t="s">
        <v>92</v>
      </c>
      <c r="F25" t="s">
        <v>115</v>
      </c>
    </row>
    <row r="26" spans="1:7" ht="18" customHeight="1" x14ac:dyDescent="0.25">
      <c r="A26" s="302" t="s">
        <v>107</v>
      </c>
      <c r="B26" s="254">
        <f>SUM(B12:B25)</f>
        <v>6691953.0699999994</v>
      </c>
      <c r="C26" s="303">
        <f>SUM(C12:C25)</f>
        <v>1027704.072918078</v>
      </c>
    </row>
    <row r="27" spans="1:7" ht="18" customHeight="1" x14ac:dyDescent="0.25"/>
    <row r="28" spans="1:7" ht="18" customHeight="1" x14ac:dyDescent="0.25"/>
    <row r="29" spans="1:7" ht="18" customHeight="1" x14ac:dyDescent="0.25">
      <c r="A29" s="308" t="s">
        <v>100</v>
      </c>
      <c r="B29" s="309" t="s">
        <v>18</v>
      </c>
      <c r="C29" s="310" t="s">
        <v>0</v>
      </c>
      <c r="D29" s="311" t="s">
        <v>87</v>
      </c>
      <c r="E29" s="308" t="s">
        <v>101</v>
      </c>
      <c r="F29" s="351" t="s">
        <v>116</v>
      </c>
      <c r="G29" s="308" t="s">
        <v>109</v>
      </c>
    </row>
    <row r="30" spans="1:7" ht="18" customHeight="1" x14ac:dyDescent="0.25">
      <c r="A30" s="34" t="s">
        <v>125</v>
      </c>
      <c r="B30" s="320">
        <f>+[1]summary!$C$20+[1]summary!$C$21</f>
        <v>-653589.80000000005</v>
      </c>
      <c r="C30" s="321">
        <f>+B30/P13</f>
        <v>-100243.83435582824</v>
      </c>
      <c r="D30" s="65">
        <v>36860</v>
      </c>
      <c r="E30" t="s">
        <v>92</v>
      </c>
      <c r="F30" t="s">
        <v>112</v>
      </c>
      <c r="G30" s="34" t="s">
        <v>126</v>
      </c>
    </row>
    <row r="31" spans="1:7" ht="18" customHeight="1" x14ac:dyDescent="0.25">
      <c r="A31" s="302" t="s">
        <v>120</v>
      </c>
      <c r="B31" s="320">
        <f>+EOG!J41</f>
        <v>-608774.84</v>
      </c>
      <c r="C31" s="321">
        <f>+B31/P13</f>
        <v>-93370.374233128838</v>
      </c>
      <c r="D31" s="328">
        <f>+EOG!A41</f>
        <v>36862</v>
      </c>
      <c r="E31" t="s">
        <v>92</v>
      </c>
      <c r="F31" t="s">
        <v>117</v>
      </c>
    </row>
    <row r="32" spans="1:7" ht="18" customHeight="1" x14ac:dyDescent="0.25">
      <c r="A32" s="302" t="s">
        <v>86</v>
      </c>
      <c r="B32" s="320">
        <f>+Conoco!$F$41</f>
        <v>-272270.81999999995</v>
      </c>
      <c r="C32" s="321">
        <f>+B32/P12</f>
        <v>-42944.924290220813</v>
      </c>
      <c r="D32" s="65">
        <f>+Conoco!A41</f>
        <v>36863</v>
      </c>
      <c r="E32" t="s">
        <v>92</v>
      </c>
      <c r="F32" t="s">
        <v>114</v>
      </c>
    </row>
    <row r="33" spans="1:7" ht="18" customHeight="1" x14ac:dyDescent="0.25">
      <c r="A33" s="302" t="s">
        <v>1</v>
      </c>
      <c r="B33" s="320">
        <f>+C33*$P$12</f>
        <v>-559536.69999999995</v>
      </c>
      <c r="C33" s="321">
        <f>+NW!$F$41</f>
        <v>-88255</v>
      </c>
      <c r="D33" s="328">
        <f>+NW!B41</f>
        <v>36863</v>
      </c>
      <c r="E33" t="s">
        <v>91</v>
      </c>
      <c r="F33" t="s">
        <v>113</v>
      </c>
    </row>
    <row r="34" spans="1:7" ht="18" customHeight="1" x14ac:dyDescent="0.25">
      <c r="A34" s="354" t="s">
        <v>85</v>
      </c>
      <c r="B34" s="320">
        <f>+Agave!$D$24</f>
        <v>-443549.26999999996</v>
      </c>
      <c r="C34" s="321">
        <f>+B34/$P$13</f>
        <v>-68029.0291411043</v>
      </c>
      <c r="D34" s="328">
        <f>+Agave!A24</f>
        <v>36863</v>
      </c>
      <c r="E34" s="325" t="s">
        <v>92</v>
      </c>
      <c r="F34" t="s">
        <v>117</v>
      </c>
    </row>
    <row r="35" spans="1:7" ht="18" customHeight="1" x14ac:dyDescent="0.25">
      <c r="A35" s="302" t="s">
        <v>30</v>
      </c>
      <c r="B35" s="320">
        <f>+C35*$P$12</f>
        <v>-241725.18</v>
      </c>
      <c r="C35" s="321">
        <f>+williams!J40</f>
        <v>-38127</v>
      </c>
      <c r="D35" s="65">
        <f>+williams!A40</f>
        <v>36863</v>
      </c>
      <c r="E35" t="s">
        <v>91</v>
      </c>
      <c r="F35" t="s">
        <v>118</v>
      </c>
      <c r="G35" s="308"/>
    </row>
    <row r="36" spans="1:7" ht="18" customHeight="1" x14ac:dyDescent="0.25">
      <c r="A36" s="302" t="s">
        <v>3</v>
      </c>
      <c r="B36" s="320">
        <f>+'Amoco Abo'!$D$43</f>
        <v>-47982.89</v>
      </c>
      <c r="C36" s="321">
        <f>+B36/$P$13</f>
        <v>-7359.3389570552154</v>
      </c>
      <c r="D36" s="65">
        <f>+'Amoco Abo'!A43</f>
        <v>36863</v>
      </c>
      <c r="E36" t="s">
        <v>92</v>
      </c>
      <c r="F36" t="s">
        <v>112</v>
      </c>
    </row>
    <row r="37" spans="1:7" ht="18" customHeight="1" x14ac:dyDescent="0.25">
      <c r="A37" s="302" t="s">
        <v>7</v>
      </c>
      <c r="B37" s="320">
        <f>+C37*$P$12</f>
        <v>-128074.34</v>
      </c>
      <c r="C37" s="321">
        <f>+Amoco!D40</f>
        <v>-20201</v>
      </c>
      <c r="D37" s="65">
        <f>+Amoco!A40</f>
        <v>36863</v>
      </c>
      <c r="E37" t="s">
        <v>91</v>
      </c>
      <c r="F37" t="s">
        <v>114</v>
      </c>
    </row>
    <row r="38" spans="1:7" ht="18" customHeight="1" x14ac:dyDescent="0.25">
      <c r="A38" s="302" t="s">
        <v>25</v>
      </c>
      <c r="B38" s="364">
        <f>+'Red C'!$D$43</f>
        <v>-59626.46</v>
      </c>
      <c r="C38" s="385">
        <f>+B38/$P$12</f>
        <v>-9404.8044164037856</v>
      </c>
      <c r="D38" s="328">
        <f>+'Red C'!B43</f>
        <v>36863</v>
      </c>
      <c r="E38" t="s">
        <v>92</v>
      </c>
      <c r="F38" t="s">
        <v>114</v>
      </c>
    </row>
    <row r="39" spans="1:7" ht="18" customHeight="1" x14ac:dyDescent="0.25">
      <c r="A39" s="302" t="s">
        <v>124</v>
      </c>
      <c r="B39" s="363">
        <f>+KN_Westar!D41</f>
        <v>192192.28</v>
      </c>
      <c r="C39" s="347">
        <f>+B39/$P$13</f>
        <v>29477.343558282209</v>
      </c>
      <c r="D39" s="65">
        <f>+KN_Westar!A41</f>
        <v>36863</v>
      </c>
      <c r="E39" t="s">
        <v>92</v>
      </c>
      <c r="F39" t="s">
        <v>115</v>
      </c>
    </row>
    <row r="40" spans="1:7" ht="18" customHeight="1" x14ac:dyDescent="0.25">
      <c r="A40" s="302" t="s">
        <v>108</v>
      </c>
      <c r="B40" s="320">
        <f>SUM(B30:B39)</f>
        <v>-2822938.02</v>
      </c>
      <c r="C40" s="321">
        <f>SUM(C30:C39)</f>
        <v>-438457.96183545905</v>
      </c>
      <c r="D40" s="325"/>
    </row>
    <row r="41" spans="1:7" ht="18" customHeight="1" x14ac:dyDescent="0.25">
      <c r="B41" s="320"/>
      <c r="C41" s="321"/>
    </row>
    <row r="42" spans="1:7" ht="18" customHeight="1" x14ac:dyDescent="0.25"/>
    <row r="43" spans="1:7" ht="18" customHeight="1" thickBot="1" x14ac:dyDescent="0.3">
      <c r="A43" s="34" t="s">
        <v>102</v>
      </c>
      <c r="B43" s="318">
        <f>+B40+B26</f>
        <v>3869015.0499999993</v>
      </c>
      <c r="C43" s="319">
        <f>+C40+C26</f>
        <v>589246.11108261906</v>
      </c>
    </row>
    <row r="44" spans="1:7" ht="18" customHeight="1" thickTop="1" x14ac:dyDescent="0.25"/>
    <row r="45" spans="1:7" x14ac:dyDescent="0.25">
      <c r="B45" s="254">
        <v>3111077</v>
      </c>
      <c r="C45" s="386"/>
    </row>
    <row r="51" spans="1:5" x14ac:dyDescent="0.25">
      <c r="C51" s="261"/>
      <c r="E51" s="381"/>
    </row>
    <row r="55" spans="1:5" x14ac:dyDescent="0.25">
      <c r="A55" s="34" t="s">
        <v>103</v>
      </c>
    </row>
    <row r="58" spans="1:5" x14ac:dyDescent="0.25">
      <c r="B58" s="322"/>
      <c r="C58" s="346"/>
    </row>
    <row r="60" spans="1:5" x14ac:dyDescent="0.25">
      <c r="B60" s="361"/>
    </row>
    <row r="61" spans="1:5" x14ac:dyDescent="0.25">
      <c r="B61" s="361"/>
    </row>
    <row r="62" spans="1:5" x14ac:dyDescent="0.25">
      <c r="B62" s="361"/>
      <c r="D62" s="64"/>
    </row>
    <row r="63" spans="1:5" x14ac:dyDescent="0.25">
      <c r="B63" s="361"/>
      <c r="C63" s="346"/>
    </row>
    <row r="64" spans="1:5" x14ac:dyDescent="0.25">
      <c r="B64" s="361"/>
    </row>
    <row r="65" spans="2:4" x14ac:dyDescent="0.25">
      <c r="B65" s="361"/>
      <c r="C65" s="346"/>
    </row>
    <row r="66" spans="2:4" x14ac:dyDescent="0.25">
      <c r="B66" s="362"/>
      <c r="C66" s="346"/>
    </row>
    <row r="67" spans="2:4" x14ac:dyDescent="0.25">
      <c r="B67" s="361"/>
    </row>
    <row r="68" spans="2:4" x14ac:dyDescent="0.25">
      <c r="B68" s="361"/>
      <c r="D68" s="64"/>
    </row>
    <row r="69" spans="2:4" x14ac:dyDescent="0.25">
      <c r="B69" s="362"/>
    </row>
    <row r="70" spans="2:4" x14ac:dyDescent="0.25">
      <c r="B70" s="362"/>
      <c r="D70" s="64"/>
    </row>
    <row r="71" spans="2:4" x14ac:dyDescent="0.25">
      <c r="B71" s="361"/>
      <c r="C71" s="261"/>
    </row>
    <row r="72" spans="2:4" x14ac:dyDescent="0.25">
      <c r="B72" s="361"/>
      <c r="C72" s="261"/>
    </row>
    <row r="73" spans="2:4" x14ac:dyDescent="0.25">
      <c r="B73" s="362"/>
      <c r="C73" s="261"/>
      <c r="D73" s="64"/>
    </row>
    <row r="74" spans="2:4" x14ac:dyDescent="0.25">
      <c r="B74" s="362"/>
      <c r="D74" s="64"/>
    </row>
    <row r="75" spans="2:4" x14ac:dyDescent="0.25">
      <c r="B75" s="362"/>
    </row>
    <row r="76" spans="2:4" x14ac:dyDescent="0.25">
      <c r="B76" s="322"/>
      <c r="C76" s="3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B41" sqref="B41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74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22</v>
      </c>
      <c r="C4" s="58" t="s">
        <v>21</v>
      </c>
      <c r="D4" s="194" t="s">
        <v>48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5594</v>
      </c>
      <c r="C5" s="24">
        <v>5629</v>
      </c>
      <c r="D5" s="24">
        <f>+C5-B5</f>
        <v>35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1579</v>
      </c>
      <c r="C6" s="51">
        <v>0</v>
      </c>
      <c r="D6" s="24">
        <f t="shared" ref="D6:D36" si="0">+C6-B6</f>
        <v>-1579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1579</v>
      </c>
      <c r="C7" s="51"/>
      <c r="D7" s="24">
        <f t="shared" si="0"/>
        <v>-1579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/>
      <c r="C8" s="24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24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5"/>
      <c r="W34" s="325"/>
      <c r="X34" s="325"/>
      <c r="Y34" s="325"/>
      <c r="Z34" s="149"/>
      <c r="AA34" s="150"/>
      <c r="AB34" s="150"/>
      <c r="AC34" s="150"/>
      <c r="AD34" s="325"/>
      <c r="AE34" s="325"/>
      <c r="AF34" s="325"/>
      <c r="AG34" s="325"/>
      <c r="AH34" s="325"/>
      <c r="AI34" s="325"/>
      <c r="AJ34" s="325"/>
      <c r="AK34" s="325"/>
      <c r="AL34" s="325"/>
      <c r="AM34" s="325"/>
      <c r="AN34" s="325"/>
      <c r="AO34" s="325"/>
      <c r="AP34" s="325"/>
      <c r="AQ34" s="325"/>
      <c r="AR34" s="325"/>
      <c r="AS34" s="325"/>
      <c r="AT34" s="325"/>
      <c r="AU34" s="325"/>
      <c r="AV34" s="325"/>
      <c r="AW34" s="325"/>
      <c r="AX34" s="325"/>
      <c r="AY34" s="325"/>
      <c r="AZ34" s="325"/>
      <c r="BA34" s="325"/>
      <c r="BB34" s="325"/>
      <c r="BC34" s="325"/>
      <c r="BD34" s="325"/>
      <c r="BE34" s="325"/>
      <c r="BF34" s="325"/>
      <c r="BG34" s="325"/>
      <c r="BH34" s="325"/>
      <c r="BI34" s="325"/>
      <c r="BJ34" s="325"/>
      <c r="BK34" s="325"/>
      <c r="BL34" s="325"/>
      <c r="BM34" s="325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5"/>
      <c r="W35" s="325"/>
      <c r="X35" s="325"/>
      <c r="Y35" s="325"/>
      <c r="Z35" s="149"/>
      <c r="AA35" s="150"/>
      <c r="AB35" s="150"/>
      <c r="AC35" s="150"/>
      <c r="AD35" s="325"/>
      <c r="AE35" s="325"/>
      <c r="AF35" s="325"/>
      <c r="AG35" s="325"/>
      <c r="AH35" s="325"/>
      <c r="AI35" s="325"/>
      <c r="AJ35" s="325"/>
      <c r="AK35" s="325"/>
      <c r="AL35" s="325"/>
      <c r="AM35" s="325"/>
      <c r="AN35" s="325"/>
      <c r="AO35" s="325"/>
      <c r="AP35" s="325"/>
      <c r="AQ35" s="325"/>
      <c r="AR35" s="325"/>
      <c r="AS35" s="325"/>
      <c r="AT35" s="325"/>
      <c r="AU35" s="325"/>
      <c r="AV35" s="325"/>
      <c r="AW35" s="325"/>
      <c r="AX35" s="325"/>
      <c r="AY35" s="325"/>
      <c r="AZ35" s="325"/>
      <c r="BA35" s="325"/>
      <c r="BB35" s="325"/>
      <c r="BC35" s="325"/>
      <c r="BD35" s="325"/>
      <c r="BE35" s="325"/>
      <c r="BF35" s="325"/>
      <c r="BG35" s="325"/>
      <c r="BH35" s="325"/>
      <c r="BI35" s="325"/>
      <c r="BJ35" s="325"/>
      <c r="BK35" s="325"/>
      <c r="BL35" s="325"/>
      <c r="BM35" s="325"/>
    </row>
    <row r="36" spans="1:65" ht="14.1" customHeight="1" x14ac:dyDescent="0.25">
      <c r="A36" s="12"/>
      <c r="B36" s="24">
        <f>SUM(B5:B35)</f>
        <v>8752</v>
      </c>
      <c r="C36" s="24">
        <f>SUM(C5:C35)</f>
        <v>5629</v>
      </c>
      <c r="D36" s="24">
        <f t="shared" si="0"/>
        <v>-3123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5"/>
      <c r="W36" s="325"/>
      <c r="X36" s="325"/>
      <c r="Y36" s="325"/>
      <c r="Z36" s="149"/>
      <c r="AA36" s="150"/>
      <c r="AB36" s="150"/>
      <c r="AC36" s="150"/>
      <c r="AD36" s="325"/>
      <c r="AE36" s="325"/>
      <c r="AF36" s="325"/>
      <c r="AG36" s="325"/>
      <c r="AH36" s="325"/>
      <c r="AI36" s="325"/>
      <c r="AJ36" s="325"/>
      <c r="AK36" s="325"/>
      <c r="AL36" s="325"/>
      <c r="AM36" s="325"/>
      <c r="AN36" s="325"/>
      <c r="AO36" s="325"/>
      <c r="AP36" s="325"/>
      <c r="AQ36" s="325"/>
      <c r="AR36" s="325"/>
      <c r="AS36" s="325"/>
      <c r="AT36" s="325"/>
      <c r="AU36" s="325"/>
      <c r="AV36" s="325"/>
      <c r="AW36" s="325"/>
      <c r="AX36" s="325"/>
      <c r="AY36" s="325"/>
      <c r="AZ36" s="325"/>
      <c r="BA36" s="325"/>
      <c r="BB36" s="325"/>
      <c r="BC36" s="325"/>
      <c r="BD36" s="325"/>
      <c r="BE36" s="325"/>
      <c r="BF36" s="325"/>
      <c r="BG36" s="325"/>
      <c r="BH36" s="325"/>
      <c r="BI36" s="325"/>
      <c r="BJ36" s="325"/>
      <c r="BK36" s="325"/>
      <c r="BL36" s="325"/>
      <c r="BM36" s="325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5"/>
      <c r="W37" s="325"/>
      <c r="X37" s="325"/>
      <c r="Y37" s="325"/>
      <c r="Z37" s="206"/>
      <c r="AA37" s="208"/>
      <c r="AB37" s="208"/>
      <c r="AC37" s="208"/>
      <c r="AD37" s="325"/>
      <c r="AE37" s="325"/>
      <c r="AF37" s="325"/>
      <c r="AG37" s="325"/>
      <c r="AH37" s="325"/>
      <c r="AI37" s="325"/>
      <c r="AJ37" s="325"/>
      <c r="AK37" s="325"/>
      <c r="AL37" s="325"/>
      <c r="AM37" s="325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25"/>
      <c r="AZ37" s="325"/>
      <c r="BA37" s="325"/>
      <c r="BB37" s="325"/>
      <c r="BC37" s="325"/>
      <c r="BD37" s="325"/>
      <c r="BE37" s="325"/>
      <c r="BF37" s="325"/>
      <c r="BG37" s="325"/>
      <c r="BH37" s="325"/>
      <c r="BI37" s="325"/>
      <c r="BJ37" s="325"/>
      <c r="BK37" s="325"/>
      <c r="BL37" s="325"/>
      <c r="BM37" s="325"/>
    </row>
    <row r="38" spans="1:65" x14ac:dyDescent="0.25">
      <c r="B38" s="257">
        <v>36860</v>
      </c>
      <c r="C38" s="24"/>
      <c r="D38" s="368">
        <v>67259</v>
      </c>
      <c r="E38" s="2"/>
      <c r="G38" s="24"/>
      <c r="H38" s="24"/>
      <c r="I38" s="150"/>
      <c r="J38" s="325"/>
      <c r="K38" s="150"/>
      <c r="L38" s="150"/>
      <c r="M38" s="150"/>
      <c r="N38" s="325"/>
      <c r="O38" s="150"/>
      <c r="P38" s="150"/>
      <c r="Q38" s="150"/>
      <c r="R38" s="325"/>
      <c r="S38" s="150"/>
      <c r="T38" s="150"/>
      <c r="U38" s="150"/>
      <c r="V38" s="325"/>
      <c r="W38" s="325"/>
      <c r="X38" s="325"/>
      <c r="Y38" s="325"/>
      <c r="Z38" s="325"/>
      <c r="AA38" s="150"/>
      <c r="AB38" s="150"/>
      <c r="AC38" s="150"/>
      <c r="AD38" s="325"/>
      <c r="AE38" s="325"/>
      <c r="AF38" s="325"/>
      <c r="AG38" s="325"/>
      <c r="AH38" s="325"/>
      <c r="AI38" s="325"/>
      <c r="AJ38" s="325"/>
      <c r="AK38" s="325"/>
      <c r="AL38" s="325"/>
      <c r="AM38" s="325"/>
      <c r="AN38" s="325"/>
      <c r="AO38" s="325"/>
      <c r="AP38" s="325"/>
      <c r="AQ38" s="325"/>
      <c r="AR38" s="325"/>
      <c r="AS38" s="325"/>
      <c r="AT38" s="325"/>
      <c r="AU38" s="325"/>
      <c r="AV38" s="325"/>
      <c r="AW38" s="325"/>
      <c r="AX38" s="325"/>
      <c r="AY38" s="325"/>
      <c r="AZ38" s="325"/>
      <c r="BA38" s="325"/>
      <c r="BB38" s="325"/>
      <c r="BC38" s="325"/>
      <c r="BD38" s="325"/>
      <c r="BE38" s="325"/>
      <c r="BF38" s="325"/>
      <c r="BG38" s="325"/>
      <c r="BH38" s="325"/>
      <c r="BI38" s="325"/>
      <c r="BJ38" s="325"/>
      <c r="BK38" s="325"/>
      <c r="BL38" s="325"/>
      <c r="BM38" s="325"/>
    </row>
    <row r="39" spans="1:65" x14ac:dyDescent="0.25">
      <c r="B39" s="257"/>
      <c r="C39" s="24"/>
      <c r="D39" s="24"/>
      <c r="E39" s="2"/>
      <c r="G39" s="24"/>
      <c r="H39" s="24"/>
      <c r="I39" s="150"/>
      <c r="J39" s="325"/>
      <c r="K39" s="150"/>
      <c r="L39" s="150"/>
      <c r="M39" s="150"/>
      <c r="N39" s="325"/>
      <c r="O39" s="150"/>
      <c r="P39" s="150"/>
      <c r="Q39" s="150"/>
      <c r="R39" s="325"/>
      <c r="S39" s="150"/>
      <c r="T39" s="150"/>
      <c r="U39" s="150"/>
      <c r="V39" s="325"/>
      <c r="W39" s="325"/>
      <c r="X39" s="325"/>
      <c r="Y39" s="325"/>
      <c r="Z39" s="325"/>
      <c r="AA39" s="150"/>
      <c r="AB39" s="150"/>
      <c r="AC39" s="150"/>
      <c r="AD39" s="325"/>
      <c r="AE39" s="325"/>
      <c r="AF39" s="325"/>
      <c r="AG39" s="325"/>
      <c r="AH39" s="325"/>
      <c r="AI39" s="325"/>
      <c r="AJ39" s="325"/>
      <c r="AK39" s="325"/>
      <c r="AL39" s="325"/>
      <c r="AM39" s="325"/>
      <c r="AN39" s="325"/>
      <c r="AO39" s="325"/>
      <c r="AP39" s="325"/>
      <c r="AQ39" s="325"/>
      <c r="AR39" s="325"/>
      <c r="AS39" s="325"/>
      <c r="AT39" s="325"/>
      <c r="AU39" s="325"/>
      <c r="AV39" s="325"/>
      <c r="AW39" s="325"/>
      <c r="AX39" s="325"/>
      <c r="AY39" s="325"/>
      <c r="AZ39" s="325"/>
      <c r="BA39" s="325"/>
      <c r="BB39" s="325"/>
      <c r="BC39" s="325"/>
      <c r="BD39" s="325"/>
      <c r="BE39" s="325"/>
      <c r="BF39" s="325"/>
      <c r="BG39" s="325"/>
      <c r="BH39" s="325"/>
      <c r="BI39" s="325"/>
      <c r="BJ39" s="325"/>
      <c r="BK39" s="325"/>
      <c r="BL39" s="325"/>
      <c r="BM39" s="325"/>
    </row>
    <row r="40" spans="1:65" ht="13.8" thickBot="1" x14ac:dyDescent="0.3">
      <c r="B40" s="257">
        <v>36863</v>
      </c>
      <c r="C40" s="24"/>
      <c r="D40" s="195">
        <f>+D36+D38</f>
        <v>64136</v>
      </c>
      <c r="E40" s="196"/>
      <c r="G40" s="24"/>
      <c r="H40" s="24"/>
      <c r="I40" s="150"/>
      <c r="J40" s="325"/>
      <c r="K40" s="150"/>
      <c r="L40" s="150"/>
      <c r="M40" s="150"/>
      <c r="N40" s="325"/>
      <c r="O40" s="150"/>
      <c r="P40" s="150"/>
      <c r="Q40" s="169"/>
      <c r="R40" s="325"/>
      <c r="S40" s="150"/>
      <c r="T40" s="150"/>
      <c r="U40" s="169"/>
      <c r="V40" s="325"/>
      <c r="W40" s="325"/>
      <c r="X40" s="325"/>
      <c r="Y40" s="325"/>
      <c r="Z40" s="325"/>
      <c r="AA40" s="150"/>
      <c r="AB40" s="150"/>
      <c r="AC40" s="169"/>
      <c r="AD40" s="325"/>
      <c r="AE40" s="325"/>
      <c r="AF40" s="325"/>
      <c r="AG40" s="325"/>
      <c r="AH40" s="325"/>
      <c r="AI40" s="325"/>
      <c r="AJ40" s="325"/>
      <c r="AK40" s="325"/>
      <c r="AL40" s="325"/>
      <c r="AM40" s="325"/>
      <c r="AN40" s="325"/>
      <c r="AO40" s="325"/>
      <c r="AP40" s="325"/>
      <c r="AQ40" s="325"/>
      <c r="AR40" s="325"/>
      <c r="AS40" s="325"/>
      <c r="AT40" s="325"/>
      <c r="AU40" s="325"/>
      <c r="AV40" s="325"/>
      <c r="AW40" s="325"/>
      <c r="AX40" s="325"/>
      <c r="AY40" s="325"/>
      <c r="AZ40" s="325"/>
      <c r="BA40" s="325"/>
      <c r="BB40" s="325"/>
      <c r="BC40" s="325"/>
      <c r="BD40" s="325"/>
      <c r="BE40" s="325"/>
      <c r="BF40" s="325"/>
      <c r="BG40" s="325"/>
      <c r="BH40" s="325"/>
      <c r="BI40" s="325"/>
      <c r="BJ40" s="325"/>
      <c r="BK40" s="325"/>
      <c r="BL40" s="325"/>
      <c r="BM40" s="325"/>
    </row>
    <row r="41" spans="1:65" ht="13.8" thickTop="1" x14ac:dyDescent="0.25">
      <c r="B41" s="258"/>
      <c r="C41"/>
      <c r="D41"/>
      <c r="E41" s="2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25"/>
      <c r="AB41" s="325"/>
      <c r="AC41" s="325"/>
      <c r="AD41" s="325"/>
      <c r="AE41" s="325"/>
      <c r="AF41" s="325"/>
      <c r="AG41" s="325"/>
      <c r="AH41" s="325"/>
      <c r="AI41" s="325"/>
      <c r="AJ41" s="325"/>
      <c r="AK41" s="325"/>
      <c r="AL41" s="325"/>
      <c r="AM41" s="325"/>
      <c r="AN41" s="325"/>
      <c r="AO41" s="325"/>
      <c r="AP41" s="325"/>
      <c r="AQ41" s="325"/>
      <c r="AR41" s="325"/>
      <c r="AS41" s="325"/>
      <c r="AT41" s="325"/>
      <c r="AU41" s="325"/>
      <c r="AV41" s="325"/>
      <c r="AW41" s="325"/>
      <c r="AX41" s="325"/>
      <c r="AY41" s="325"/>
      <c r="AZ41" s="325"/>
      <c r="BA41" s="325"/>
      <c r="BB41" s="325"/>
      <c r="BC41" s="325"/>
      <c r="BD41" s="325"/>
      <c r="BE41" s="325"/>
      <c r="BF41" s="325"/>
      <c r="BG41" s="325"/>
      <c r="BH41" s="325"/>
      <c r="BI41" s="325"/>
      <c r="BJ41" s="325"/>
      <c r="BK41" s="325"/>
      <c r="BL41" s="325"/>
      <c r="BM41" s="325"/>
    </row>
    <row r="42" spans="1:65" x14ac:dyDescent="0.25">
      <c r="B42" s="2"/>
      <c r="C42"/>
      <c r="D42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5"/>
      <c r="AD42" s="325"/>
      <c r="AE42" s="325"/>
      <c r="AF42" s="325"/>
      <c r="AG42" s="325"/>
      <c r="AH42" s="325"/>
      <c r="AI42" s="325"/>
      <c r="AJ42" s="325"/>
      <c r="AK42" s="325"/>
      <c r="AL42" s="325"/>
      <c r="AM42" s="325"/>
      <c r="AN42" s="325"/>
      <c r="AO42" s="325"/>
      <c r="AP42" s="325"/>
      <c r="AQ42" s="325"/>
      <c r="AR42" s="325"/>
      <c r="AS42" s="325"/>
      <c r="AT42" s="325"/>
      <c r="AU42" s="325"/>
      <c r="AV42" s="325"/>
      <c r="AW42" s="325"/>
      <c r="AX42" s="325"/>
      <c r="AY42" s="325"/>
      <c r="AZ42" s="325"/>
      <c r="BA42" s="325"/>
      <c r="BB42" s="325"/>
      <c r="BC42" s="325"/>
      <c r="BD42" s="325"/>
      <c r="BE42" s="325"/>
      <c r="BF42" s="325"/>
      <c r="BG42" s="325"/>
      <c r="BH42" s="325"/>
      <c r="BI42" s="325"/>
      <c r="BJ42" s="325"/>
      <c r="BK42" s="325"/>
      <c r="BL42" s="325"/>
      <c r="BM42" s="325"/>
    </row>
    <row r="43" spans="1:65" x14ac:dyDescent="0.25">
      <c r="B43"/>
      <c r="C43"/>
      <c r="D43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5"/>
      <c r="AG43" s="325"/>
      <c r="AH43" s="325"/>
      <c r="AI43" s="325"/>
      <c r="AJ43" s="325"/>
      <c r="AK43" s="325"/>
      <c r="AL43" s="325"/>
      <c r="AM43" s="325"/>
      <c r="AN43" s="325"/>
      <c r="AO43" s="325"/>
      <c r="AP43" s="325"/>
      <c r="AQ43" s="325"/>
      <c r="AR43" s="325"/>
      <c r="AS43" s="325"/>
      <c r="AT43" s="325"/>
      <c r="AU43" s="325"/>
      <c r="AV43" s="325"/>
      <c r="AW43" s="325"/>
      <c r="AX43" s="325"/>
      <c r="AY43" s="325"/>
      <c r="AZ43" s="325"/>
      <c r="BA43" s="325"/>
      <c r="BB43" s="325"/>
      <c r="BC43" s="325"/>
      <c r="BD43" s="325"/>
      <c r="BE43" s="325"/>
      <c r="BF43" s="325"/>
      <c r="BG43" s="325"/>
      <c r="BH43" s="325"/>
      <c r="BI43" s="325"/>
      <c r="BJ43" s="325"/>
      <c r="BK43" s="325"/>
      <c r="BL43" s="325"/>
      <c r="BM43" s="325"/>
    </row>
    <row r="44" spans="1:65" x14ac:dyDescent="0.25">
      <c r="B44"/>
      <c r="C44"/>
      <c r="D44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325"/>
      <c r="AK44" s="325"/>
      <c r="AL44" s="325"/>
      <c r="AM44" s="325"/>
      <c r="AN44" s="325"/>
      <c r="AO44" s="325"/>
      <c r="AP44" s="325"/>
      <c r="AQ44" s="325"/>
      <c r="AR44" s="325"/>
      <c r="AS44" s="325"/>
      <c r="AT44" s="325"/>
      <c r="AU44" s="325"/>
      <c r="AV44" s="325"/>
      <c r="AW44" s="325"/>
      <c r="AX44" s="325"/>
      <c r="AY44" s="325"/>
      <c r="AZ44" s="325"/>
      <c r="BA44" s="325"/>
      <c r="BB44" s="325"/>
      <c r="BC44" s="325"/>
      <c r="BD44" s="325"/>
      <c r="BE44" s="325"/>
      <c r="BF44" s="325"/>
      <c r="BG44" s="325"/>
      <c r="BH44" s="325"/>
      <c r="BI44" s="325"/>
      <c r="BJ44" s="325"/>
      <c r="BK44" s="325"/>
      <c r="BL44" s="325"/>
      <c r="BM44" s="325"/>
    </row>
    <row r="45" spans="1:65" x14ac:dyDescent="0.25">
      <c r="B45"/>
      <c r="C45"/>
      <c r="D45"/>
    </row>
    <row r="46" spans="1:65" x14ac:dyDescent="0.25">
      <c r="B46"/>
      <c r="C46"/>
      <c r="E46" s="31"/>
    </row>
    <row r="47" spans="1:65" x14ac:dyDescent="0.25">
      <c r="B47"/>
      <c r="C47"/>
      <c r="D47"/>
    </row>
    <row r="48" spans="1:65" x14ac:dyDescent="0.25">
      <c r="B48"/>
      <c r="C48"/>
      <c r="D48" s="31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2" workbookViewId="1">
      <selection activeCell="E7" sqref="E7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51</v>
      </c>
      <c r="C2" s="205"/>
      <c r="D2" s="12" t="s">
        <v>52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29632</v>
      </c>
      <c r="C4" s="11">
        <v>30000</v>
      </c>
      <c r="D4" s="11">
        <v>22925</v>
      </c>
      <c r="E4" s="11">
        <v>25000</v>
      </c>
      <c r="F4" s="25">
        <f>+E4+C4-D4-B4</f>
        <v>2443</v>
      </c>
      <c r="G4" s="25"/>
    </row>
    <row r="5" spans="1:7" x14ac:dyDescent="0.2">
      <c r="A5" s="41">
        <v>2</v>
      </c>
      <c r="B5" s="11">
        <v>19946</v>
      </c>
      <c r="C5" s="11">
        <v>30000</v>
      </c>
      <c r="D5" s="11">
        <v>25047</v>
      </c>
      <c r="E5" s="11">
        <v>25000</v>
      </c>
      <c r="F5" s="25">
        <f t="shared" ref="F5:F34" si="0">+E5+C5-D5-B5</f>
        <v>10007</v>
      </c>
      <c r="G5" s="25"/>
    </row>
    <row r="6" spans="1:7" x14ac:dyDescent="0.2">
      <c r="A6" s="41">
        <v>3</v>
      </c>
      <c r="B6" s="11">
        <v>24779</v>
      </c>
      <c r="C6" s="11">
        <v>29992</v>
      </c>
      <c r="D6" s="11">
        <v>18690</v>
      </c>
      <c r="E6" s="11">
        <v>24993</v>
      </c>
      <c r="F6" s="25">
        <f t="shared" si="0"/>
        <v>11516</v>
      </c>
      <c r="G6" s="25"/>
    </row>
    <row r="7" spans="1:7" x14ac:dyDescent="0.2">
      <c r="A7" s="41">
        <v>4</v>
      </c>
      <c r="B7" s="11"/>
      <c r="C7" s="11"/>
      <c r="D7" s="11"/>
      <c r="E7" s="11"/>
      <c r="F7" s="25">
        <f t="shared" si="0"/>
        <v>0</v>
      </c>
      <c r="G7" s="25"/>
    </row>
    <row r="8" spans="1:7" x14ac:dyDescent="0.2">
      <c r="A8" s="41">
        <v>5</v>
      </c>
      <c r="B8" s="11"/>
      <c r="C8" s="11"/>
      <c r="D8" s="11"/>
      <c r="E8" s="11"/>
      <c r="F8" s="25">
        <f t="shared" si="0"/>
        <v>0</v>
      </c>
      <c r="G8" s="25"/>
    </row>
    <row r="9" spans="1:7" x14ac:dyDescent="0.2">
      <c r="A9" s="41">
        <v>6</v>
      </c>
      <c r="B9" s="11"/>
      <c r="C9" s="11"/>
      <c r="D9" s="11"/>
      <c r="E9" s="11"/>
      <c r="F9" s="25">
        <f t="shared" si="0"/>
        <v>0</v>
      </c>
      <c r="G9" s="25"/>
    </row>
    <row r="10" spans="1:7" x14ac:dyDescent="0.2">
      <c r="A10" s="41">
        <v>7</v>
      </c>
      <c r="B10" s="11"/>
      <c r="C10" s="11"/>
      <c r="D10" s="11"/>
      <c r="E10" s="11"/>
      <c r="F10" s="25">
        <f t="shared" si="0"/>
        <v>0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1"/>
      <c r="C13" s="11"/>
      <c r="D13" s="11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74357</v>
      </c>
      <c r="C35" s="11">
        <f>SUM(C4:C34)</f>
        <v>89992</v>
      </c>
      <c r="D35" s="11">
        <f>SUM(D4:D34)</f>
        <v>66662</v>
      </c>
      <c r="E35" s="11">
        <f>SUM(E4:E34)</f>
        <v>74993</v>
      </c>
      <c r="F35" s="11">
        <f>+E35-D35+C35-B35</f>
        <v>23966</v>
      </c>
    </row>
    <row r="36" spans="1:7" x14ac:dyDescent="0.2">
      <c r="A36" s="45"/>
      <c r="C36" s="14">
        <f>+C35-B35</f>
        <v>15635</v>
      </c>
      <c r="D36" s="14"/>
      <c r="E36" s="14">
        <f>+E35-D35</f>
        <v>8331</v>
      </c>
      <c r="F36" s="47"/>
    </row>
    <row r="37" spans="1:7" x14ac:dyDescent="0.2">
      <c r="C37" s="15">
        <f>+summary!P13</f>
        <v>6.52</v>
      </c>
      <c r="D37" s="15"/>
      <c r="E37" s="15">
        <f>+C37</f>
        <v>6.52</v>
      </c>
      <c r="F37" s="24"/>
    </row>
    <row r="38" spans="1:7" x14ac:dyDescent="0.2">
      <c r="C38" s="48">
        <f>+C37*C36</f>
        <v>101940.2</v>
      </c>
      <c r="D38" s="47"/>
      <c r="E38" s="48">
        <f>+E37*E36</f>
        <v>54318.119999999995</v>
      </c>
      <c r="F38" s="46">
        <f>+E38+C38</f>
        <v>156258.32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36860</v>
      </c>
      <c r="C40" s="373">
        <v>622338.78</v>
      </c>
      <c r="D40" s="349"/>
      <c r="E40" s="373">
        <v>-1050867.92</v>
      </c>
      <c r="F40" s="106">
        <f>+E40+C40</f>
        <v>-428529.1399999999</v>
      </c>
      <c r="G40" s="25"/>
    </row>
    <row r="41" spans="1:7" x14ac:dyDescent="0.2">
      <c r="A41" s="57">
        <v>36863</v>
      </c>
      <c r="C41" s="50">
        <f>+C40+C38</f>
        <v>724278.98</v>
      </c>
      <c r="D41" s="50"/>
      <c r="E41" s="50">
        <f>+E40+E38</f>
        <v>-996549.79999999993</v>
      </c>
      <c r="F41" s="106">
        <f>+E41+C41</f>
        <v>-272270.81999999995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3.2" x14ac:dyDescent="0.25">
      <c r="A44" s="41"/>
      <c r="B44" s="11"/>
      <c r="C44" s="281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13" sqref="D13"/>
    </sheetView>
    <sheetView workbookViewId="1">
      <selection activeCell="C18" sqref="C18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9"/>
      <c r="D3" s="88"/>
    </row>
    <row r="4" spans="1:13" x14ac:dyDescent="0.25">
      <c r="A4" s="87"/>
      <c r="B4" s="265" t="s">
        <v>21</v>
      </c>
      <c r="C4" s="265" t="s">
        <v>22</v>
      </c>
      <c r="D4" s="266" t="s">
        <v>54</v>
      </c>
    </row>
    <row r="5" spans="1:13" x14ac:dyDescent="0.25">
      <c r="A5" s="87">
        <v>56339</v>
      </c>
      <c r="B5" s="342">
        <v>109852</v>
      </c>
      <c r="C5" s="90">
        <v>88421</v>
      </c>
      <c r="D5" s="90">
        <f>+C5-B5</f>
        <v>-21431</v>
      </c>
      <c r="E5" s="292"/>
      <c r="F5" s="290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92"/>
      <c r="F6" s="290"/>
      <c r="K6" s="65">
        <v>36531</v>
      </c>
      <c r="L6" t="s">
        <v>26</v>
      </c>
      <c r="M6">
        <v>0.5</v>
      </c>
    </row>
    <row r="7" spans="1:13" x14ac:dyDescent="0.25">
      <c r="A7" s="87">
        <v>500238</v>
      </c>
      <c r="B7" s="342">
        <v>80940</v>
      </c>
      <c r="C7" s="90">
        <v>79375</v>
      </c>
      <c r="D7" s="90">
        <f t="shared" si="0"/>
        <v>-1565</v>
      </c>
      <c r="E7" s="292"/>
      <c r="F7" s="290"/>
      <c r="L7" t="s">
        <v>27</v>
      </c>
      <c r="M7">
        <v>7.6</v>
      </c>
    </row>
    <row r="8" spans="1:13" x14ac:dyDescent="0.25">
      <c r="A8" s="87">
        <v>500239</v>
      </c>
      <c r="B8" s="342">
        <v>103563</v>
      </c>
      <c r="C8" s="90">
        <v>94939</v>
      </c>
      <c r="D8" s="90">
        <f t="shared" si="0"/>
        <v>-8624</v>
      </c>
      <c r="E8" s="292"/>
      <c r="F8" s="290"/>
    </row>
    <row r="9" spans="1:13" x14ac:dyDescent="0.25">
      <c r="A9" s="87">
        <v>500293</v>
      </c>
      <c r="B9" s="342">
        <v>61127</v>
      </c>
      <c r="C9" s="90">
        <v>73455</v>
      </c>
      <c r="D9" s="90">
        <f t="shared" si="0"/>
        <v>12328</v>
      </c>
      <c r="E9" s="292"/>
      <c r="F9" s="290"/>
    </row>
    <row r="10" spans="1:13" x14ac:dyDescent="0.25">
      <c r="A10" s="87">
        <v>500302</v>
      </c>
      <c r="B10" s="90"/>
      <c r="C10" s="90">
        <v>954</v>
      </c>
      <c r="D10" s="90">
        <f t="shared" si="0"/>
        <v>954</v>
      </c>
      <c r="E10" s="292"/>
      <c r="F10" s="290"/>
    </row>
    <row r="11" spans="1:13" x14ac:dyDescent="0.25">
      <c r="A11" s="87">
        <v>500303</v>
      </c>
      <c r="B11" s="90">
        <v>38016</v>
      </c>
      <c r="C11" s="90">
        <v>29797</v>
      </c>
      <c r="D11" s="90">
        <f t="shared" si="0"/>
        <v>-8219</v>
      </c>
      <c r="E11" s="292"/>
      <c r="F11" s="290"/>
    </row>
    <row r="12" spans="1:13" x14ac:dyDescent="0.25">
      <c r="A12" s="91">
        <v>500305</v>
      </c>
      <c r="B12" s="90">
        <v>151353</v>
      </c>
      <c r="C12" s="90">
        <v>159991</v>
      </c>
      <c r="D12" s="90">
        <f t="shared" si="0"/>
        <v>8638</v>
      </c>
      <c r="E12" s="293"/>
      <c r="F12" s="290"/>
    </row>
    <row r="13" spans="1:13" x14ac:dyDescent="0.25">
      <c r="A13" s="87">
        <v>500307</v>
      </c>
      <c r="B13" s="90">
        <v>4842</v>
      </c>
      <c r="C13" s="90">
        <v>6633</v>
      </c>
      <c r="D13" s="90">
        <f t="shared" si="0"/>
        <v>1791</v>
      </c>
      <c r="E13" s="292"/>
      <c r="F13" s="290"/>
    </row>
    <row r="14" spans="1:13" x14ac:dyDescent="0.25">
      <c r="A14" s="87">
        <v>500313</v>
      </c>
      <c r="B14" s="90"/>
      <c r="C14" s="342">
        <v>379</v>
      </c>
      <c r="D14" s="90">
        <f t="shared" si="0"/>
        <v>379</v>
      </c>
      <c r="E14" s="292"/>
      <c r="F14" s="290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92"/>
      <c r="F15" s="290"/>
    </row>
    <row r="16" spans="1:13" x14ac:dyDescent="0.25">
      <c r="A16" s="87">
        <v>500655</v>
      </c>
      <c r="B16" s="90">
        <v>18984</v>
      </c>
      <c r="C16" s="90"/>
      <c r="D16" s="90">
        <f t="shared" si="0"/>
        <v>-18984</v>
      </c>
      <c r="E16" s="292"/>
      <c r="F16" s="290"/>
    </row>
    <row r="17" spans="1:6" x14ac:dyDescent="0.25">
      <c r="A17" s="87">
        <v>500657</v>
      </c>
      <c r="B17" s="356">
        <v>24745</v>
      </c>
      <c r="C17" s="88">
        <v>9811</v>
      </c>
      <c r="D17" s="94">
        <f t="shared" si="0"/>
        <v>-14934</v>
      </c>
      <c r="E17" s="292"/>
      <c r="F17" s="290"/>
    </row>
    <row r="18" spans="1:6" x14ac:dyDescent="0.25">
      <c r="A18" s="87"/>
      <c r="B18" s="88"/>
      <c r="C18" s="88"/>
      <c r="D18" s="88">
        <f>SUM(D5:D17)</f>
        <v>-49667</v>
      </c>
      <c r="E18" s="292"/>
      <c r="F18" s="290"/>
    </row>
    <row r="19" spans="1:6" x14ac:dyDescent="0.25">
      <c r="A19" s="87" t="s">
        <v>88</v>
      </c>
      <c r="B19" s="88"/>
      <c r="C19" s="88"/>
      <c r="D19" s="95">
        <f>+summary!P13</f>
        <v>6.52</v>
      </c>
      <c r="E19" s="294"/>
      <c r="F19" s="290"/>
    </row>
    <row r="20" spans="1:6" x14ac:dyDescent="0.25">
      <c r="A20" s="87"/>
      <c r="B20" s="88"/>
      <c r="C20" s="88"/>
      <c r="D20" s="96">
        <f>+D19*D18</f>
        <v>-323828.83999999997</v>
      </c>
      <c r="E20" s="209"/>
      <c r="F20" s="291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36860</v>
      </c>
      <c r="B22" s="88"/>
      <c r="C22" s="88"/>
      <c r="D22" s="374">
        <v>-119720.43</v>
      </c>
      <c r="E22" s="209"/>
      <c r="F22" s="66"/>
    </row>
    <row r="23" spans="1:6" x14ac:dyDescent="0.25">
      <c r="A23" s="87"/>
      <c r="B23" s="88"/>
      <c r="C23" s="88"/>
      <c r="D23" s="96"/>
      <c r="E23" s="209"/>
      <c r="F23" s="66"/>
    </row>
    <row r="24" spans="1:6" ht="13.8" thickBot="1" x14ac:dyDescent="0.3">
      <c r="A24" s="99">
        <v>36863</v>
      </c>
      <c r="B24" s="88"/>
      <c r="C24" s="88"/>
      <c r="D24" s="98">
        <f>+D22+D20</f>
        <v>-443549.26999999996</v>
      </c>
      <c r="E24" s="209"/>
      <c r="F24" s="66"/>
    </row>
    <row r="25" spans="1:6" ht="13.8" thickTop="1" x14ac:dyDescent="0.25">
      <c r="E25" s="295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workbookViewId="1">
      <selection activeCell="B17" sqref="B17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5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5">
      <c r="A5" s="10">
        <v>1</v>
      </c>
      <c r="B5" s="11">
        <v>105467</v>
      </c>
      <c r="C5" s="11">
        <f>177825+10</f>
        <v>177835</v>
      </c>
      <c r="D5" s="11"/>
      <c r="E5" s="11">
        <v>77908</v>
      </c>
      <c r="F5" s="11">
        <f>+D5+C5-E5-B5</f>
        <v>-5540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131083</v>
      </c>
      <c r="C6" s="11">
        <f>174103+3</f>
        <v>174106</v>
      </c>
      <c r="D6" s="11"/>
      <c r="E6" s="11">
        <v>45263</v>
      </c>
      <c r="F6" s="11">
        <f>+D6+C6-E6-B6</f>
        <v>-2240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5">
      <c r="A7" s="10">
        <v>3</v>
      </c>
      <c r="B7" s="11">
        <v>134074</v>
      </c>
      <c r="C7" s="11">
        <v>161714</v>
      </c>
      <c r="D7" s="11"/>
      <c r="E7" s="11">
        <v>31644</v>
      </c>
      <c r="F7" s="11">
        <f>+D7+C7-E7-B7</f>
        <v>-4004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5">
      <c r="A8" s="10">
        <v>4</v>
      </c>
      <c r="B8" s="11"/>
      <c r="C8" s="11"/>
      <c r="D8" s="11"/>
      <c r="E8" s="11"/>
      <c r="F8" s="11">
        <f t="shared" ref="F8:F35" si="5">+D8+C8-E8-B8</f>
        <v>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5">
      <c r="A9" s="10">
        <v>5</v>
      </c>
      <c r="B9" s="11"/>
      <c r="C9" s="11"/>
      <c r="D9" s="11"/>
      <c r="E9" s="11"/>
      <c r="F9" s="11">
        <f t="shared" si="5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5">
      <c r="A10" s="10">
        <v>6</v>
      </c>
      <c r="B10" s="11"/>
      <c r="C10" s="11"/>
      <c r="D10" s="11"/>
      <c r="E10" s="11"/>
      <c r="F10" s="11">
        <f t="shared" si="5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5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5">
      <c r="A12" s="10">
        <v>8</v>
      </c>
      <c r="B12" s="11"/>
      <c r="C12" s="11"/>
      <c r="D12" s="11"/>
      <c r="E12" s="11"/>
      <c r="F12" s="11">
        <f t="shared" si="5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5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5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5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370624</v>
      </c>
      <c r="C36" s="11">
        <f>SUM(C5:C35)</f>
        <v>513655</v>
      </c>
      <c r="D36" s="11"/>
      <c r="E36" s="11">
        <f>SUM(E5:E35)</f>
        <v>154815</v>
      </c>
      <c r="F36" s="11">
        <f>SUM(F5:F35)</f>
        <v>-11784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36860</v>
      </c>
      <c r="F39" s="366">
        <v>-76471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36863</v>
      </c>
      <c r="F41" s="282">
        <f>+F39+F36</f>
        <v>-88255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280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B34" sqref="B34"/>
    </sheetView>
    <sheetView topLeftCell="A26" workbookViewId="1">
      <selection activeCell="A44" sqref="A44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77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23550</v>
      </c>
      <c r="C8" s="11">
        <v>23150</v>
      </c>
      <c r="D8" s="11">
        <f>+C8-B8</f>
        <v>-400</v>
      </c>
      <c r="E8" s="10"/>
      <c r="F8" s="11"/>
      <c r="G8" s="11"/>
      <c r="H8" s="11"/>
    </row>
    <row r="9" spans="1:8" x14ac:dyDescent="0.25">
      <c r="A9" s="10">
        <v>2</v>
      </c>
      <c r="B9" s="11">
        <v>23965</v>
      </c>
      <c r="C9" s="11">
        <v>23150</v>
      </c>
      <c r="D9" s="11">
        <f t="shared" ref="D9:D38" si="0">+C9-B9</f>
        <v>-815</v>
      </c>
      <c r="E9" s="10"/>
      <c r="F9" s="11"/>
      <c r="G9" s="11"/>
      <c r="H9" s="11"/>
    </row>
    <row r="10" spans="1:8" x14ac:dyDescent="0.25">
      <c r="A10" s="10">
        <v>3</v>
      </c>
      <c r="B10" s="11">
        <v>23996</v>
      </c>
      <c r="C10" s="11">
        <v>23150</v>
      </c>
      <c r="D10" s="11">
        <f t="shared" si="0"/>
        <v>-846</v>
      </c>
      <c r="E10" s="10"/>
      <c r="F10" s="11"/>
      <c r="G10" s="11"/>
      <c r="H10" s="11"/>
    </row>
    <row r="11" spans="1:8" x14ac:dyDescent="0.25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5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5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5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71511</v>
      </c>
      <c r="C39" s="11">
        <f>SUM(C8:C38)</f>
        <v>69450</v>
      </c>
      <c r="D39" s="11">
        <f>SUM(D8:D38)</f>
        <v>-2061</v>
      </c>
      <c r="E39" s="10"/>
      <c r="F39" s="11"/>
      <c r="G39" s="11"/>
      <c r="H39" s="11"/>
    </row>
    <row r="40" spans="1:8" x14ac:dyDescent="0.25">
      <c r="A40" s="26"/>
      <c r="D40" s="75">
        <f>+summary!P13</f>
        <v>6.52</v>
      </c>
      <c r="E40" s="26"/>
      <c r="H40" s="75"/>
    </row>
    <row r="41" spans="1:8" x14ac:dyDescent="0.25">
      <c r="D41" s="197">
        <f>+D40*D39</f>
        <v>-13437.72</v>
      </c>
      <c r="F41" s="254"/>
      <c r="H41" s="197"/>
    </row>
    <row r="42" spans="1:8" x14ac:dyDescent="0.25">
      <c r="A42" s="57">
        <v>36860</v>
      </c>
      <c r="D42" s="345">
        <v>96531</v>
      </c>
      <c r="E42" s="57"/>
      <c r="H42" s="197"/>
    </row>
    <row r="43" spans="1:8" x14ac:dyDescent="0.25">
      <c r="A43" s="57">
        <v>36863</v>
      </c>
      <c r="D43" s="198">
        <f>+D42+D41</f>
        <v>83093.279999999999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workbookViewId="0">
      <selection activeCell="B9" sqref="B9"/>
    </sheetView>
    <sheetView topLeftCell="A16" workbookViewId="1">
      <selection activeCell="B40" sqref="B40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0.6640625" style="32" bestFit="1" customWidth="1"/>
    <col min="4" max="4" width="9.109375" style="32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104</v>
      </c>
      <c r="G2" s="32"/>
      <c r="H2" s="15"/>
      <c r="I2" s="32"/>
      <c r="J2" s="32"/>
    </row>
    <row r="3" spans="1:10" x14ac:dyDescent="0.25">
      <c r="A3" s="2" t="s">
        <v>78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70">
        <v>36860</v>
      </c>
      <c r="C5" s="377">
        <v>-228771.58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36862</v>
      </c>
      <c r="G7" s="32"/>
      <c r="H7" s="15"/>
      <c r="I7" s="32"/>
      <c r="J7" s="32"/>
    </row>
    <row r="8" spans="1:10" x14ac:dyDescent="0.25">
      <c r="A8" s="255">
        <v>60874</v>
      </c>
      <c r="B8" s="359">
        <v>292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5">
        <v>500248</v>
      </c>
      <c r="B10" s="359">
        <v>218</v>
      </c>
      <c r="G10" s="32"/>
      <c r="H10" s="15"/>
      <c r="I10" s="32"/>
      <c r="J10" s="32"/>
    </row>
    <row r="11" spans="1:10" x14ac:dyDescent="0.25">
      <c r="A11" s="255">
        <v>500251</v>
      </c>
      <c r="B11" s="359">
        <f>1200-667</f>
        <v>533</v>
      </c>
      <c r="G11" s="32"/>
      <c r="H11" s="15"/>
      <c r="I11" s="32"/>
      <c r="J11" s="32"/>
    </row>
    <row r="12" spans="1:10" x14ac:dyDescent="0.25">
      <c r="A12" s="255">
        <v>500254</v>
      </c>
      <c r="B12" s="212">
        <f>216-1</f>
        <v>215</v>
      </c>
      <c r="G12" s="32"/>
      <c r="H12" s="15"/>
      <c r="I12" s="32"/>
      <c r="J12" s="32"/>
    </row>
    <row r="13" spans="1:10" x14ac:dyDescent="0.25">
      <c r="A13" s="32">
        <v>500255</v>
      </c>
      <c r="B13" s="273">
        <f>1600-2597</f>
        <v>-997</v>
      </c>
      <c r="G13" s="32"/>
      <c r="H13" s="15"/>
      <c r="I13" s="32"/>
      <c r="J13" s="32"/>
    </row>
    <row r="14" spans="1:10" x14ac:dyDescent="0.25">
      <c r="A14" s="32">
        <v>500262</v>
      </c>
      <c r="B14" s="359">
        <f>830-817</f>
        <v>13</v>
      </c>
      <c r="G14" s="32"/>
      <c r="H14" s="15"/>
      <c r="I14" s="32"/>
      <c r="J14" s="32"/>
    </row>
    <row r="15" spans="1:10" x14ac:dyDescent="0.25">
      <c r="A15" s="297">
        <v>500267</v>
      </c>
      <c r="B15" s="360">
        <f>69005-73694</f>
        <v>-4689</v>
      </c>
      <c r="G15" s="32"/>
      <c r="H15" s="15"/>
      <c r="I15" s="32"/>
      <c r="J15" s="32"/>
    </row>
    <row r="16" spans="1:10" x14ac:dyDescent="0.25">
      <c r="B16" s="14">
        <f>SUM(B8:B15)</f>
        <v>-4415</v>
      </c>
      <c r="G16" s="32"/>
      <c r="H16" s="15"/>
      <c r="I16" s="32"/>
      <c r="J16" s="32"/>
    </row>
    <row r="17" spans="1:10" x14ac:dyDescent="0.25">
      <c r="B17" s="15">
        <f>+B30</f>
        <v>6.52</v>
      </c>
      <c r="C17" s="201">
        <f>+B17*B16</f>
        <v>-28785.8</v>
      </c>
      <c r="G17" s="32"/>
      <c r="H17" s="15"/>
      <c r="I17" s="32"/>
      <c r="J17" s="32"/>
    </row>
    <row r="18" spans="1:10" x14ac:dyDescent="0.25">
      <c r="C18" s="260">
        <f>+C17+C5</f>
        <v>-257557.37999999998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96</v>
      </c>
      <c r="G20" s="32"/>
      <c r="H20" s="15"/>
      <c r="I20" s="32"/>
      <c r="J20" s="32"/>
    </row>
    <row r="21" spans="1:10" x14ac:dyDescent="0.25">
      <c r="A21" s="2" t="s">
        <v>79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0">
        <v>36860</v>
      </c>
      <c r="C24" s="355">
        <v>166767.85999999999</v>
      </c>
      <c r="G24" s="32"/>
      <c r="H24" s="15"/>
      <c r="I24" s="32"/>
      <c r="J24" s="32"/>
    </row>
    <row r="25" spans="1:10" x14ac:dyDescent="0.25">
      <c r="F25" s="272"/>
      <c r="G25" s="32"/>
      <c r="H25" s="15"/>
      <c r="I25" s="32"/>
      <c r="J25" s="32"/>
    </row>
    <row r="26" spans="1:10" x14ac:dyDescent="0.25">
      <c r="A26" s="57">
        <v>36862</v>
      </c>
      <c r="G26" s="32"/>
      <c r="H26" s="15"/>
      <c r="I26" s="32"/>
      <c r="J26" s="32"/>
    </row>
    <row r="27" spans="1:10" x14ac:dyDescent="0.25">
      <c r="A27" s="32">
        <v>9164</v>
      </c>
      <c r="B27" s="212">
        <v>12556</v>
      </c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12556</v>
      </c>
    </row>
    <row r="30" spans="1:10" x14ac:dyDescent="0.25">
      <c r="B30" s="15">
        <f>+summary!P13</f>
        <v>6.52</v>
      </c>
      <c r="C30" s="201">
        <f>+B30*B29</f>
        <v>81865.119999999995</v>
      </c>
    </row>
    <row r="31" spans="1:10" x14ac:dyDescent="0.25">
      <c r="C31" s="260">
        <f>+C30+C24</f>
        <v>248632.97999999998</v>
      </c>
      <c r="E31" s="15"/>
    </row>
    <row r="33" spans="1:6" x14ac:dyDescent="0.25">
      <c r="E33" s="278"/>
    </row>
    <row r="34" spans="1:6" x14ac:dyDescent="0.25">
      <c r="A34" s="32" t="s">
        <v>96</v>
      </c>
      <c r="E34" s="15"/>
    </row>
    <row r="35" spans="1:6" x14ac:dyDescent="0.25">
      <c r="A35" s="32" t="s">
        <v>80</v>
      </c>
      <c r="E35" s="15"/>
    </row>
    <row r="38" spans="1:6" x14ac:dyDescent="0.25">
      <c r="A38" s="49">
        <v>36860</v>
      </c>
      <c r="C38" s="375">
        <v>285466.88</v>
      </c>
      <c r="E38" s="15"/>
      <c r="F38" s="272"/>
    </row>
    <row r="40" spans="1:6" x14ac:dyDescent="0.25">
      <c r="A40" s="251">
        <v>36862</v>
      </c>
    </row>
    <row r="41" spans="1:6" x14ac:dyDescent="0.25">
      <c r="A41" s="255">
        <v>500241</v>
      </c>
      <c r="B41" s="14"/>
    </row>
    <row r="42" spans="1:6" x14ac:dyDescent="0.25">
      <c r="A42" s="32">
        <v>500391</v>
      </c>
      <c r="B42" s="212">
        <v>560</v>
      </c>
    </row>
    <row r="43" spans="1:6" x14ac:dyDescent="0.25">
      <c r="A43" s="32">
        <v>500392</v>
      </c>
      <c r="B43" s="259">
        <v>145</v>
      </c>
    </row>
    <row r="44" spans="1:6" x14ac:dyDescent="0.25">
      <c r="B44" s="14">
        <f>SUM(B41:B43)</f>
        <v>705</v>
      </c>
    </row>
    <row r="45" spans="1:6" x14ac:dyDescent="0.25">
      <c r="B45" s="201">
        <f>+B30</f>
        <v>6.52</v>
      </c>
      <c r="C45" s="201">
        <f>+B45*B44</f>
        <v>4596.5999999999995</v>
      </c>
    </row>
    <row r="46" spans="1:6" x14ac:dyDescent="0.25">
      <c r="C46" s="260">
        <f>+C45+C38</f>
        <v>290063.48</v>
      </c>
      <c r="E46" s="206"/>
    </row>
    <row r="47" spans="1:6" x14ac:dyDescent="0.25">
      <c r="E47" s="218"/>
    </row>
    <row r="48" spans="1:6" x14ac:dyDescent="0.25">
      <c r="E48" s="206"/>
    </row>
    <row r="49" spans="1:5" x14ac:dyDescent="0.25">
      <c r="C49" s="382"/>
      <c r="E49" s="218"/>
    </row>
    <row r="50" spans="1:5" x14ac:dyDescent="0.25">
      <c r="A50" s="32" t="s">
        <v>96</v>
      </c>
    </row>
    <row r="51" spans="1:5" x14ac:dyDescent="0.25">
      <c r="A51" s="32">
        <v>21665</v>
      </c>
      <c r="C51" s="15">
        <v>70678.240000000005</v>
      </c>
      <c r="E51" s="50"/>
    </row>
    <row r="52" spans="1:5" x14ac:dyDescent="0.25">
      <c r="A52" s="32">
        <v>22664</v>
      </c>
      <c r="C52" s="15">
        <v>23612.35</v>
      </c>
    </row>
    <row r="53" spans="1:5" x14ac:dyDescent="0.25">
      <c r="E53" s="15"/>
    </row>
    <row r="56" spans="1:5" x14ac:dyDescent="0.25">
      <c r="C56" s="15"/>
    </row>
    <row r="58" spans="1:5" x14ac:dyDescent="0.25">
      <c r="C58" s="15"/>
    </row>
    <row r="59" spans="1:5" x14ac:dyDescent="0.25">
      <c r="C59" s="15"/>
    </row>
    <row r="62" spans="1:5" x14ac:dyDescent="0.25">
      <c r="C62" s="15">
        <f>+C18+C31+C46+C51+C52</f>
        <v>375429.66999999993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workbookViewId="1">
      <selection activeCell="A17" sqref="A17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75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8697</v>
      </c>
      <c r="C8" s="11">
        <v>6399</v>
      </c>
      <c r="D8" s="11">
        <v>114</v>
      </c>
      <c r="E8" s="11"/>
      <c r="F8" s="11">
        <v>1543</v>
      </c>
      <c r="G8" s="11">
        <v>1323</v>
      </c>
      <c r="H8" s="11">
        <v>322</v>
      </c>
      <c r="I8" s="11">
        <v>298</v>
      </c>
      <c r="J8" s="25">
        <f>+C8-B8+E8-D8+G8-F8+I8-H8</f>
        <v>-2656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8009</v>
      </c>
      <c r="C9" s="11">
        <v>6399</v>
      </c>
      <c r="D9" s="11">
        <v>122</v>
      </c>
      <c r="E9" s="11"/>
      <c r="F9" s="11">
        <v>1620</v>
      </c>
      <c r="G9" s="11">
        <v>1323</v>
      </c>
      <c r="H9" s="11">
        <v>176</v>
      </c>
      <c r="I9" s="11">
        <v>298</v>
      </c>
      <c r="J9" s="25">
        <f t="shared" ref="J9:J38" si="0">+C9-B9+E9-D9+G9-F9+I9-H9</f>
        <v>-1907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7276</v>
      </c>
      <c r="C10" s="11">
        <v>6399</v>
      </c>
      <c r="D10" s="11">
        <v>180</v>
      </c>
      <c r="E10" s="11">
        <v>179</v>
      </c>
      <c r="F10" s="11">
        <v>1545</v>
      </c>
      <c r="G10" s="11">
        <v>1323</v>
      </c>
      <c r="H10" s="11">
        <v>41</v>
      </c>
      <c r="I10" s="11">
        <v>298</v>
      </c>
      <c r="J10" s="25">
        <f t="shared" si="0"/>
        <v>-843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/>
      <c r="C11" s="11"/>
      <c r="D11" s="11"/>
      <c r="E11" s="11"/>
      <c r="F11" s="11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/>
      <c r="C12" s="11"/>
      <c r="D12" s="11"/>
      <c r="E12" s="11"/>
      <c r="F12" s="11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96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96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96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96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23982</v>
      </c>
      <c r="C39" s="11">
        <f t="shared" si="1"/>
        <v>19197</v>
      </c>
      <c r="D39" s="11">
        <f t="shared" si="1"/>
        <v>416</v>
      </c>
      <c r="E39" s="11">
        <f t="shared" si="1"/>
        <v>179</v>
      </c>
      <c r="F39" s="11">
        <f t="shared" si="1"/>
        <v>4708</v>
      </c>
      <c r="G39" s="11">
        <f t="shared" si="1"/>
        <v>3969</v>
      </c>
      <c r="H39" s="11">
        <f t="shared" si="1"/>
        <v>539</v>
      </c>
      <c r="I39" s="11">
        <f t="shared" si="1"/>
        <v>894</v>
      </c>
      <c r="J39" s="25">
        <f t="shared" si="1"/>
        <v>-5406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4">
        <f>+summary!P13</f>
        <v>6.52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-35247.119999999995</v>
      </c>
      <c r="L41"/>
      <c r="R41" s="138"/>
      <c r="X41" s="138"/>
    </row>
    <row r="42" spans="1:24" x14ac:dyDescent="0.25">
      <c r="A42" s="57">
        <v>36860</v>
      </c>
      <c r="C42" s="15"/>
      <c r="J42" s="369">
        <v>509425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36863</v>
      </c>
      <c r="C43" s="48"/>
      <c r="J43" s="138">
        <f>+J42+J41</f>
        <v>474177.88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D35" sqref="D35"/>
    </sheetView>
  </sheetViews>
  <sheetFormatPr defaultRowHeight="13.2" x14ac:dyDescent="0.25"/>
  <cols>
    <col min="4" max="4" width="11.6640625" bestFit="1" customWidth="1"/>
  </cols>
  <sheetData>
    <row r="5" spans="1:24" ht="13.8" x14ac:dyDescent="0.25">
      <c r="A5" s="134"/>
      <c r="E5" s="134"/>
      <c r="I5" s="134"/>
      <c r="M5" s="134"/>
      <c r="Q5" s="134"/>
      <c r="U5" s="134"/>
    </row>
    <row r="6" spans="1:24" x14ac:dyDescent="0.25">
      <c r="A6" s="3"/>
      <c r="B6" s="1" t="s">
        <v>76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48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5">
      <c r="A8" s="10">
        <v>1</v>
      </c>
      <c r="B8" s="11">
        <v>17119</v>
      </c>
      <c r="C8" s="11">
        <v>21220</v>
      </c>
      <c r="D8" s="25">
        <f>+C8-B8</f>
        <v>4101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5">
      <c r="A9" s="10">
        <v>2</v>
      </c>
      <c r="B9" s="11">
        <v>16609</v>
      </c>
      <c r="C9" s="11">
        <v>18277</v>
      </c>
      <c r="D9" s="25">
        <f>+C9-B9</f>
        <v>1668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5">
      <c r="A10" s="10">
        <v>3</v>
      </c>
      <c r="B10" s="11">
        <v>16587</v>
      </c>
      <c r="C10" s="11">
        <v>16986</v>
      </c>
      <c r="D10" s="25">
        <f t="shared" ref="D10:D38" si="0">+C10-B10</f>
        <v>399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5">
      <c r="A11" s="10">
        <v>4</v>
      </c>
      <c r="B11" s="11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5">
      <c r="A12" s="10">
        <v>5</v>
      </c>
      <c r="B12" s="11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5">
      <c r="A13" s="10">
        <v>6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5">
      <c r="A14" s="10">
        <v>7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5">
      <c r="A15" s="10">
        <v>8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5">
      <c r="A16" s="10">
        <v>9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5">
      <c r="A17" s="10">
        <v>10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5">
      <c r="A18" s="10">
        <v>11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5">
      <c r="A19" s="10">
        <v>12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5">
      <c r="A20" s="10">
        <v>13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5">
      <c r="A21" s="10">
        <v>14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5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5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5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5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5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5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5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5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5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5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5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5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5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5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5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5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5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5">
      <c r="A39" s="10"/>
      <c r="B39" s="11">
        <f>SUM(B8:B38)</f>
        <v>50315</v>
      </c>
      <c r="C39" s="11">
        <f>SUM(C8:C38)</f>
        <v>56483</v>
      </c>
      <c r="D39" s="11">
        <f>SUM(D8:D38)</f>
        <v>6168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5">
      <c r="A40" s="26"/>
      <c r="C40" s="14"/>
      <c r="D40" s="106">
        <f>+summary!P13</f>
        <v>6.52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5">
      <c r="D41" s="138">
        <f>+D40*D39</f>
        <v>40215.360000000001</v>
      </c>
      <c r="H41" s="138"/>
      <c r="L41" s="138"/>
      <c r="P41" s="138"/>
      <c r="T41" s="138"/>
      <c r="X41" s="138"/>
    </row>
    <row r="42" spans="1:24" x14ac:dyDescent="0.25">
      <c r="A42" s="57">
        <v>36860</v>
      </c>
      <c r="C42" s="15"/>
      <c r="D42" s="372">
        <v>-88198.25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5">
      <c r="A43" s="57">
        <v>36863</v>
      </c>
      <c r="C43" s="48"/>
      <c r="D43" s="110">
        <f>+D42+D41</f>
        <v>-47982.89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workbookViewId="1">
      <selection activeCell="A25" sqref="A25"/>
    </sheetView>
  </sheetViews>
  <sheetFormatPr defaultColWidth="9.109375" defaultRowHeight="10.199999999999999" x14ac:dyDescent="0.2"/>
  <cols>
    <col min="1" max="3" width="9.109375" style="32"/>
    <col min="4" max="4" width="12" style="32" bestFit="1" customWidth="1"/>
    <col min="5" max="16384" width="9.109375" style="32"/>
  </cols>
  <sheetData>
    <row r="4" spans="1:8" ht="13.2" x14ac:dyDescent="0.25">
      <c r="A4" s="34" t="s">
        <v>97</v>
      </c>
      <c r="B4" s="69"/>
      <c r="C4" s="298"/>
      <c r="D4" s="69"/>
    </row>
    <row r="5" spans="1:8" x14ac:dyDescent="0.2">
      <c r="B5" s="299" t="s">
        <v>21</v>
      </c>
      <c r="C5" s="299" t="s">
        <v>22</v>
      </c>
      <c r="D5" s="300" t="s">
        <v>54</v>
      </c>
    </row>
    <row r="6" spans="1:8" x14ac:dyDescent="0.2">
      <c r="A6" s="32">
        <v>1635</v>
      </c>
      <c r="B6" s="358"/>
      <c r="C6" s="80"/>
      <c r="D6" s="80">
        <f t="shared" ref="D6:D14" si="0">+C6-B6</f>
        <v>0</v>
      </c>
    </row>
    <row r="7" spans="1:8" x14ac:dyDescent="0.2">
      <c r="A7" s="32">
        <v>3531</v>
      </c>
      <c r="B7" s="358">
        <v>-63632</v>
      </c>
      <c r="C7" s="307">
        <v>-53122</v>
      </c>
      <c r="D7" s="80">
        <f t="shared" si="0"/>
        <v>10510</v>
      </c>
    </row>
    <row r="8" spans="1:8" x14ac:dyDescent="0.2">
      <c r="A8" s="32">
        <v>60667</v>
      </c>
      <c r="B8" s="358"/>
      <c r="C8" s="307">
        <f>-30000-23167</f>
        <v>-53167</v>
      </c>
      <c r="D8" s="80">
        <f t="shared" si="0"/>
        <v>-53167</v>
      </c>
      <c r="H8" s="256"/>
    </row>
    <row r="9" spans="1:8" x14ac:dyDescent="0.2">
      <c r="A9" s="32">
        <v>60749</v>
      </c>
      <c r="B9" s="358"/>
      <c r="C9" s="307">
        <v>-5926</v>
      </c>
      <c r="D9" s="80">
        <f t="shared" si="0"/>
        <v>-5926</v>
      </c>
      <c r="H9" s="256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6"/>
    </row>
    <row r="11" spans="1:8" x14ac:dyDescent="0.2">
      <c r="A11" s="32">
        <v>61334</v>
      </c>
      <c r="B11" s="358">
        <v>-49762</v>
      </c>
      <c r="C11" s="80"/>
      <c r="D11" s="80">
        <f t="shared" si="0"/>
        <v>49762</v>
      </c>
      <c r="H11" s="256"/>
    </row>
    <row r="12" spans="1:8" x14ac:dyDescent="0.2">
      <c r="A12" s="32">
        <v>62960</v>
      </c>
      <c r="B12" s="358"/>
      <c r="C12" s="80"/>
      <c r="D12" s="80">
        <f t="shared" si="0"/>
        <v>0</v>
      </c>
      <c r="H12" s="256"/>
    </row>
    <row r="13" spans="1:8" x14ac:dyDescent="0.2">
      <c r="A13" s="301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1179</v>
      </c>
    </row>
    <row r="19" spans="1:5" x14ac:dyDescent="0.2">
      <c r="A19" s="32" t="s">
        <v>88</v>
      </c>
      <c r="B19" s="69"/>
      <c r="C19" s="69"/>
      <c r="D19" s="73">
        <f>+summary!P13</f>
        <v>6.52</v>
      </c>
    </row>
    <row r="20" spans="1:5" x14ac:dyDescent="0.2">
      <c r="B20" s="69"/>
      <c r="C20" s="69"/>
      <c r="D20" s="75">
        <f>+D19*D18</f>
        <v>7687.08</v>
      </c>
    </row>
    <row r="21" spans="1:5" x14ac:dyDescent="0.2">
      <c r="B21" s="69"/>
      <c r="C21" s="80"/>
      <c r="D21" s="305"/>
      <c r="E21" s="256"/>
    </row>
    <row r="22" spans="1:5" x14ac:dyDescent="0.2">
      <c r="A22" s="49">
        <v>36860</v>
      </c>
      <c r="B22" s="69"/>
      <c r="C22" s="80"/>
      <c r="D22" s="380">
        <v>67709.97</v>
      </c>
      <c r="E22" s="256"/>
    </row>
    <row r="23" spans="1:5" x14ac:dyDescent="0.2">
      <c r="B23" s="69"/>
      <c r="C23" s="80"/>
      <c r="D23" s="305"/>
      <c r="E23" s="256"/>
    </row>
    <row r="24" spans="1:5" ht="10.8" thickBot="1" x14ac:dyDescent="0.25">
      <c r="A24" s="49">
        <v>36862</v>
      </c>
      <c r="B24" s="69"/>
      <c r="C24" s="69"/>
      <c r="D24" s="306">
        <f>+D22+D20</f>
        <v>75397.05</v>
      </c>
      <c r="E24" s="256"/>
    </row>
    <row r="25" spans="1:5" ht="10.8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3" sqref="C13"/>
    </sheetView>
    <sheetView workbookViewId="1">
      <selection activeCell="C9" sqref="C9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90</v>
      </c>
      <c r="B3" s="88"/>
      <c r="C3" s="269"/>
      <c r="D3" s="88"/>
    </row>
    <row r="4" spans="1:13" x14ac:dyDescent="0.25">
      <c r="A4" s="87"/>
      <c r="B4" s="265" t="s">
        <v>21</v>
      </c>
      <c r="C4" s="265" t="s">
        <v>22</v>
      </c>
      <c r="D4" s="266" t="s">
        <v>54</v>
      </c>
    </row>
    <row r="5" spans="1:13" x14ac:dyDescent="0.25">
      <c r="A5" s="87">
        <v>9236</v>
      </c>
      <c r="B5" s="342">
        <v>-5784</v>
      </c>
      <c r="C5" s="90">
        <v>-7760</v>
      </c>
      <c r="D5" s="90">
        <f t="shared" ref="D5:D13" si="0">+C5-B5</f>
        <v>-1976</v>
      </c>
      <c r="E5" s="69"/>
      <c r="F5" s="70"/>
    </row>
    <row r="6" spans="1:13" x14ac:dyDescent="0.25">
      <c r="A6" s="87">
        <v>9238</v>
      </c>
      <c r="B6" s="90"/>
      <c r="C6" s="90"/>
      <c r="D6" s="90">
        <f t="shared" si="0"/>
        <v>0</v>
      </c>
      <c r="E6" s="292"/>
      <c r="F6" s="70"/>
      <c r="K6" s="65">
        <v>36531</v>
      </c>
      <c r="L6" t="s">
        <v>26</v>
      </c>
      <c r="M6">
        <v>0.5</v>
      </c>
    </row>
    <row r="7" spans="1:13" x14ac:dyDescent="0.25">
      <c r="A7" s="87">
        <v>56422</v>
      </c>
      <c r="B7" s="342">
        <v>-156652</v>
      </c>
      <c r="C7" s="90">
        <v>-178365</v>
      </c>
      <c r="D7" s="90">
        <f t="shared" si="0"/>
        <v>-21713</v>
      </c>
      <c r="E7" s="292"/>
      <c r="F7" s="70"/>
    </row>
    <row r="8" spans="1:13" x14ac:dyDescent="0.25">
      <c r="A8" s="87">
        <v>58710</v>
      </c>
      <c r="B8" s="342">
        <v>-28729</v>
      </c>
      <c r="C8" s="357">
        <v>-18430</v>
      </c>
      <c r="D8" s="90">
        <f t="shared" si="0"/>
        <v>10299</v>
      </c>
      <c r="E8" s="292"/>
      <c r="F8" s="70"/>
    </row>
    <row r="9" spans="1:13" x14ac:dyDescent="0.25">
      <c r="A9" s="87">
        <v>60921</v>
      </c>
      <c r="B9" s="342">
        <v>-78270</v>
      </c>
      <c r="C9" s="90">
        <v>-41870</v>
      </c>
      <c r="D9" s="90">
        <f t="shared" si="0"/>
        <v>36400</v>
      </c>
      <c r="E9" s="292"/>
      <c r="F9" s="70"/>
    </row>
    <row r="10" spans="1:13" x14ac:dyDescent="0.25">
      <c r="A10" s="87">
        <v>78026</v>
      </c>
      <c r="B10" s="342">
        <v>841</v>
      </c>
      <c r="C10" s="90"/>
      <c r="D10" s="90">
        <f t="shared" si="0"/>
        <v>-841</v>
      </c>
      <c r="E10" s="292"/>
      <c r="F10" s="290"/>
    </row>
    <row r="11" spans="1:13" x14ac:dyDescent="0.25">
      <c r="A11" s="87">
        <v>500084</v>
      </c>
      <c r="B11" s="342">
        <v>-3857</v>
      </c>
      <c r="C11" s="90">
        <v>-6000</v>
      </c>
      <c r="D11" s="90">
        <f t="shared" si="0"/>
        <v>-2143</v>
      </c>
      <c r="E11" s="293"/>
      <c r="F11" s="290"/>
    </row>
    <row r="12" spans="1:13" x14ac:dyDescent="0.25">
      <c r="A12" s="91">
        <v>500085</v>
      </c>
      <c r="B12" s="342"/>
      <c r="C12" s="90">
        <v>-9902</v>
      </c>
      <c r="D12" s="90">
        <f t="shared" si="0"/>
        <v>-9902</v>
      </c>
      <c r="E12" s="292"/>
      <c r="F12" s="290"/>
    </row>
    <row r="13" spans="1:13" x14ac:dyDescent="0.25">
      <c r="A13" s="87">
        <v>500097</v>
      </c>
      <c r="B13" s="90"/>
      <c r="C13" s="90"/>
      <c r="D13" s="90">
        <f t="shared" si="0"/>
        <v>0</v>
      </c>
      <c r="E13" s="292"/>
      <c r="F13" s="290"/>
    </row>
    <row r="14" spans="1:13" x14ac:dyDescent="0.25">
      <c r="A14" s="87"/>
      <c r="B14" s="90"/>
      <c r="C14" s="90"/>
      <c r="D14" s="90"/>
      <c r="E14" s="292"/>
      <c r="F14" s="290"/>
    </row>
    <row r="15" spans="1:13" x14ac:dyDescent="0.25">
      <c r="A15" s="87"/>
      <c r="B15" s="90"/>
      <c r="C15" s="90"/>
      <c r="D15" s="90"/>
      <c r="E15" s="292"/>
      <c r="F15" s="290"/>
    </row>
    <row r="16" spans="1:13" x14ac:dyDescent="0.25">
      <c r="A16" s="87"/>
      <c r="B16" s="88"/>
      <c r="C16" s="88"/>
      <c r="D16" s="94"/>
      <c r="E16" s="292"/>
      <c r="F16" s="290"/>
    </row>
    <row r="17" spans="1:7" x14ac:dyDescent="0.25">
      <c r="A17" s="87"/>
      <c r="B17" s="88"/>
      <c r="C17" s="88"/>
      <c r="D17" s="88">
        <f>SUM(D5:D16)</f>
        <v>10124</v>
      </c>
      <c r="E17" s="292"/>
      <c r="F17" s="290"/>
    </row>
    <row r="18" spans="1:7" x14ac:dyDescent="0.25">
      <c r="A18" s="87" t="s">
        <v>88</v>
      </c>
      <c r="B18" s="88"/>
      <c r="C18" s="88"/>
      <c r="D18" s="95">
        <f>+summary!P13</f>
        <v>6.52</v>
      </c>
      <c r="E18" s="294"/>
      <c r="F18" s="290"/>
    </row>
    <row r="19" spans="1:7" x14ac:dyDescent="0.25">
      <c r="A19" s="87"/>
      <c r="B19" s="88"/>
      <c r="C19" s="88"/>
      <c r="D19" s="96">
        <f>+D18*D17</f>
        <v>66008.479999999996</v>
      </c>
      <c r="E19" s="209"/>
      <c r="F19" s="291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36860</v>
      </c>
      <c r="B21" s="88"/>
      <c r="C21" s="88"/>
      <c r="D21" s="374">
        <v>328992.46999999997</v>
      </c>
      <c r="E21" s="209"/>
      <c r="F21" s="66"/>
    </row>
    <row r="22" spans="1:7" x14ac:dyDescent="0.25">
      <c r="A22" s="87"/>
      <c r="B22" s="88"/>
      <c r="C22" s="88"/>
      <c r="D22" s="353"/>
      <c r="E22" s="209"/>
      <c r="F22" s="66"/>
    </row>
    <row r="23" spans="1:7" ht="13.8" thickBot="1" x14ac:dyDescent="0.3">
      <c r="A23" s="99">
        <v>36862</v>
      </c>
      <c r="B23" s="88"/>
      <c r="C23" s="88"/>
      <c r="D23" s="98">
        <f>+D21+D19</f>
        <v>395000.94999999995</v>
      </c>
      <c r="E23" s="209"/>
      <c r="F23" s="66"/>
    </row>
    <row r="24" spans="1:7" ht="13.8" thickTop="1" x14ac:dyDescent="0.25">
      <c r="E24" s="295"/>
    </row>
    <row r="25" spans="1:7" x14ac:dyDescent="0.25">
      <c r="E25" s="295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26"/>
      <c r="E36" s="69"/>
      <c r="F36" s="70"/>
      <c r="G36" s="32"/>
    </row>
    <row r="37" spans="1:7" x14ac:dyDescent="0.25">
      <c r="B37" s="69"/>
      <c r="C37" s="69"/>
      <c r="D37" s="326"/>
      <c r="E37" s="69"/>
      <c r="F37" s="70"/>
      <c r="G37" s="32"/>
    </row>
    <row r="38" spans="1:7" x14ac:dyDescent="0.25">
      <c r="B38" s="69"/>
      <c r="C38" s="69"/>
      <c r="D38" s="326"/>
      <c r="E38" s="69"/>
      <c r="F38" s="70"/>
      <c r="G38" s="32"/>
    </row>
    <row r="39" spans="1:7" x14ac:dyDescent="0.25">
      <c r="B39" s="69"/>
      <c r="C39" s="69"/>
      <c r="D39" s="326"/>
      <c r="E39" s="69"/>
      <c r="F39" s="70"/>
      <c r="G39" s="32"/>
    </row>
    <row r="40" spans="1:7" x14ac:dyDescent="0.25">
      <c r="B40" s="69"/>
      <c r="C40" s="69">
        <v>300</v>
      </c>
      <c r="D40" s="326">
        <v>7.75</v>
      </c>
      <c r="E40" s="69">
        <f>+D40*C40</f>
        <v>2325</v>
      </c>
      <c r="F40" s="70"/>
      <c r="G40" s="32"/>
    </row>
    <row r="41" spans="1:7" x14ac:dyDescent="0.25">
      <c r="B41" s="69"/>
      <c r="C41" s="69">
        <v>300</v>
      </c>
      <c r="D41" s="326">
        <v>6.375</v>
      </c>
      <c r="E41" s="69">
        <f>+D41*C41</f>
        <v>1912.5</v>
      </c>
      <c r="F41" s="70"/>
      <c r="G41" s="32"/>
    </row>
    <row r="42" spans="1:7" x14ac:dyDescent="0.25">
      <c r="B42" s="69"/>
      <c r="C42" s="69">
        <v>400</v>
      </c>
      <c r="D42" s="326">
        <v>5</v>
      </c>
      <c r="E42" s="69">
        <f>+D42*C42</f>
        <v>2000</v>
      </c>
      <c r="F42" s="70"/>
      <c r="G42" s="32"/>
    </row>
    <row r="43" spans="1:7" x14ac:dyDescent="0.25">
      <c r="B43" s="69"/>
      <c r="C43" s="69">
        <f>SUM(C40:C42)</f>
        <v>1000</v>
      </c>
      <c r="D43" s="326">
        <f>+E43/C43</f>
        <v>6.2374999999999998</v>
      </c>
      <c r="E43" s="69">
        <f>SUM(E40:E42)</f>
        <v>6237.5</v>
      </c>
      <c r="F43" s="70"/>
      <c r="G43" s="32"/>
    </row>
    <row r="44" spans="1:7" x14ac:dyDescent="0.25">
      <c r="B44" s="69"/>
      <c r="C44" s="69">
        <v>1000</v>
      </c>
      <c r="D44" s="327"/>
      <c r="E44" s="292">
        <f>+D44*C44</f>
        <v>0</v>
      </c>
      <c r="F44" s="290"/>
      <c r="G44" s="206"/>
    </row>
    <row r="45" spans="1:7" x14ac:dyDescent="0.25">
      <c r="B45" s="69"/>
      <c r="C45" s="69"/>
      <c r="D45" s="327"/>
      <c r="E45" s="292"/>
      <c r="F45" s="290"/>
      <c r="G45" s="206"/>
    </row>
    <row r="46" spans="1:7" x14ac:dyDescent="0.25">
      <c r="A46" s="32"/>
      <c r="B46" s="69"/>
      <c r="C46" s="69"/>
      <c r="D46" s="292"/>
      <c r="E46" s="292"/>
      <c r="F46" s="290"/>
      <c r="G46" s="206"/>
    </row>
    <row r="47" spans="1:7" x14ac:dyDescent="0.25">
      <c r="A47" s="32"/>
      <c r="B47" s="69"/>
      <c r="C47" s="69"/>
      <c r="D47" s="294"/>
      <c r="E47" s="294"/>
      <c r="F47" s="290"/>
      <c r="G47" s="206"/>
    </row>
    <row r="48" spans="1:7" x14ac:dyDescent="0.25">
      <c r="B48" s="69"/>
      <c r="C48" s="69"/>
      <c r="D48" s="292"/>
      <c r="E48" s="292"/>
      <c r="F48" s="291"/>
      <c r="G48" s="206"/>
    </row>
    <row r="49" spans="1:7" x14ac:dyDescent="0.25">
      <c r="B49" s="69"/>
      <c r="C49" s="69"/>
      <c r="D49" s="292"/>
      <c r="E49" s="292"/>
      <c r="F49" s="291"/>
      <c r="G49" s="206"/>
    </row>
    <row r="50" spans="1:7" x14ac:dyDescent="0.25">
      <c r="D50" s="323"/>
      <c r="E50" s="323"/>
      <c r="F50" s="324"/>
      <c r="G50" s="325"/>
    </row>
    <row r="51" spans="1:7" x14ac:dyDescent="0.25">
      <c r="A51" s="32"/>
      <c r="D51" s="67"/>
      <c r="E51" s="67"/>
      <c r="F51" s="66"/>
    </row>
    <row r="52" spans="1:7" x14ac:dyDescent="0.25">
      <c r="A52" s="32"/>
      <c r="E52" s="63"/>
      <c r="F52" s="66"/>
    </row>
    <row r="53" spans="1:7" x14ac:dyDescent="0.25">
      <c r="A53" s="32"/>
      <c r="E53" s="63"/>
      <c r="F53" s="66"/>
    </row>
    <row r="54" spans="1:7" ht="13.8" thickBot="1" x14ac:dyDescent="0.3">
      <c r="A54" s="32"/>
      <c r="D54" s="68"/>
      <c r="E54" s="68"/>
      <c r="F54" s="66"/>
    </row>
    <row r="55" spans="1:7" ht="13.8" thickTop="1" x14ac:dyDescent="0.25">
      <c r="A55" s="32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26" workbookViewId="1">
      <selection activeCell="A41" sqref="A41"/>
    </sheetView>
  </sheetViews>
  <sheetFormatPr defaultRowHeight="13.2" x14ac:dyDescent="0.25"/>
  <cols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9</v>
      </c>
      <c r="D1" s="1" t="s">
        <v>110</v>
      </c>
      <c r="F1" s="1" t="s">
        <v>10</v>
      </c>
      <c r="H1" s="1" t="s">
        <v>11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41033</v>
      </c>
      <c r="C4" s="11">
        <v>47479</v>
      </c>
      <c r="D4" s="11">
        <v>386304</v>
      </c>
      <c r="E4" s="11">
        <v>382606</v>
      </c>
      <c r="F4" s="11">
        <v>38081</v>
      </c>
      <c r="G4" s="11">
        <v>48634</v>
      </c>
      <c r="H4" s="11">
        <v>153724</v>
      </c>
      <c r="I4" s="11">
        <v>143155</v>
      </c>
      <c r="J4" s="11">
        <f t="shared" ref="J4:J34" si="0">+C4+E4+G4+I4-H4-F4-D4-B4</f>
        <v>2732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59989</v>
      </c>
      <c r="C5" s="11">
        <v>71232</v>
      </c>
      <c r="D5" s="11">
        <v>403458</v>
      </c>
      <c r="E5" s="11">
        <v>384185</v>
      </c>
      <c r="F5" s="11">
        <v>36007</v>
      </c>
      <c r="G5" s="11">
        <v>36585</v>
      </c>
      <c r="H5" s="11">
        <v>151696</v>
      </c>
      <c r="I5" s="11">
        <v>152989</v>
      </c>
      <c r="J5" s="11">
        <f t="shared" si="0"/>
        <v>-6159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64884</v>
      </c>
      <c r="C6" s="11">
        <v>73689</v>
      </c>
      <c r="D6" s="11">
        <v>391197</v>
      </c>
      <c r="E6" s="11">
        <v>397054</v>
      </c>
      <c r="F6" s="11">
        <v>43616</v>
      </c>
      <c r="G6" s="11">
        <v>48634</v>
      </c>
      <c r="H6" s="11">
        <v>171875</v>
      </c>
      <c r="I6" s="11">
        <v>151856</v>
      </c>
      <c r="J6" s="11">
        <f t="shared" si="0"/>
        <v>-339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/>
      <c r="C8" s="11"/>
      <c r="D8" s="11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165906</v>
      </c>
      <c r="C35" s="11">
        <f t="shared" ref="C35:I35" si="1">SUM(C4:C34)</f>
        <v>192400</v>
      </c>
      <c r="D35" s="11">
        <f t="shared" si="1"/>
        <v>1180959</v>
      </c>
      <c r="E35" s="11">
        <f t="shared" si="1"/>
        <v>1163845</v>
      </c>
      <c r="F35" s="11">
        <f t="shared" si="1"/>
        <v>117704</v>
      </c>
      <c r="G35" s="11">
        <f t="shared" si="1"/>
        <v>133853</v>
      </c>
      <c r="H35" s="11">
        <f t="shared" si="1"/>
        <v>477295</v>
      </c>
      <c r="I35" s="11">
        <f t="shared" si="1"/>
        <v>448000</v>
      </c>
      <c r="J35" s="11">
        <f>SUM(J4:J34)</f>
        <v>-3766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36860</v>
      </c>
      <c r="C38" s="25"/>
      <c r="E38" s="25"/>
      <c r="G38" s="25"/>
      <c r="I38" s="25"/>
      <c r="J38" s="367">
        <v>-34361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36863</v>
      </c>
      <c r="J40" s="36">
        <f>+J38+J35</f>
        <v>-38127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6" workbookViewId="1">
      <selection activeCell="A39" sqref="A39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54</v>
      </c>
    </row>
    <row r="3" spans="1:6" x14ac:dyDescent="0.25">
      <c r="A3">
        <v>1</v>
      </c>
      <c r="B3" s="90">
        <v>8395</v>
      </c>
      <c r="C3" s="90">
        <v>22000</v>
      </c>
      <c r="D3" s="90"/>
      <c r="E3" s="90"/>
      <c r="F3" s="90">
        <f>+C3-B3+D3-E3</f>
        <v>13605</v>
      </c>
    </row>
    <row r="4" spans="1:6" x14ac:dyDescent="0.25">
      <c r="A4">
        <v>2</v>
      </c>
      <c r="B4" s="90">
        <v>21884</v>
      </c>
      <c r="C4" s="90">
        <v>22000</v>
      </c>
      <c r="D4" s="90"/>
      <c r="E4" s="90"/>
      <c r="F4" s="90">
        <f t="shared" ref="F4:F33" si="0">+C4-B4+D4-E4</f>
        <v>116</v>
      </c>
    </row>
    <row r="5" spans="1:6" x14ac:dyDescent="0.25">
      <c r="A5">
        <v>3</v>
      </c>
      <c r="B5" s="90"/>
      <c r="C5" s="90"/>
      <c r="D5" s="90"/>
      <c r="E5" s="90"/>
      <c r="F5" s="90">
        <f t="shared" si="0"/>
        <v>0</v>
      </c>
    </row>
    <row r="6" spans="1:6" x14ac:dyDescent="0.25">
      <c r="A6">
        <v>4</v>
      </c>
      <c r="B6" s="90"/>
      <c r="C6" s="90"/>
      <c r="D6" s="90"/>
      <c r="E6" s="90"/>
      <c r="F6" s="90">
        <f t="shared" si="0"/>
        <v>0</v>
      </c>
    </row>
    <row r="7" spans="1:6" x14ac:dyDescent="0.25">
      <c r="A7">
        <v>5</v>
      </c>
      <c r="B7" s="90"/>
      <c r="C7" s="90"/>
      <c r="D7" s="90"/>
      <c r="E7" s="90"/>
      <c r="F7" s="90">
        <f t="shared" si="0"/>
        <v>0</v>
      </c>
    </row>
    <row r="8" spans="1:6" x14ac:dyDescent="0.25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5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5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5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5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5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5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5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5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5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5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5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5">
      <c r="A20">
        <v>18</v>
      </c>
      <c r="B20" s="14"/>
      <c r="C20" s="14"/>
      <c r="D20" s="14"/>
      <c r="E20" s="14"/>
      <c r="F20" s="90">
        <f t="shared" si="0"/>
        <v>0</v>
      </c>
    </row>
    <row r="21" spans="1:6" x14ac:dyDescent="0.25">
      <c r="A21">
        <v>19</v>
      </c>
      <c r="B21" s="14"/>
      <c r="C21" s="14"/>
      <c r="D21" s="14"/>
      <c r="E21" s="14"/>
      <c r="F21" s="90">
        <f t="shared" si="0"/>
        <v>0</v>
      </c>
    </row>
    <row r="22" spans="1:6" x14ac:dyDescent="0.25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5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5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5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5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5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5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5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5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5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5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5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5">
      <c r="B34" s="304">
        <f>SUM(B3:B33)</f>
        <v>30279</v>
      </c>
      <c r="C34" s="304">
        <f>SUM(C3:C33)</f>
        <v>44000</v>
      </c>
      <c r="D34" s="14">
        <f>SUM(D3:D33)</f>
        <v>0</v>
      </c>
      <c r="E34" s="14">
        <f>SUM(E3:E33)</f>
        <v>0</v>
      </c>
      <c r="F34" s="14">
        <f>SUM(F3:F33)</f>
        <v>13721</v>
      </c>
    </row>
    <row r="35" spans="1:6" x14ac:dyDescent="0.25">
      <c r="D35" s="14"/>
      <c r="E35" s="14"/>
      <c r="F35" s="14"/>
    </row>
    <row r="36" spans="1:6" x14ac:dyDescent="0.25">
      <c r="F36" s="261"/>
    </row>
    <row r="37" spans="1:6" x14ac:dyDescent="0.25">
      <c r="A37" s="267">
        <v>36860</v>
      </c>
      <c r="B37" s="14"/>
      <c r="C37" s="14"/>
      <c r="D37" s="14"/>
      <c r="E37" s="14"/>
      <c r="F37" s="367">
        <v>138520</v>
      </c>
    </row>
    <row r="38" spans="1:6" x14ac:dyDescent="0.25">
      <c r="A38" s="267">
        <v>36862</v>
      </c>
      <c r="B38" s="14"/>
      <c r="C38" s="14"/>
      <c r="D38" s="14"/>
      <c r="E38" s="14"/>
      <c r="F38" s="24">
        <f>+F37+F34</f>
        <v>152241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workbookViewId="1">
      <selection activeCell="B7" sqref="B7"/>
    </sheetView>
  </sheetViews>
  <sheetFormatPr defaultRowHeight="13.2" x14ac:dyDescent="0.25"/>
  <sheetData>
    <row r="1" spans="1:4" ht="15.6" x14ac:dyDescent="0.3">
      <c r="A1" s="53">
        <v>56696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f>68683+1522</f>
        <v>70205</v>
      </c>
      <c r="C4" s="11">
        <v>71514</v>
      </c>
      <c r="D4" s="25">
        <f>+C4-B4</f>
        <v>1309</v>
      </c>
    </row>
    <row r="5" spans="1:4" x14ac:dyDescent="0.25">
      <c r="A5" s="10">
        <v>2</v>
      </c>
      <c r="B5" s="11">
        <f>72963+1274</f>
        <v>74237</v>
      </c>
      <c r="C5" s="11">
        <v>74070</v>
      </c>
      <c r="D5" s="25">
        <f t="shared" ref="D5:D34" si="0">+C5-B5</f>
        <v>-167</v>
      </c>
    </row>
    <row r="6" spans="1:4" x14ac:dyDescent="0.25">
      <c r="A6" s="10">
        <v>3</v>
      </c>
      <c r="B6" s="11">
        <v>65632</v>
      </c>
      <c r="C6" s="11">
        <v>66238</v>
      </c>
      <c r="D6" s="25">
        <f t="shared" si="0"/>
        <v>606</v>
      </c>
    </row>
    <row r="7" spans="1:4" x14ac:dyDescent="0.25">
      <c r="A7" s="10">
        <v>4</v>
      </c>
      <c r="B7" s="11"/>
      <c r="C7" s="11"/>
      <c r="D7" s="25">
        <f t="shared" si="0"/>
        <v>0</v>
      </c>
    </row>
    <row r="8" spans="1:4" x14ac:dyDescent="0.25">
      <c r="A8" s="10">
        <v>5</v>
      </c>
      <c r="B8" s="11"/>
      <c r="C8" s="11"/>
      <c r="D8" s="25">
        <f t="shared" si="0"/>
        <v>0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1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210074</v>
      </c>
      <c r="C35" s="11">
        <f>SUM(C4:C34)</f>
        <v>211822</v>
      </c>
      <c r="D35" s="11">
        <f>SUM(D4:D34)</f>
        <v>1748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36860</v>
      </c>
      <c r="D38" s="343">
        <v>84262</v>
      </c>
    </row>
    <row r="39" spans="1:4" x14ac:dyDescent="0.25">
      <c r="A39" s="2"/>
      <c r="D39" s="24"/>
    </row>
    <row r="40" spans="1:4" x14ac:dyDescent="0.25">
      <c r="A40" s="57">
        <v>36863</v>
      </c>
      <c r="D40" s="36">
        <f>+D38+D35</f>
        <v>86010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E6" sqref="E6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121</v>
      </c>
      <c r="C2" s="4"/>
      <c r="D2" s="38" t="s">
        <v>122</v>
      </c>
      <c r="E2" s="4"/>
      <c r="F2" s="38" t="s">
        <v>123</v>
      </c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21055</v>
      </c>
      <c r="C4" s="11">
        <v>19223</v>
      </c>
      <c r="D4" s="11">
        <v>10745</v>
      </c>
      <c r="E4" s="11">
        <v>10000</v>
      </c>
      <c r="F4" s="11"/>
      <c r="G4" s="11"/>
      <c r="H4" s="11"/>
      <c r="I4" s="11"/>
      <c r="J4" s="11">
        <f t="shared" ref="J4:J34" si="0">+C4+E4+G4+I4-H4-F4-D4-B4</f>
        <v>-2577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21202</v>
      </c>
      <c r="C5" s="11">
        <v>19584</v>
      </c>
      <c r="D5" s="11">
        <v>10722</v>
      </c>
      <c r="E5" s="11">
        <v>10000</v>
      </c>
      <c r="F5" s="11"/>
      <c r="G5" s="11"/>
      <c r="H5" s="11"/>
      <c r="I5" s="11"/>
      <c r="J5" s="11">
        <f t="shared" si="0"/>
        <v>-2340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/>
      <c r="C6" s="11"/>
      <c r="D6" s="11"/>
      <c r="E6" s="11"/>
      <c r="F6" s="11"/>
      <c r="G6" s="11"/>
      <c r="H6" s="11"/>
      <c r="I6" s="11"/>
      <c r="J6" s="11">
        <f t="shared" si="0"/>
        <v>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/>
      <c r="C8" s="11"/>
      <c r="D8" s="11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42257</v>
      </c>
      <c r="C35" s="11">
        <f t="shared" ref="C35:I35" si="1">SUM(C4:C34)</f>
        <v>38807</v>
      </c>
      <c r="D35" s="11">
        <f t="shared" si="1"/>
        <v>21467</v>
      </c>
      <c r="E35" s="11">
        <f t="shared" si="1"/>
        <v>20000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-4917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+summary!P13</f>
        <v>6.52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-32058.839999999997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4"/>
      <c r="N38" s="18"/>
      <c r="R38" s="18"/>
      <c r="S38" s="19"/>
      <c r="T38" s="20"/>
      <c r="U38" s="16"/>
      <c r="V38" s="15"/>
      <c r="W38" s="13"/>
    </row>
    <row r="39" spans="1:23" x14ac:dyDescent="0.25">
      <c r="A39" s="56">
        <v>36860</v>
      </c>
      <c r="C39" s="25"/>
      <c r="E39" s="25"/>
      <c r="G39" s="25"/>
      <c r="I39" s="25"/>
      <c r="J39" s="383">
        <v>-576716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137"/>
      <c r="N40" s="18"/>
      <c r="R40" s="18"/>
      <c r="S40" s="19"/>
      <c r="T40" s="20"/>
      <c r="U40" s="16"/>
      <c r="V40" s="15"/>
      <c r="W40" s="13"/>
    </row>
    <row r="41" spans="1:23" x14ac:dyDescent="0.25">
      <c r="A41" s="33">
        <v>36862</v>
      </c>
      <c r="J41" s="384">
        <f>+J39+J37</f>
        <v>-608774.84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4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1" workbookViewId="1">
      <selection activeCell="C29" sqref="C29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2.10937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41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81</v>
      </c>
      <c r="AD1" s="38" t="s">
        <v>82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01"/>
      <c r="B4" s="237">
        <v>500168</v>
      </c>
      <c r="C4" s="24" t="s">
        <v>83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41027</v>
      </c>
      <c r="C6" s="24">
        <v>41272</v>
      </c>
      <c r="D6" s="24">
        <f>+C6-B6</f>
        <v>245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45258</v>
      </c>
      <c r="C7" s="24">
        <v>44915</v>
      </c>
      <c r="D7" s="24">
        <f t="shared" ref="D7:D36" si="0">+C7-B7</f>
        <v>-343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46312</v>
      </c>
      <c r="C8" s="24">
        <v>46575</v>
      </c>
      <c r="D8" s="24">
        <f t="shared" si="0"/>
        <v>263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0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0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0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0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0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0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0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0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0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132597</v>
      </c>
      <c r="C37" s="24">
        <f>SUM(C6:C36)+850+14+4-2000</f>
        <v>131630</v>
      </c>
      <c r="D37" s="24">
        <f>SUM(D6:D36)</f>
        <v>165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84</v>
      </c>
      <c r="B38" s="14"/>
      <c r="C38" s="14"/>
      <c r="D38" s="104">
        <f>+summary!P13</f>
        <v>6.52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1075.8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36860</v>
      </c>
      <c r="B40" s="14"/>
      <c r="C40" s="14"/>
      <c r="D40" s="370">
        <v>191116.48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36863</v>
      </c>
      <c r="B41" s="14"/>
      <c r="C41" s="14"/>
      <c r="D41" s="104">
        <f>+D40+D39</f>
        <v>192192.28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" customHeight="1" x14ac:dyDescent="0.3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" customHeight="1" x14ac:dyDescent="0.3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B9" sqref="B9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12</v>
      </c>
      <c r="B6" s="6" t="s">
        <v>21</v>
      </c>
      <c r="C6" s="6" t="s">
        <v>22</v>
      </c>
      <c r="D6" s="6" t="s">
        <v>48</v>
      </c>
    </row>
    <row r="7" spans="1:4" x14ac:dyDescent="0.25">
      <c r="A7" s="10">
        <v>1</v>
      </c>
      <c r="B7" s="11">
        <v>173271</v>
      </c>
      <c r="C7" s="11">
        <v>176394</v>
      </c>
      <c r="D7" s="25">
        <f>+C7-B7</f>
        <v>3123</v>
      </c>
    </row>
    <row r="8" spans="1:4" x14ac:dyDescent="0.25">
      <c r="A8" s="10">
        <v>2</v>
      </c>
      <c r="B8" s="11">
        <v>177225</v>
      </c>
      <c r="C8" s="11">
        <v>188500</v>
      </c>
      <c r="D8" s="25">
        <f>+C8-B8</f>
        <v>11275</v>
      </c>
    </row>
    <row r="9" spans="1:4" x14ac:dyDescent="0.25">
      <c r="A9" s="10">
        <v>3</v>
      </c>
      <c r="B9" s="11"/>
      <c r="C9" s="11"/>
      <c r="D9" s="25">
        <f t="shared" ref="D9:D37" si="0">+C9-B9</f>
        <v>0</v>
      </c>
    </row>
    <row r="10" spans="1:4" x14ac:dyDescent="0.25">
      <c r="A10" s="10">
        <v>4</v>
      </c>
      <c r="B10" s="11"/>
      <c r="C10" s="11"/>
      <c r="D10" s="25">
        <f t="shared" si="0"/>
        <v>0</v>
      </c>
    </row>
    <row r="11" spans="1:4" x14ac:dyDescent="0.25">
      <c r="A11" s="10">
        <v>5</v>
      </c>
      <c r="B11" s="11"/>
      <c r="C11" s="11"/>
      <c r="D11" s="25">
        <f t="shared" si="0"/>
        <v>0</v>
      </c>
    </row>
    <row r="12" spans="1:4" x14ac:dyDescent="0.25">
      <c r="A12" s="10">
        <v>6</v>
      </c>
      <c r="B12" s="11"/>
      <c r="C12" s="11"/>
      <c r="D12" s="25">
        <f t="shared" si="0"/>
        <v>0</v>
      </c>
    </row>
    <row r="13" spans="1:4" x14ac:dyDescent="0.25">
      <c r="A13" s="10">
        <v>7</v>
      </c>
      <c r="B13" s="11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350496</v>
      </c>
      <c r="C38" s="11">
        <f>SUM(C7:C37)</f>
        <v>364894</v>
      </c>
      <c r="D38" s="11">
        <f>SUM(D7:D37)</f>
        <v>14398</v>
      </c>
    </row>
    <row r="39" spans="1:4" x14ac:dyDescent="0.25">
      <c r="A39" s="26"/>
      <c r="C39" s="14"/>
      <c r="D39" s="106">
        <f>+summary!P12</f>
        <v>6.34</v>
      </c>
    </row>
    <row r="40" spans="1:4" x14ac:dyDescent="0.25">
      <c r="D40" s="138">
        <f>+D39*D38</f>
        <v>91283.319999999992</v>
      </c>
    </row>
    <row r="41" spans="1:4" x14ac:dyDescent="0.25">
      <c r="A41" s="57">
        <v>36860</v>
      </c>
      <c r="C41" s="15"/>
      <c r="D41" s="376">
        <v>214357</v>
      </c>
    </row>
    <row r="42" spans="1:4" x14ac:dyDescent="0.25">
      <c r="A42" s="57">
        <v>36862</v>
      </c>
      <c r="D42" s="350">
        <f>+D41+D40</f>
        <v>305640.32000000001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workbookViewId="1">
      <selection activeCell="E8" sqref="E8"/>
    </sheetView>
  </sheetViews>
  <sheetFormatPr defaultRowHeight="13.2" x14ac:dyDescent="0.25"/>
  <cols>
    <col min="2" max="2" width="9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6271</v>
      </c>
      <c r="C5" s="11"/>
      <c r="D5" s="11"/>
      <c r="E5" s="11">
        <v>5000</v>
      </c>
      <c r="F5" s="11">
        <f>+B5+D5-C5-E5</f>
        <v>1271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12463</v>
      </c>
      <c r="C6" s="11"/>
      <c r="D6" s="11"/>
      <c r="E6" s="11">
        <v>10000</v>
      </c>
      <c r="F6" s="11">
        <f t="shared" ref="F6:F35" si="0">+B6+D6-C6-E6</f>
        <v>2463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10327</v>
      </c>
      <c r="C7" s="11"/>
      <c r="D7" s="11"/>
      <c r="E7" s="11">
        <v>10000</v>
      </c>
      <c r="F7" s="11">
        <f t="shared" si="0"/>
        <v>327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/>
      <c r="C8" s="11"/>
      <c r="D8" s="11"/>
      <c r="E8" s="11"/>
      <c r="F8" s="11">
        <f t="shared" si="0"/>
        <v>0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29061</v>
      </c>
      <c r="C36" s="44">
        <f>SUM(C5:C35)</f>
        <v>0</v>
      </c>
      <c r="D36" s="43">
        <f>SUM(D5:D35)</f>
        <v>0</v>
      </c>
      <c r="E36" s="44">
        <f>SUM(E5:E35)</f>
        <v>25000</v>
      </c>
      <c r="F36" s="11">
        <f>SUM(F5:F35)</f>
        <v>4061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29061</v>
      </c>
      <c r="D37" s="24"/>
      <c r="E37" s="24">
        <f>+D36-E36</f>
        <v>-25000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36860</v>
      </c>
      <c r="C41" s="14"/>
      <c r="D41" s="50"/>
      <c r="E41" s="50"/>
      <c r="F41" s="367">
        <v>28279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36863</v>
      </c>
      <c r="C42" s="14"/>
      <c r="D42" s="50"/>
      <c r="E42" s="50"/>
      <c r="F42" s="51">
        <f>+F41+F36</f>
        <v>32340</v>
      </c>
      <c r="G42" s="32"/>
      <c r="H42" s="49"/>
      <c r="I42" s="14"/>
      <c r="J42" s="50"/>
      <c r="K42" s="50"/>
      <c r="L42" s="51"/>
    </row>
    <row r="43" spans="1:12" x14ac:dyDescent="0.25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32" sqref="C32"/>
    </sheetView>
  </sheetViews>
  <sheetFormatPr defaultRowHeight="13.2" x14ac:dyDescent="0.25"/>
  <cols>
    <col min="1" max="1" width="7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275537</v>
      </c>
      <c r="C4" s="11">
        <v>278613</v>
      </c>
      <c r="D4" s="25">
        <f>+C4-B4</f>
        <v>3076</v>
      </c>
    </row>
    <row r="5" spans="1:4" x14ac:dyDescent="0.25">
      <c r="A5" s="10">
        <v>2</v>
      </c>
      <c r="B5" s="11">
        <v>262499</v>
      </c>
      <c r="C5" s="11">
        <v>267365</v>
      </c>
      <c r="D5" s="25">
        <f t="shared" ref="D5:D34" si="0">+C5-B5</f>
        <v>4866</v>
      </c>
    </row>
    <row r="6" spans="1:4" x14ac:dyDescent="0.25">
      <c r="A6" s="10">
        <v>3</v>
      </c>
      <c r="B6" s="11">
        <v>278050</v>
      </c>
      <c r="C6" s="11">
        <v>280155</v>
      </c>
      <c r="D6" s="25">
        <f t="shared" si="0"/>
        <v>2105</v>
      </c>
    </row>
    <row r="7" spans="1:4" x14ac:dyDescent="0.25">
      <c r="A7" s="10">
        <v>4</v>
      </c>
      <c r="B7" s="11"/>
      <c r="C7" s="11"/>
      <c r="D7" s="25">
        <f t="shared" si="0"/>
        <v>0</v>
      </c>
    </row>
    <row r="8" spans="1:4" x14ac:dyDescent="0.25">
      <c r="A8" s="10">
        <v>5</v>
      </c>
      <c r="B8" s="11"/>
      <c r="C8" s="11"/>
      <c r="D8" s="25">
        <f t="shared" si="0"/>
        <v>0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1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816086</v>
      </c>
      <c r="C35" s="11">
        <f>SUM(C4:C34)</f>
        <v>826133</v>
      </c>
      <c r="D35" s="11">
        <f>SUM(D4:D34)</f>
        <v>10047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51">
        <v>36860</v>
      </c>
      <c r="D38" s="367">
        <v>159788</v>
      </c>
    </row>
    <row r="39" spans="1:30" x14ac:dyDescent="0.25">
      <c r="A39" s="12"/>
      <c r="D39" s="24"/>
    </row>
    <row r="40" spans="1:30" x14ac:dyDescent="0.25">
      <c r="A40" s="251">
        <v>36863</v>
      </c>
      <c r="D40" s="24">
        <f>+D38+D35</f>
        <v>169835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2" sqref="C32"/>
    </sheetView>
  </sheetViews>
  <sheetFormatPr defaultRowHeight="13.2" x14ac:dyDescent="0.25"/>
  <cols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>
        <v>10487</v>
      </c>
      <c r="B1" s="55"/>
      <c r="F1" s="54"/>
    </row>
    <row r="3" spans="1:11" x14ac:dyDescent="0.25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5">
      <c r="A4" s="10">
        <v>1</v>
      </c>
      <c r="B4" s="11">
        <v>720923</v>
      </c>
      <c r="C4" s="11">
        <v>712708</v>
      </c>
      <c r="D4" s="25">
        <f>+C4-B4</f>
        <v>-8215</v>
      </c>
      <c r="F4" s="10"/>
      <c r="G4" s="11"/>
      <c r="H4" s="11"/>
      <c r="I4" s="25"/>
    </row>
    <row r="5" spans="1:11" x14ac:dyDescent="0.25">
      <c r="A5" s="10">
        <v>2</v>
      </c>
      <c r="B5" s="11">
        <v>754446</v>
      </c>
      <c r="C5" s="11">
        <v>754394</v>
      </c>
      <c r="D5" s="25">
        <f t="shared" ref="D5:D34" si="0">+C5-B5</f>
        <v>-52</v>
      </c>
      <c r="F5" s="10"/>
      <c r="G5" s="11"/>
      <c r="H5" s="11"/>
      <c r="I5" s="25"/>
    </row>
    <row r="6" spans="1:11" x14ac:dyDescent="0.25">
      <c r="A6" s="10">
        <v>3</v>
      </c>
      <c r="B6" s="11">
        <v>749727</v>
      </c>
      <c r="C6" s="11">
        <v>747563</v>
      </c>
      <c r="D6" s="25">
        <f t="shared" si="0"/>
        <v>-2164</v>
      </c>
      <c r="F6" s="10"/>
      <c r="G6" s="11"/>
      <c r="H6" s="11"/>
      <c r="I6" s="25"/>
    </row>
    <row r="7" spans="1:11" x14ac:dyDescent="0.25">
      <c r="A7" s="10">
        <v>4</v>
      </c>
      <c r="B7" s="11"/>
      <c r="C7" s="11"/>
      <c r="D7" s="25">
        <f t="shared" si="0"/>
        <v>0</v>
      </c>
      <c r="F7" s="10"/>
      <c r="G7" s="11"/>
      <c r="H7" s="11"/>
      <c r="I7" s="25"/>
      <c r="K7" s="25"/>
    </row>
    <row r="8" spans="1:11" x14ac:dyDescent="0.25">
      <c r="A8" s="10">
        <v>5</v>
      </c>
      <c r="B8" s="11"/>
      <c r="C8" s="11"/>
      <c r="D8" s="25">
        <f t="shared" si="0"/>
        <v>0</v>
      </c>
      <c r="F8" s="10"/>
      <c r="G8" s="11"/>
      <c r="H8" s="11"/>
      <c r="I8" s="25"/>
    </row>
    <row r="9" spans="1:11" x14ac:dyDescent="0.25">
      <c r="A9" s="10">
        <v>6</v>
      </c>
      <c r="B9" s="11"/>
      <c r="C9" s="11"/>
      <c r="D9" s="25">
        <f t="shared" si="0"/>
        <v>0</v>
      </c>
      <c r="F9" s="10"/>
      <c r="G9" s="11"/>
      <c r="H9" s="11"/>
      <c r="I9" s="25"/>
    </row>
    <row r="10" spans="1:11" x14ac:dyDescent="0.25">
      <c r="A10" s="10">
        <v>7</v>
      </c>
      <c r="B10" s="11"/>
      <c r="C10" s="11"/>
      <c r="D10" s="25">
        <f t="shared" si="0"/>
        <v>0</v>
      </c>
      <c r="F10" s="10"/>
      <c r="G10" s="11"/>
      <c r="H10" s="11"/>
      <c r="I10" s="25"/>
    </row>
    <row r="11" spans="1:11" x14ac:dyDescent="0.25">
      <c r="A11" s="10">
        <v>8</v>
      </c>
      <c r="B11" s="11"/>
      <c r="C11" s="11"/>
      <c r="D11" s="25">
        <f t="shared" si="0"/>
        <v>0</v>
      </c>
      <c r="F11" s="10"/>
      <c r="G11" s="11"/>
      <c r="H11" s="11"/>
      <c r="I11" s="25"/>
    </row>
    <row r="12" spans="1:11" x14ac:dyDescent="0.25">
      <c r="A12" s="10">
        <v>9</v>
      </c>
      <c r="B12" s="11"/>
      <c r="C12" s="11"/>
      <c r="D12" s="25">
        <f t="shared" si="0"/>
        <v>0</v>
      </c>
      <c r="F12" s="10"/>
      <c r="G12" s="11"/>
      <c r="H12" s="11"/>
      <c r="I12" s="25"/>
    </row>
    <row r="13" spans="1:11" x14ac:dyDescent="0.25">
      <c r="A13" s="10">
        <v>10</v>
      </c>
      <c r="B13" s="11"/>
      <c r="C13" s="11"/>
      <c r="D13" s="25">
        <f t="shared" si="0"/>
        <v>0</v>
      </c>
      <c r="F13" s="10"/>
      <c r="G13" s="11"/>
      <c r="H13" s="11"/>
      <c r="I13" s="25"/>
    </row>
    <row r="14" spans="1:11" x14ac:dyDescent="0.25">
      <c r="A14" s="10">
        <v>11</v>
      </c>
      <c r="B14" s="11"/>
      <c r="C14" s="11"/>
      <c r="D14" s="25">
        <f t="shared" si="0"/>
        <v>0</v>
      </c>
      <c r="F14" s="10"/>
      <c r="G14" s="11"/>
      <c r="H14" s="11"/>
      <c r="I14" s="25"/>
    </row>
    <row r="15" spans="1:11" x14ac:dyDescent="0.25">
      <c r="A15" s="10">
        <v>12</v>
      </c>
      <c r="B15" s="11"/>
      <c r="C15" s="11"/>
      <c r="D15" s="25">
        <f t="shared" si="0"/>
        <v>0</v>
      </c>
      <c r="F15" s="10"/>
      <c r="G15" s="11"/>
      <c r="H15" s="11"/>
      <c r="I15" s="25"/>
    </row>
    <row r="16" spans="1:11" x14ac:dyDescent="0.25">
      <c r="A16" s="10">
        <v>13</v>
      </c>
      <c r="B16" s="11"/>
      <c r="C16" s="11"/>
      <c r="D16" s="25">
        <f t="shared" si="0"/>
        <v>0</v>
      </c>
      <c r="F16" s="10"/>
      <c r="G16" s="11"/>
      <c r="H16" s="11"/>
      <c r="I16" s="25"/>
      <c r="K16" s="25"/>
    </row>
    <row r="17" spans="1:11" x14ac:dyDescent="0.25">
      <c r="A17" s="10">
        <v>14</v>
      </c>
      <c r="B17" s="11"/>
      <c r="C17" s="11"/>
      <c r="D17" s="25">
        <f t="shared" si="0"/>
        <v>0</v>
      </c>
      <c r="F17" s="10"/>
      <c r="G17" s="11"/>
      <c r="H17" s="11"/>
      <c r="I17" s="25"/>
    </row>
    <row r="18" spans="1:11" x14ac:dyDescent="0.25">
      <c r="A18" s="10">
        <v>15</v>
      </c>
      <c r="B18" s="11"/>
      <c r="C18" s="11"/>
      <c r="D18" s="25">
        <f t="shared" si="0"/>
        <v>0</v>
      </c>
      <c r="F18" s="10"/>
      <c r="G18" s="11"/>
      <c r="H18" s="11"/>
      <c r="I18" s="25"/>
    </row>
    <row r="19" spans="1:11" x14ac:dyDescent="0.25">
      <c r="A19" s="10">
        <v>16</v>
      </c>
      <c r="B19" s="11"/>
      <c r="C19" s="11"/>
      <c r="D19" s="25">
        <f t="shared" si="0"/>
        <v>0</v>
      </c>
      <c r="F19" s="10"/>
      <c r="G19" s="11"/>
      <c r="H19" s="11"/>
      <c r="I19" s="25"/>
    </row>
    <row r="20" spans="1:11" x14ac:dyDescent="0.25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5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5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5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5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5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5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5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5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5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5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5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5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5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5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5">
      <c r="A35" s="10"/>
      <c r="B35" s="11">
        <f>SUM(B4:B34)</f>
        <v>2225096</v>
      </c>
      <c r="C35" s="11">
        <f>SUM(C4:C34)</f>
        <v>2214665</v>
      </c>
      <c r="D35" s="11">
        <f>SUM(D4:D34)</f>
        <v>-10431</v>
      </c>
      <c r="F35" s="10"/>
      <c r="G35" s="11"/>
      <c r="H35" s="11"/>
      <c r="I35" s="11"/>
      <c r="K35" s="11"/>
    </row>
    <row r="36" spans="1:45" x14ac:dyDescent="0.25">
      <c r="A36" s="26"/>
      <c r="B36" s="24"/>
      <c r="C36" s="25"/>
      <c r="D36" s="2"/>
      <c r="F36" s="26"/>
      <c r="H36" s="25"/>
      <c r="I36" s="2"/>
    </row>
    <row r="37" spans="1:45" x14ac:dyDescent="0.25">
      <c r="D37" s="24"/>
      <c r="I37" s="24"/>
    </row>
    <row r="38" spans="1:45" x14ac:dyDescent="0.25">
      <c r="A38" s="57">
        <v>36860</v>
      </c>
      <c r="D38" s="371">
        <v>85315</v>
      </c>
      <c r="I38" s="24"/>
    </row>
    <row r="39" spans="1:45" x14ac:dyDescent="0.25">
      <c r="A39" s="2"/>
      <c r="D39" s="24"/>
      <c r="I39" s="24"/>
    </row>
    <row r="40" spans="1:45" x14ac:dyDescent="0.25">
      <c r="A40" s="57">
        <v>36863</v>
      </c>
      <c r="D40" s="36">
        <f>+D38+D35</f>
        <v>74884</v>
      </c>
      <c r="I40" s="24"/>
    </row>
    <row r="42" spans="1:45" x14ac:dyDescent="0.25">
      <c r="AF42" s="330"/>
      <c r="AG42" s="330"/>
      <c r="AH42" s="330"/>
      <c r="AI42" s="330"/>
      <c r="AJ42" s="330"/>
      <c r="AK42" s="330"/>
      <c r="AL42" s="330"/>
      <c r="AM42" s="330"/>
      <c r="AN42" s="330"/>
      <c r="AO42" s="330"/>
      <c r="AP42" s="330"/>
      <c r="AQ42" s="330"/>
      <c r="AR42" s="330"/>
      <c r="AS42" s="330"/>
    </row>
    <row r="43" spans="1:45" ht="15.6" x14ac:dyDescent="0.3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31"/>
      <c r="AG43" s="330"/>
      <c r="AH43" s="330"/>
      <c r="AI43" s="332"/>
      <c r="AJ43" s="331"/>
      <c r="AK43" s="330"/>
      <c r="AL43" s="330"/>
      <c r="AM43" s="332"/>
      <c r="AN43" s="331"/>
      <c r="AO43" s="330"/>
      <c r="AP43" s="330"/>
      <c r="AQ43" s="330"/>
      <c r="AR43" s="330"/>
      <c r="AS43" s="330"/>
    </row>
    <row r="44" spans="1:45" x14ac:dyDescent="0.25">
      <c r="K44"/>
      <c r="AF44" s="330"/>
      <c r="AG44" s="330"/>
      <c r="AH44" s="330"/>
      <c r="AI44" s="330"/>
      <c r="AJ44" s="330"/>
      <c r="AK44" s="330"/>
      <c r="AL44" s="330"/>
      <c r="AM44" s="330"/>
      <c r="AN44" s="330"/>
      <c r="AO44" s="330"/>
      <c r="AP44" s="330"/>
      <c r="AQ44" s="330"/>
      <c r="AR44" s="330"/>
      <c r="AS44" s="330"/>
    </row>
    <row r="45" spans="1:45" x14ac:dyDescent="0.25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3"/>
      <c r="AG45" s="333"/>
      <c r="AH45" s="330"/>
      <c r="AI45" s="334"/>
      <c r="AJ45" s="333"/>
      <c r="AK45" s="333"/>
      <c r="AL45" s="330"/>
      <c r="AM45" s="334"/>
      <c r="AN45" s="333"/>
      <c r="AO45" s="333"/>
      <c r="AP45" s="330"/>
      <c r="AQ45" s="330"/>
      <c r="AR45" s="330"/>
      <c r="AS45" s="330"/>
    </row>
    <row r="46" spans="1:45" x14ac:dyDescent="0.25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5"/>
      <c r="AG46" s="335"/>
      <c r="AH46" s="336"/>
      <c r="AI46" s="337"/>
      <c r="AJ46" s="335"/>
      <c r="AK46" s="335"/>
      <c r="AL46" s="336"/>
      <c r="AM46" s="337"/>
      <c r="AN46" s="335"/>
      <c r="AO46" s="335"/>
      <c r="AP46" s="336"/>
      <c r="AQ46" s="330"/>
      <c r="AR46" s="330"/>
      <c r="AS46" s="330"/>
    </row>
    <row r="47" spans="1:45" x14ac:dyDescent="0.25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5"/>
      <c r="AG47" s="335"/>
      <c r="AH47" s="336"/>
      <c r="AI47" s="337"/>
      <c r="AJ47" s="335"/>
      <c r="AK47" s="335"/>
      <c r="AL47" s="336"/>
      <c r="AM47" s="337"/>
      <c r="AN47" s="335"/>
      <c r="AO47" s="335"/>
      <c r="AP47" s="336"/>
      <c r="AQ47" s="330"/>
      <c r="AR47" s="330"/>
      <c r="AS47" s="330"/>
    </row>
    <row r="48" spans="1:45" x14ac:dyDescent="0.25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5"/>
      <c r="AG48" s="335"/>
      <c r="AH48" s="336"/>
      <c r="AI48" s="337"/>
      <c r="AJ48" s="335"/>
      <c r="AK48" s="335"/>
      <c r="AL48" s="336"/>
      <c r="AM48" s="337"/>
      <c r="AN48" s="335"/>
      <c r="AO48" s="335"/>
      <c r="AP48" s="336"/>
      <c r="AQ48" s="330"/>
      <c r="AR48" s="330"/>
      <c r="AS48" s="330"/>
    </row>
    <row r="49" spans="1:45" x14ac:dyDescent="0.25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5"/>
      <c r="AG49" s="335"/>
      <c r="AH49" s="336"/>
      <c r="AI49" s="337"/>
      <c r="AJ49" s="335"/>
      <c r="AK49" s="335"/>
      <c r="AL49" s="336"/>
      <c r="AM49" s="337"/>
      <c r="AN49" s="335"/>
      <c r="AO49" s="335"/>
      <c r="AP49" s="336"/>
      <c r="AQ49" s="330"/>
      <c r="AR49" s="330"/>
      <c r="AS49" s="330"/>
    </row>
    <row r="50" spans="1:45" x14ac:dyDescent="0.25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5"/>
      <c r="AG50" s="335"/>
      <c r="AH50" s="336"/>
      <c r="AI50" s="337"/>
      <c r="AJ50" s="335"/>
      <c r="AK50" s="335"/>
      <c r="AL50" s="336"/>
      <c r="AM50" s="337"/>
      <c r="AN50" s="335"/>
      <c r="AO50" s="335"/>
      <c r="AP50" s="336"/>
      <c r="AQ50" s="330"/>
      <c r="AR50" s="330"/>
      <c r="AS50" s="330"/>
    </row>
    <row r="51" spans="1:45" x14ac:dyDescent="0.25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5"/>
      <c r="AG51" s="335"/>
      <c r="AH51" s="336"/>
      <c r="AI51" s="337"/>
      <c r="AJ51" s="335"/>
      <c r="AK51" s="335"/>
      <c r="AL51" s="336"/>
      <c r="AM51" s="337"/>
      <c r="AN51" s="335"/>
      <c r="AO51" s="335"/>
      <c r="AP51" s="336"/>
      <c r="AQ51" s="330"/>
      <c r="AR51" s="330"/>
      <c r="AS51" s="330"/>
    </row>
    <row r="52" spans="1:45" x14ac:dyDescent="0.25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5"/>
      <c r="AG52" s="335"/>
      <c r="AH52" s="336"/>
      <c r="AI52" s="337"/>
      <c r="AJ52" s="335"/>
      <c r="AK52" s="335"/>
      <c r="AL52" s="336"/>
      <c r="AM52" s="337"/>
      <c r="AN52" s="335"/>
      <c r="AO52" s="335"/>
      <c r="AP52" s="336"/>
      <c r="AQ52" s="330"/>
      <c r="AR52" s="330"/>
      <c r="AS52" s="330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5"/>
      <c r="AG53" s="335"/>
      <c r="AH53" s="336"/>
      <c r="AI53" s="337"/>
      <c r="AJ53" s="335"/>
      <c r="AK53" s="335"/>
      <c r="AL53" s="336"/>
      <c r="AM53" s="337"/>
      <c r="AN53" s="335"/>
      <c r="AO53" s="335"/>
      <c r="AP53" s="336"/>
      <c r="AQ53" s="330"/>
      <c r="AR53" s="330"/>
      <c r="AS53" s="330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5"/>
      <c r="AG54" s="335"/>
      <c r="AH54" s="336"/>
      <c r="AI54" s="337"/>
      <c r="AJ54" s="335"/>
      <c r="AK54" s="335"/>
      <c r="AL54" s="336"/>
      <c r="AM54" s="337"/>
      <c r="AN54" s="335"/>
      <c r="AO54" s="335"/>
      <c r="AP54" s="336"/>
      <c r="AQ54" s="330"/>
      <c r="AR54" s="330"/>
      <c r="AS54" s="330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5"/>
      <c r="AG55" s="335"/>
      <c r="AH55" s="336"/>
      <c r="AI55" s="337"/>
      <c r="AJ55" s="335"/>
      <c r="AK55" s="335"/>
      <c r="AL55" s="336"/>
      <c r="AM55" s="337"/>
      <c r="AN55" s="335"/>
      <c r="AO55" s="335"/>
      <c r="AP55" s="336"/>
      <c r="AQ55" s="330"/>
      <c r="AR55" s="330"/>
      <c r="AS55" s="330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5"/>
      <c r="AG56" s="335"/>
      <c r="AH56" s="336"/>
      <c r="AI56" s="337"/>
      <c r="AJ56" s="335"/>
      <c r="AK56" s="335"/>
      <c r="AL56" s="336"/>
      <c r="AM56" s="337"/>
      <c r="AN56" s="335"/>
      <c r="AO56" s="335"/>
      <c r="AP56" s="336"/>
      <c r="AQ56" s="330"/>
      <c r="AR56" s="330"/>
      <c r="AS56" s="330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5"/>
      <c r="AG57" s="335"/>
      <c r="AH57" s="336"/>
      <c r="AI57" s="337"/>
      <c r="AJ57" s="335"/>
      <c r="AK57" s="335"/>
      <c r="AL57" s="336"/>
      <c r="AM57" s="337"/>
      <c r="AN57" s="335"/>
      <c r="AO57" s="335"/>
      <c r="AP57" s="336"/>
      <c r="AQ57" s="330"/>
      <c r="AR57" s="330"/>
      <c r="AS57" s="330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5"/>
      <c r="AG58" s="335"/>
      <c r="AH58" s="336"/>
      <c r="AI58" s="337"/>
      <c r="AJ58" s="335"/>
      <c r="AK58" s="335"/>
      <c r="AL58" s="336"/>
      <c r="AM58" s="337"/>
      <c r="AN58" s="335"/>
      <c r="AO58" s="335"/>
      <c r="AP58" s="336"/>
      <c r="AQ58" s="330"/>
      <c r="AR58" s="330"/>
      <c r="AS58" s="330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5"/>
      <c r="AG59" s="335"/>
      <c r="AH59" s="336"/>
      <c r="AI59" s="337"/>
      <c r="AJ59" s="335"/>
      <c r="AK59" s="335"/>
      <c r="AL59" s="336"/>
      <c r="AM59" s="337"/>
      <c r="AN59" s="335"/>
      <c r="AO59" s="335"/>
      <c r="AP59" s="336"/>
      <c r="AQ59" s="330"/>
      <c r="AR59" s="330"/>
      <c r="AS59" s="330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5"/>
      <c r="AG60" s="335"/>
      <c r="AH60" s="336"/>
      <c r="AI60" s="337"/>
      <c r="AJ60" s="335"/>
      <c r="AK60" s="335"/>
      <c r="AL60" s="336"/>
      <c r="AM60" s="337"/>
      <c r="AN60" s="335"/>
      <c r="AO60" s="335"/>
      <c r="AP60" s="336"/>
      <c r="AQ60" s="330"/>
      <c r="AR60" s="330"/>
      <c r="AS60" s="330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5"/>
      <c r="AG61" s="335"/>
      <c r="AH61" s="336"/>
      <c r="AI61" s="337"/>
      <c r="AJ61" s="335"/>
      <c r="AK61" s="335"/>
      <c r="AL61" s="336"/>
      <c r="AM61" s="337"/>
      <c r="AN61" s="335"/>
      <c r="AO61" s="335"/>
      <c r="AP61" s="336"/>
      <c r="AQ61" s="330"/>
      <c r="AR61" s="330"/>
      <c r="AS61" s="330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5"/>
      <c r="AG62" s="335"/>
      <c r="AH62" s="336"/>
      <c r="AI62" s="337"/>
      <c r="AJ62" s="335"/>
      <c r="AK62" s="335"/>
      <c r="AL62" s="336"/>
      <c r="AM62" s="337"/>
      <c r="AN62" s="335"/>
      <c r="AO62" s="335"/>
      <c r="AP62" s="336"/>
      <c r="AQ62" s="330"/>
      <c r="AR62" s="330"/>
      <c r="AS62" s="330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5"/>
      <c r="AG63" s="335"/>
      <c r="AH63" s="336"/>
      <c r="AI63" s="337"/>
      <c r="AJ63" s="335"/>
      <c r="AK63" s="335"/>
      <c r="AL63" s="336"/>
      <c r="AM63" s="337"/>
      <c r="AN63" s="335"/>
      <c r="AO63" s="335"/>
      <c r="AP63" s="336"/>
      <c r="AQ63" s="330"/>
      <c r="AR63" s="330"/>
      <c r="AS63" s="330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5"/>
      <c r="AG64" s="335"/>
      <c r="AH64" s="336"/>
      <c r="AI64" s="337"/>
      <c r="AJ64" s="335"/>
      <c r="AK64" s="335"/>
      <c r="AL64" s="336"/>
      <c r="AM64" s="337"/>
      <c r="AN64" s="335"/>
      <c r="AO64" s="335"/>
      <c r="AP64" s="336"/>
      <c r="AQ64" s="330"/>
      <c r="AR64" s="330"/>
      <c r="AS64" s="330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5"/>
      <c r="AG65" s="335"/>
      <c r="AH65" s="336"/>
      <c r="AI65" s="337"/>
      <c r="AJ65" s="335"/>
      <c r="AK65" s="335"/>
      <c r="AL65" s="336"/>
      <c r="AM65" s="337"/>
      <c r="AN65" s="335"/>
      <c r="AO65" s="335"/>
      <c r="AP65" s="336"/>
      <c r="AQ65" s="330"/>
      <c r="AR65" s="330"/>
      <c r="AS65" s="330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5"/>
      <c r="AG66" s="335"/>
      <c r="AH66" s="336"/>
      <c r="AI66" s="337"/>
      <c r="AJ66" s="335"/>
      <c r="AK66" s="335"/>
      <c r="AL66" s="336"/>
      <c r="AM66" s="337"/>
      <c r="AN66" s="335"/>
      <c r="AO66" s="335"/>
      <c r="AP66" s="336"/>
      <c r="AQ66" s="330"/>
      <c r="AR66" s="330"/>
      <c r="AS66" s="330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5"/>
      <c r="AG67" s="335"/>
      <c r="AH67" s="336"/>
      <c r="AI67" s="337"/>
      <c r="AJ67" s="335"/>
      <c r="AK67" s="335"/>
      <c r="AL67" s="336"/>
      <c r="AM67" s="337"/>
      <c r="AN67" s="335"/>
      <c r="AO67" s="335"/>
      <c r="AP67" s="336"/>
      <c r="AQ67" s="330"/>
      <c r="AR67" s="330"/>
      <c r="AS67" s="330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5"/>
      <c r="AG68" s="335"/>
      <c r="AH68" s="336"/>
      <c r="AI68" s="337"/>
      <c r="AJ68" s="335"/>
      <c r="AK68" s="335"/>
      <c r="AL68" s="336"/>
      <c r="AM68" s="337"/>
      <c r="AN68" s="335"/>
      <c r="AO68" s="335"/>
      <c r="AP68" s="336"/>
      <c r="AQ68" s="330"/>
      <c r="AR68" s="330"/>
      <c r="AS68" s="330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5"/>
      <c r="AG69" s="335"/>
      <c r="AH69" s="336"/>
      <c r="AI69" s="337"/>
      <c r="AJ69" s="335"/>
      <c r="AK69" s="335"/>
      <c r="AL69" s="336"/>
      <c r="AM69" s="337"/>
      <c r="AN69" s="335"/>
      <c r="AO69" s="335"/>
      <c r="AP69" s="336"/>
      <c r="AQ69" s="330"/>
      <c r="AR69" s="330"/>
      <c r="AS69" s="330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5"/>
      <c r="AG70" s="335"/>
      <c r="AH70" s="336"/>
      <c r="AI70" s="337"/>
      <c r="AJ70" s="335"/>
      <c r="AK70" s="335"/>
      <c r="AL70" s="336"/>
      <c r="AM70" s="337"/>
      <c r="AN70" s="335"/>
      <c r="AO70" s="335"/>
      <c r="AP70" s="336"/>
      <c r="AQ70" s="330"/>
      <c r="AR70" s="330"/>
      <c r="AS70" s="330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5"/>
      <c r="AG71" s="335"/>
      <c r="AH71" s="336"/>
      <c r="AI71" s="337"/>
      <c r="AJ71" s="335"/>
      <c r="AK71" s="335"/>
      <c r="AL71" s="336"/>
      <c r="AM71" s="337"/>
      <c r="AN71" s="335"/>
      <c r="AO71" s="335"/>
      <c r="AP71" s="336"/>
      <c r="AQ71" s="330"/>
      <c r="AR71" s="330"/>
      <c r="AS71" s="330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5"/>
      <c r="AG72" s="335"/>
      <c r="AH72" s="336"/>
      <c r="AI72" s="337"/>
      <c r="AJ72" s="335"/>
      <c r="AK72" s="335"/>
      <c r="AL72" s="336"/>
      <c r="AM72" s="337"/>
      <c r="AN72" s="335"/>
      <c r="AO72" s="335"/>
      <c r="AP72" s="336"/>
      <c r="AQ72" s="330"/>
      <c r="AR72" s="330"/>
      <c r="AS72" s="330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5"/>
      <c r="AG73" s="335"/>
      <c r="AH73" s="336"/>
      <c r="AI73" s="337"/>
      <c r="AJ73" s="335"/>
      <c r="AK73" s="335"/>
      <c r="AL73" s="336"/>
      <c r="AM73" s="337"/>
      <c r="AN73" s="335"/>
      <c r="AO73" s="335"/>
      <c r="AP73" s="336"/>
      <c r="AQ73" s="330"/>
      <c r="AR73" s="330"/>
      <c r="AS73" s="330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5"/>
      <c r="AG74" s="335"/>
      <c r="AH74" s="336"/>
      <c r="AI74" s="337"/>
      <c r="AJ74" s="335"/>
      <c r="AK74" s="335"/>
      <c r="AL74" s="336"/>
      <c r="AM74" s="337"/>
      <c r="AN74" s="335"/>
      <c r="AO74" s="335"/>
      <c r="AP74" s="336"/>
      <c r="AQ74" s="330"/>
      <c r="AR74" s="330"/>
      <c r="AS74" s="330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5"/>
      <c r="AG75" s="335"/>
      <c r="AH75" s="336"/>
      <c r="AI75" s="337"/>
      <c r="AJ75" s="335"/>
      <c r="AK75" s="335"/>
      <c r="AL75" s="336"/>
      <c r="AM75" s="337"/>
      <c r="AN75" s="335"/>
      <c r="AO75" s="335"/>
      <c r="AP75" s="336"/>
      <c r="AQ75" s="330"/>
      <c r="AR75" s="330"/>
      <c r="AS75" s="330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5"/>
      <c r="AG76" s="335"/>
      <c r="AH76" s="336"/>
      <c r="AI76" s="337"/>
      <c r="AJ76" s="335"/>
      <c r="AK76" s="335"/>
      <c r="AL76" s="336"/>
      <c r="AM76" s="337"/>
      <c r="AN76" s="335"/>
      <c r="AO76" s="335"/>
      <c r="AP76" s="336"/>
      <c r="AQ76" s="330"/>
      <c r="AR76" s="330"/>
      <c r="AS76" s="330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5"/>
      <c r="AG77" s="335"/>
      <c r="AH77" s="335"/>
      <c r="AI77" s="337"/>
      <c r="AJ77" s="335"/>
      <c r="AK77" s="335"/>
      <c r="AL77" s="335"/>
      <c r="AM77" s="337"/>
      <c r="AN77" s="335"/>
      <c r="AO77" s="335"/>
      <c r="AP77" s="335"/>
      <c r="AQ77" s="330"/>
      <c r="AR77" s="330"/>
      <c r="AS77" s="330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30"/>
      <c r="AG78" s="336"/>
      <c r="AH78" s="338"/>
      <c r="AI78" s="339"/>
      <c r="AJ78" s="330"/>
      <c r="AK78" s="336"/>
      <c r="AL78" s="338"/>
      <c r="AM78" s="339"/>
      <c r="AN78" s="330"/>
      <c r="AO78" s="336"/>
      <c r="AP78" s="338"/>
      <c r="AQ78" s="330"/>
      <c r="AR78" s="330"/>
      <c r="AS78" s="330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30"/>
      <c r="AG79" s="330"/>
      <c r="AH79" s="340"/>
      <c r="AI79" s="330"/>
      <c r="AJ79" s="330"/>
      <c r="AK79" s="330"/>
      <c r="AL79" s="340"/>
      <c r="AM79" s="330"/>
      <c r="AN79" s="330"/>
      <c r="AO79" s="330"/>
      <c r="AP79" s="340"/>
      <c r="AQ79" s="330"/>
      <c r="AR79" s="330"/>
      <c r="AS79" s="330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30"/>
      <c r="AG80" s="330"/>
      <c r="AH80" s="340"/>
      <c r="AI80" s="341"/>
      <c r="AJ80" s="330"/>
      <c r="AK80" s="330"/>
      <c r="AL80" s="340"/>
      <c r="AM80" s="341"/>
      <c r="AN80" s="330"/>
      <c r="AO80" s="330"/>
      <c r="AP80" s="340"/>
      <c r="AQ80" s="330"/>
      <c r="AR80" s="330"/>
      <c r="AS80" s="330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30"/>
      <c r="AG81" s="330"/>
      <c r="AH81" s="340"/>
      <c r="AI81" s="338"/>
      <c r="AJ81" s="330"/>
      <c r="AK81" s="330"/>
      <c r="AL81" s="340"/>
      <c r="AM81" s="338"/>
      <c r="AN81" s="330"/>
      <c r="AO81" s="330"/>
      <c r="AP81" s="340"/>
      <c r="AQ81" s="330"/>
      <c r="AR81" s="330"/>
      <c r="AS81" s="330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30"/>
      <c r="AG82" s="330"/>
      <c r="AH82" s="340"/>
      <c r="AI82" s="341"/>
      <c r="AJ82" s="330"/>
      <c r="AK82" s="330"/>
      <c r="AL82" s="340"/>
      <c r="AM82" s="341"/>
      <c r="AN82" s="330"/>
      <c r="AO82" s="330"/>
      <c r="AP82" s="340"/>
      <c r="AQ82" s="330"/>
      <c r="AR82" s="330"/>
      <c r="AS82" s="330"/>
    </row>
    <row r="83" spans="4:45" x14ac:dyDescent="0.25">
      <c r="AE83" s="32"/>
      <c r="AF83" s="330"/>
      <c r="AG83" s="330"/>
      <c r="AH83" s="330"/>
      <c r="AI83" s="330"/>
      <c r="AJ83" s="330"/>
      <c r="AK83" s="330"/>
      <c r="AL83" s="330"/>
      <c r="AM83" s="330"/>
      <c r="AN83" s="330"/>
      <c r="AO83" s="330"/>
      <c r="AP83" s="330"/>
      <c r="AQ83" s="330"/>
      <c r="AR83" s="330"/>
      <c r="AS83" s="330"/>
    </row>
    <row r="84" spans="4:45" x14ac:dyDescent="0.25">
      <c r="AE84" s="32"/>
      <c r="AF84" s="330"/>
      <c r="AG84" s="330"/>
      <c r="AH84" s="330"/>
      <c r="AI84" s="330"/>
      <c r="AJ84" s="330"/>
      <c r="AK84" s="330"/>
      <c r="AL84" s="330"/>
      <c r="AM84" s="330"/>
      <c r="AN84" s="330"/>
      <c r="AO84" s="330"/>
      <c r="AP84" s="330"/>
      <c r="AQ84" s="330"/>
      <c r="AR84" s="330"/>
      <c r="AS84" s="330"/>
    </row>
    <row r="85" spans="4:45" x14ac:dyDescent="0.25">
      <c r="AF85" s="330"/>
      <c r="AG85" s="330"/>
      <c r="AH85" s="330"/>
      <c r="AI85" s="330"/>
      <c r="AJ85" s="330"/>
      <c r="AK85" s="330"/>
      <c r="AL85" s="330"/>
      <c r="AM85" s="330"/>
      <c r="AN85" s="330"/>
      <c r="AO85" s="330"/>
      <c r="AP85" s="330"/>
      <c r="AQ85" s="330"/>
      <c r="AR85" s="330"/>
      <c r="AS85" s="330"/>
    </row>
    <row r="86" spans="4:45" x14ac:dyDescent="0.25">
      <c r="AF86" s="330"/>
      <c r="AG86" s="330"/>
      <c r="AH86" s="330"/>
      <c r="AI86" s="330"/>
      <c r="AJ86" s="330"/>
      <c r="AK86" s="330"/>
      <c r="AL86" s="330"/>
      <c r="AM86" s="330"/>
      <c r="AN86" s="330"/>
      <c r="AO86" s="330"/>
      <c r="AP86" s="330"/>
      <c r="AQ86" s="330"/>
      <c r="AR86" s="330"/>
      <c r="AS86" s="330"/>
    </row>
    <row r="87" spans="4:45" x14ac:dyDescent="0.25">
      <c r="AF87" s="330"/>
      <c r="AG87" s="330"/>
      <c r="AH87" s="330"/>
      <c r="AI87" s="330"/>
      <c r="AJ87" s="330"/>
      <c r="AK87" s="330"/>
      <c r="AL87" s="330"/>
      <c r="AM87" s="330"/>
      <c r="AN87" s="330"/>
      <c r="AO87" s="330"/>
      <c r="AP87" s="330"/>
      <c r="AQ87" s="330"/>
      <c r="AR87" s="330"/>
      <c r="AS87" s="330"/>
    </row>
    <row r="88" spans="4:45" x14ac:dyDescent="0.25">
      <c r="AF88" s="330"/>
      <c r="AG88" s="330"/>
      <c r="AH88" s="330"/>
      <c r="AI88" s="330"/>
      <c r="AJ88" s="330"/>
      <c r="AK88" s="330"/>
      <c r="AL88" s="330"/>
      <c r="AM88" s="330"/>
      <c r="AN88" s="330"/>
      <c r="AO88" s="330"/>
      <c r="AP88" s="330"/>
      <c r="AQ88" s="330"/>
      <c r="AR88" s="330"/>
      <c r="AS88" s="330"/>
    </row>
    <row r="89" spans="4:45" x14ac:dyDescent="0.25">
      <c r="AF89" s="330"/>
      <c r="AG89" s="330"/>
      <c r="AH89" s="330"/>
      <c r="AI89" s="330"/>
      <c r="AJ89" s="330"/>
      <c r="AK89" s="330"/>
      <c r="AL89" s="330"/>
      <c r="AM89" s="330"/>
      <c r="AN89" s="330"/>
      <c r="AO89" s="330"/>
      <c r="AP89" s="330"/>
      <c r="AQ89" s="330"/>
      <c r="AR89" s="330"/>
      <c r="AS89" s="330"/>
    </row>
    <row r="90" spans="4:45" x14ac:dyDescent="0.25">
      <c r="AF90" s="330"/>
      <c r="AG90" s="330"/>
      <c r="AH90" s="330"/>
      <c r="AI90" s="330"/>
      <c r="AJ90" s="330"/>
      <c r="AK90" s="330"/>
      <c r="AL90" s="330"/>
      <c r="AM90" s="330"/>
      <c r="AN90" s="330"/>
      <c r="AO90" s="330"/>
      <c r="AP90" s="330"/>
      <c r="AQ90" s="330"/>
      <c r="AR90" s="330"/>
      <c r="AS90" s="330"/>
    </row>
    <row r="91" spans="4:45" x14ac:dyDescent="0.25">
      <c r="AF91" s="330"/>
      <c r="AG91" s="330"/>
      <c r="AH91" s="330"/>
      <c r="AI91" s="330"/>
      <c r="AJ91" s="330"/>
      <c r="AK91" s="330"/>
      <c r="AL91" s="330"/>
      <c r="AM91" s="330"/>
      <c r="AN91" s="330"/>
      <c r="AO91" s="330"/>
      <c r="AP91" s="330"/>
      <c r="AQ91" s="330"/>
      <c r="AR91" s="330"/>
      <c r="AS91" s="330"/>
    </row>
    <row r="92" spans="4:45" x14ac:dyDescent="0.25">
      <c r="AF92" s="330"/>
      <c r="AG92" s="330"/>
      <c r="AH92" s="330"/>
      <c r="AI92" s="330"/>
      <c r="AJ92" s="330"/>
      <c r="AK92" s="330"/>
      <c r="AL92" s="330"/>
      <c r="AM92" s="330"/>
      <c r="AN92" s="330"/>
      <c r="AO92" s="330"/>
      <c r="AP92" s="330"/>
      <c r="AQ92" s="330"/>
      <c r="AR92" s="330"/>
      <c r="AS92" s="330"/>
    </row>
    <row r="93" spans="4:45" x14ac:dyDescent="0.25">
      <c r="AF93" s="330"/>
      <c r="AG93" s="330"/>
      <c r="AH93" s="330"/>
      <c r="AI93" s="330"/>
      <c r="AJ93" s="330"/>
      <c r="AK93" s="330"/>
      <c r="AL93" s="330"/>
      <c r="AM93" s="330"/>
      <c r="AN93" s="330"/>
      <c r="AO93" s="330"/>
      <c r="AP93" s="330"/>
      <c r="AQ93" s="330"/>
      <c r="AR93" s="330"/>
      <c r="AS93" s="330"/>
    </row>
    <row r="94" spans="4:45" x14ac:dyDescent="0.25">
      <c r="AF94" s="330"/>
      <c r="AG94" s="330"/>
      <c r="AH94" s="330"/>
      <c r="AI94" s="330"/>
      <c r="AJ94" s="330"/>
      <c r="AK94" s="330"/>
      <c r="AL94" s="330"/>
      <c r="AM94" s="330"/>
      <c r="AN94" s="330"/>
      <c r="AO94" s="330"/>
      <c r="AP94" s="330"/>
      <c r="AQ94" s="330"/>
      <c r="AR94" s="330"/>
      <c r="AS94" s="330"/>
    </row>
    <row r="95" spans="4:45" x14ac:dyDescent="0.25">
      <c r="AF95" s="330"/>
      <c r="AG95" s="330"/>
      <c r="AH95" s="330"/>
      <c r="AI95" s="330"/>
      <c r="AJ95" s="330"/>
      <c r="AK95" s="330"/>
      <c r="AL95" s="330"/>
      <c r="AM95" s="330"/>
      <c r="AN95" s="330"/>
      <c r="AO95" s="330"/>
      <c r="AP95" s="330"/>
      <c r="AQ95" s="330"/>
      <c r="AR95" s="330"/>
      <c r="AS95" s="330"/>
    </row>
    <row r="96" spans="4:45" x14ac:dyDescent="0.25">
      <c r="AF96" s="330"/>
      <c r="AG96" s="330"/>
      <c r="AH96" s="330"/>
      <c r="AI96" s="330"/>
      <c r="AJ96" s="330"/>
      <c r="AK96" s="330"/>
      <c r="AL96" s="330"/>
      <c r="AM96" s="330"/>
      <c r="AN96" s="330"/>
      <c r="AO96" s="330"/>
      <c r="AP96" s="330"/>
      <c r="AQ96" s="330"/>
      <c r="AR96" s="330"/>
      <c r="AS96" s="330"/>
    </row>
    <row r="97" spans="32:45" x14ac:dyDescent="0.25">
      <c r="AF97" s="330"/>
      <c r="AG97" s="330"/>
      <c r="AH97" s="330"/>
      <c r="AI97" s="330"/>
      <c r="AJ97" s="330"/>
      <c r="AK97" s="330"/>
      <c r="AL97" s="330"/>
      <c r="AM97" s="330"/>
      <c r="AN97" s="330"/>
      <c r="AO97" s="330"/>
      <c r="AP97" s="330"/>
      <c r="AQ97" s="330"/>
      <c r="AR97" s="330"/>
      <c r="AS97" s="330"/>
    </row>
    <row r="98" spans="32:45" x14ac:dyDescent="0.25">
      <c r="AF98" s="330"/>
      <c r="AG98" s="330"/>
      <c r="AH98" s="330"/>
      <c r="AI98" s="330"/>
      <c r="AJ98" s="330"/>
      <c r="AK98" s="330"/>
      <c r="AL98" s="330"/>
      <c r="AM98" s="330"/>
      <c r="AN98" s="330"/>
      <c r="AO98" s="330"/>
      <c r="AP98" s="330"/>
      <c r="AQ98" s="330"/>
      <c r="AR98" s="330"/>
      <c r="AS98" s="330"/>
    </row>
    <row r="99" spans="32:45" x14ac:dyDescent="0.25">
      <c r="AF99" s="330"/>
      <c r="AG99" s="330"/>
      <c r="AH99" s="330"/>
      <c r="AI99" s="330"/>
      <c r="AJ99" s="330"/>
      <c r="AK99" s="330"/>
      <c r="AL99" s="330"/>
      <c r="AM99" s="330"/>
      <c r="AN99" s="330"/>
      <c r="AO99" s="330"/>
      <c r="AP99" s="330"/>
      <c r="AQ99" s="330"/>
      <c r="AR99" s="330"/>
      <c r="AS99" s="330"/>
    </row>
    <row r="100" spans="32:45" x14ac:dyDescent="0.25">
      <c r="AF100" s="330"/>
      <c r="AG100" s="330"/>
      <c r="AH100" s="330"/>
      <c r="AI100" s="330"/>
      <c r="AJ100" s="330"/>
      <c r="AK100" s="330"/>
      <c r="AL100" s="330"/>
      <c r="AM100" s="330"/>
      <c r="AN100" s="330"/>
      <c r="AO100" s="330"/>
      <c r="AP100" s="330"/>
      <c r="AQ100" s="330"/>
      <c r="AR100" s="330"/>
      <c r="AS100" s="330"/>
    </row>
    <row r="101" spans="32:45" x14ac:dyDescent="0.25">
      <c r="AF101" s="330"/>
      <c r="AG101" s="330"/>
      <c r="AH101" s="330"/>
      <c r="AI101" s="330"/>
      <c r="AJ101" s="330"/>
      <c r="AK101" s="330"/>
      <c r="AL101" s="330"/>
      <c r="AM101" s="330"/>
      <c r="AN101" s="330"/>
      <c r="AO101" s="330"/>
      <c r="AP101" s="330"/>
      <c r="AQ101" s="330"/>
      <c r="AR101" s="330"/>
      <c r="AS101" s="330"/>
    </row>
    <row r="102" spans="32:45" x14ac:dyDescent="0.25">
      <c r="AF102" s="330"/>
      <c r="AG102" s="330"/>
      <c r="AH102" s="330"/>
      <c r="AI102" s="330"/>
      <c r="AJ102" s="330"/>
      <c r="AK102" s="330"/>
      <c r="AL102" s="330"/>
      <c r="AM102" s="330"/>
      <c r="AN102" s="330"/>
      <c r="AO102" s="330"/>
      <c r="AP102" s="330"/>
      <c r="AQ102" s="330"/>
      <c r="AR102" s="330"/>
      <c r="AS102" s="330"/>
    </row>
    <row r="103" spans="32:45" x14ac:dyDescent="0.25">
      <c r="AF103" s="330"/>
      <c r="AG103" s="330"/>
      <c r="AH103" s="330"/>
      <c r="AI103" s="330"/>
      <c r="AJ103" s="330"/>
      <c r="AK103" s="330"/>
      <c r="AL103" s="330"/>
      <c r="AM103" s="330"/>
      <c r="AN103" s="330"/>
      <c r="AO103" s="330"/>
      <c r="AP103" s="330"/>
      <c r="AQ103" s="330"/>
      <c r="AR103" s="330"/>
      <c r="AS103" s="330"/>
    </row>
    <row r="104" spans="32:45" x14ac:dyDescent="0.25">
      <c r="AF104" s="330"/>
      <c r="AG104" s="330"/>
      <c r="AH104" s="330"/>
      <c r="AI104" s="330"/>
      <c r="AJ104" s="330"/>
      <c r="AK104" s="330"/>
      <c r="AL104" s="330"/>
      <c r="AM104" s="330"/>
      <c r="AN104" s="330"/>
      <c r="AO104" s="330"/>
      <c r="AP104" s="330"/>
      <c r="AQ104" s="330"/>
      <c r="AR104" s="330"/>
      <c r="AS104" s="330"/>
    </row>
    <row r="105" spans="32:45" x14ac:dyDescent="0.25">
      <c r="AF105" s="330"/>
      <c r="AG105" s="330"/>
      <c r="AH105" s="330"/>
      <c r="AI105" s="330"/>
      <c r="AJ105" s="330"/>
      <c r="AK105" s="330"/>
      <c r="AL105" s="330"/>
      <c r="AM105" s="330"/>
      <c r="AN105" s="330"/>
      <c r="AO105" s="330"/>
      <c r="AP105" s="330"/>
      <c r="AQ105" s="330"/>
      <c r="AR105" s="330"/>
      <c r="AS105" s="33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15" workbookViewId="0">
      <selection activeCell="E40" sqref="E40"/>
    </sheetView>
    <sheetView workbookViewId="1">
      <selection activeCell="C7" sqref="C7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33295</v>
      </c>
      <c r="C4" s="11">
        <v>17825</v>
      </c>
      <c r="D4" s="11"/>
      <c r="E4" s="11">
        <v>14579</v>
      </c>
      <c r="F4" s="11"/>
      <c r="G4" s="11"/>
      <c r="H4" s="11">
        <f>+G4-F4+D4-E4+B4-C4</f>
        <v>891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35755</v>
      </c>
      <c r="C5" s="11">
        <v>187</v>
      </c>
      <c r="D5" s="11"/>
      <c r="E5" s="11">
        <v>35000</v>
      </c>
      <c r="F5" s="11"/>
      <c r="G5" s="11"/>
      <c r="H5" s="11">
        <f t="shared" ref="H5:H34" si="0">+G5-F5+D5-E5+B5-C5</f>
        <v>568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4649</v>
      </c>
      <c r="C6" s="11">
        <v>187</v>
      </c>
      <c r="D6" s="11"/>
      <c r="E6" s="11"/>
      <c r="F6" s="11"/>
      <c r="G6" s="11"/>
      <c r="H6" s="11">
        <f t="shared" si="0"/>
        <v>4462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/>
      <c r="C7" s="11"/>
      <c r="D7" s="11"/>
      <c r="E7" s="11"/>
      <c r="F7" s="11"/>
      <c r="G7" s="11"/>
      <c r="H7" s="11">
        <f t="shared" si="0"/>
        <v>0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1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73699</v>
      </c>
      <c r="C35" s="44">
        <f t="shared" si="1"/>
        <v>18199</v>
      </c>
      <c r="D35" s="11">
        <f t="shared" si="1"/>
        <v>0</v>
      </c>
      <c r="E35" s="44">
        <f t="shared" si="1"/>
        <v>49579</v>
      </c>
      <c r="F35" s="11">
        <f t="shared" si="1"/>
        <v>0</v>
      </c>
      <c r="G35" s="11">
        <f t="shared" si="1"/>
        <v>0</v>
      </c>
      <c r="H35" s="11">
        <f t="shared" si="1"/>
        <v>5921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+summary!P13</f>
        <v>6.52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38604.92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36860</v>
      </c>
      <c r="F38" s="47"/>
      <c r="G38" s="48"/>
      <c r="H38" s="369">
        <v>26084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36863</v>
      </c>
      <c r="F39" s="47"/>
      <c r="G39" s="47"/>
      <c r="H39" s="137">
        <f>+H38+H37</f>
        <v>64688.92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workbookViewId="1">
      <selection activeCell="A39" sqref="A39"/>
    </sheetView>
  </sheetViews>
  <sheetFormatPr defaultRowHeight="13.2" x14ac:dyDescent="0.25"/>
  <cols>
    <col min="1" max="1" width="6.664062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10.109375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45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38</v>
      </c>
      <c r="D3" s="59" t="s">
        <v>46</v>
      </c>
      <c r="E3" s="4"/>
      <c r="F3" s="59" t="s">
        <v>47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40</v>
      </c>
      <c r="AB3" s="121"/>
      <c r="AC3" s="24"/>
      <c r="AD3" s="24"/>
      <c r="AE3" s="24"/>
      <c r="AF3" s="32"/>
      <c r="AG3" s="122" t="s">
        <v>41</v>
      </c>
      <c r="AH3" s="121"/>
      <c r="AM3" s="2" t="s">
        <v>42</v>
      </c>
      <c r="AN3"/>
    </row>
    <row r="4" spans="1:47" x14ac:dyDescent="0.25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48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285865</v>
      </c>
      <c r="E5" s="11">
        <v>284347</v>
      </c>
      <c r="F5" s="11"/>
      <c r="G5" s="11"/>
      <c r="H5" s="24">
        <f>+G5-F5+D5-E5+C5-B5</f>
        <v>1518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38</v>
      </c>
      <c r="AB5" s="24"/>
      <c r="AC5" s="24"/>
      <c r="AD5" s="58" t="s">
        <v>39</v>
      </c>
      <c r="AE5" s="58"/>
      <c r="AF5" s="4"/>
      <c r="AG5" s="2" t="s">
        <v>38</v>
      </c>
      <c r="AJ5" s="4" t="s">
        <v>39</v>
      </c>
      <c r="AK5" s="4"/>
      <c r="AL5" s="4"/>
      <c r="AM5" s="2" t="s">
        <v>38</v>
      </c>
      <c r="AO5" s="4" t="s">
        <v>39</v>
      </c>
      <c r="AP5" s="4"/>
    </row>
    <row r="6" spans="1:47" x14ac:dyDescent="0.25">
      <c r="A6" s="10">
        <v>2</v>
      </c>
      <c r="B6" s="11"/>
      <c r="C6" s="11"/>
      <c r="D6" s="11">
        <v>335549</v>
      </c>
      <c r="E6" s="11">
        <v>330187</v>
      </c>
      <c r="F6" s="11"/>
      <c r="G6" s="11"/>
      <c r="H6" s="24">
        <f t="shared" ref="H6:H35" si="0">+G6-F6+D6-E6+C6-B6</f>
        <v>5362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43</v>
      </c>
      <c r="AA6" s="40" t="s">
        <v>13</v>
      </c>
      <c r="AB6" s="40" t="s">
        <v>14</v>
      </c>
      <c r="AC6" s="40" t="s">
        <v>44</v>
      </c>
      <c r="AD6" s="40" t="s">
        <v>13</v>
      </c>
      <c r="AE6" s="40" t="s">
        <v>14</v>
      </c>
      <c r="AF6" s="6" t="s">
        <v>44</v>
      </c>
      <c r="AG6" s="6" t="s">
        <v>13</v>
      </c>
      <c r="AH6" s="40" t="s">
        <v>14</v>
      </c>
      <c r="AI6" s="6" t="s">
        <v>44</v>
      </c>
      <c r="AJ6" s="6" t="s">
        <v>13</v>
      </c>
      <c r="AK6" s="6" t="s">
        <v>14</v>
      </c>
      <c r="AL6" s="6" t="s">
        <v>44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5">
      <c r="A7" s="10">
        <v>3</v>
      </c>
      <c r="B7" s="11"/>
      <c r="C7" s="129"/>
      <c r="D7" s="129"/>
      <c r="E7" s="129"/>
      <c r="F7" s="11"/>
      <c r="G7" s="11"/>
      <c r="H7" s="24">
        <f t="shared" si="0"/>
        <v>0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/>
      <c r="E8" s="129"/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621414</v>
      </c>
      <c r="E36" s="11">
        <f t="shared" si="15"/>
        <v>614534</v>
      </c>
      <c r="F36" s="11">
        <f t="shared" si="15"/>
        <v>0</v>
      </c>
      <c r="G36" s="11">
        <f t="shared" si="15"/>
        <v>0</v>
      </c>
      <c r="H36" s="11">
        <f t="shared" si="15"/>
        <v>6880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36860</v>
      </c>
      <c r="B37" s="2" t="s">
        <v>49</v>
      </c>
      <c r="C37" s="379">
        <v>-6793</v>
      </c>
      <c r="D37" s="365"/>
      <c r="E37" s="378">
        <v>174842</v>
      </c>
      <c r="F37" s="24"/>
      <c r="G37" s="24"/>
      <c r="H37" s="24">
        <f>+E37+C37</f>
        <v>168049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36862</v>
      </c>
      <c r="B38" s="2" t="s">
        <v>49</v>
      </c>
      <c r="C38" s="131">
        <f>+C37+C36-B36</f>
        <v>-6793</v>
      </c>
      <c r="D38" s="262"/>
      <c r="E38" s="131">
        <f>+E37+D36-E36</f>
        <v>181722</v>
      </c>
      <c r="F38" s="262"/>
      <c r="G38" s="131"/>
      <c r="H38" s="131">
        <f>+H37+H36</f>
        <v>174929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1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84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8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80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80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80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80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80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80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workbookViewId="1">
      <selection activeCell="A14" sqref="A14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50</v>
      </c>
      <c r="E4" s="3"/>
      <c r="F4" s="1"/>
      <c r="I4" s="3"/>
      <c r="J4" s="1"/>
      <c r="M4" s="3"/>
      <c r="N4" s="1"/>
    </row>
    <row r="5" spans="1:16" x14ac:dyDescent="0.25">
      <c r="A5" s="5" t="s">
        <v>12</v>
      </c>
      <c r="B5" s="6" t="s">
        <v>21</v>
      </c>
      <c r="C5" s="6" t="s">
        <v>22</v>
      </c>
      <c r="D5" s="6" t="s">
        <v>48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93344</v>
      </c>
      <c r="C6" s="11">
        <v>93623</v>
      </c>
      <c r="D6" s="25">
        <f>+C6-B6</f>
        <v>279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90757</v>
      </c>
      <c r="C7" s="11">
        <v>82485</v>
      </c>
      <c r="D7" s="25">
        <f>+C7-B7</f>
        <v>-8272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79881</v>
      </c>
      <c r="C8" s="11">
        <v>83564</v>
      </c>
      <c r="D8" s="25">
        <f t="shared" ref="D8:D36" si="0">+C8-B8</f>
        <v>3683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/>
      <c r="C9" s="11"/>
      <c r="D9" s="25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/>
      <c r="C10" s="11"/>
      <c r="D10" s="25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263982</v>
      </c>
      <c r="C37" s="11">
        <f>SUM(C6:C36)</f>
        <v>259672</v>
      </c>
      <c r="D37" s="11">
        <f>SUM(D6:D36)</f>
        <v>-4310</v>
      </c>
      <c r="E37" s="10"/>
      <c r="F37" s="11"/>
      <c r="G37" s="11"/>
      <c r="H37" s="129"/>
      <c r="I37" s="274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2"/>
      <c r="I38" s="275"/>
      <c r="J38" s="252"/>
      <c r="K38" s="276"/>
      <c r="L38" s="252"/>
      <c r="M38" s="26"/>
      <c r="O38" s="14"/>
    </row>
    <row r="39" spans="1:16" x14ac:dyDescent="0.25">
      <c r="A39" s="57">
        <v>36860</v>
      </c>
      <c r="C39" s="15"/>
      <c r="D39" s="367">
        <v>-15891</v>
      </c>
      <c r="E39" s="57"/>
      <c r="G39" s="15"/>
      <c r="H39" s="51"/>
      <c r="I39" s="277"/>
      <c r="J39" s="252"/>
      <c r="K39" s="278"/>
      <c r="L39" s="51"/>
      <c r="M39" s="57"/>
      <c r="O39" s="15"/>
      <c r="P39" s="24"/>
    </row>
    <row r="40" spans="1:16" x14ac:dyDescent="0.25">
      <c r="A40" s="57">
        <v>36863</v>
      </c>
      <c r="C40" s="48"/>
      <c r="D40" s="25">
        <f>+D39+D37</f>
        <v>-20201</v>
      </c>
      <c r="E40" s="57"/>
      <c r="G40" s="48"/>
      <c r="H40" s="131"/>
      <c r="I40" s="277"/>
      <c r="J40" s="252"/>
      <c r="K40" s="279"/>
      <c r="L40" s="131"/>
      <c r="M40" s="57"/>
      <c r="O40" s="48"/>
      <c r="P40" s="130"/>
    </row>
    <row r="41" spans="1:16" x14ac:dyDescent="0.25">
      <c r="C41" s="47"/>
      <c r="H41" s="252"/>
      <c r="I41" s="252"/>
      <c r="J41" s="252"/>
      <c r="K41" s="252"/>
      <c r="L41" s="252"/>
    </row>
    <row r="42" spans="1:16" x14ac:dyDescent="0.25">
      <c r="A42" s="57"/>
      <c r="C42" s="50"/>
      <c r="D42" s="25"/>
      <c r="H42" s="252"/>
      <c r="I42" s="252"/>
      <c r="J42" s="252"/>
      <c r="K42" s="252"/>
      <c r="L42" s="252"/>
    </row>
    <row r="43" spans="1:16" x14ac:dyDescent="0.25">
      <c r="A43" s="57"/>
      <c r="C43" s="50"/>
      <c r="H43" s="252"/>
      <c r="I43" s="252"/>
      <c r="J43" s="252"/>
      <c r="K43" s="252"/>
      <c r="L43" s="252"/>
    </row>
    <row r="44" spans="1:16" x14ac:dyDescent="0.25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26" workbookViewId="0">
      <selection activeCell="C46" sqref="C46"/>
    </sheetView>
    <sheetView workbookViewId="1">
      <selection activeCell="B17" sqref="B17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4" width="13.44140625" style="34" customWidth="1"/>
    <col min="5" max="5" width="14" style="113" customWidth="1"/>
    <col min="6" max="6" width="11.6640625" style="113" customWidth="1"/>
    <col min="7" max="7" width="11.88671875" style="34" customWidth="1"/>
    <col min="8" max="8" width="10.33203125" style="34" customWidth="1"/>
    <col min="9" max="9" width="13.33203125" style="34" bestFit="1" customWidth="1"/>
    <col min="10" max="12" width="9.109375" style="34"/>
    <col min="13" max="13" width="10.109375" style="34" bestFit="1" customWidth="1"/>
    <col min="14" max="41" width="9.109375" style="34"/>
    <col min="42" max="42" width="11.6640625" style="34" bestFit="1" customWidth="1"/>
    <col min="43" max="45" width="9.109375" style="34"/>
    <col min="46" max="46" width="9.88671875" style="34" bestFit="1" customWidth="1"/>
    <col min="47" max="16384" width="9.109375" style="34"/>
  </cols>
  <sheetData>
    <row r="1" spans="1:46" x14ac:dyDescent="0.25">
      <c r="E1" s="34"/>
      <c r="G1" s="113"/>
    </row>
    <row r="2" spans="1:46" x14ac:dyDescent="0.25">
      <c r="A2" s="38" t="s">
        <v>53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5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5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5">
      <c r="A5" s="12"/>
      <c r="B5" s="58"/>
      <c r="C5" s="58"/>
      <c r="D5" s="4" t="s">
        <v>54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54</v>
      </c>
      <c r="AD5" s="12"/>
      <c r="AE5" s="12"/>
      <c r="AF5" s="58"/>
      <c r="AG5" s="58" t="s">
        <v>54</v>
      </c>
      <c r="AH5" s="12"/>
      <c r="AI5" s="12"/>
      <c r="AJ5" s="58"/>
      <c r="AK5" s="58" t="s">
        <v>54</v>
      </c>
      <c r="AL5" s="12"/>
      <c r="AM5" s="12"/>
      <c r="AN5" s="58"/>
      <c r="AO5" s="58" t="s">
        <v>54</v>
      </c>
      <c r="AP5" s="12"/>
      <c r="AQ5" s="12"/>
      <c r="AR5" s="58"/>
      <c r="AS5" s="58" t="s">
        <v>54</v>
      </c>
      <c r="AT5" s="12"/>
    </row>
    <row r="6" spans="1:46" x14ac:dyDescent="0.25">
      <c r="B6" s="40" t="s">
        <v>21</v>
      </c>
      <c r="C6" s="40" t="s">
        <v>22</v>
      </c>
      <c r="D6" s="6" t="s">
        <v>16</v>
      </c>
      <c r="E6" s="39"/>
      <c r="F6" s="139"/>
      <c r="G6" s="287"/>
      <c r="H6" s="286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5">
      <c r="B7" s="11"/>
      <c r="C7" s="11"/>
      <c r="D7" s="11"/>
      <c r="E7" s="143"/>
      <c r="F7" s="139"/>
      <c r="G7" s="280"/>
      <c r="H7" s="285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5">
      <c r="A8" s="139">
        <v>1</v>
      </c>
      <c r="B8" s="11">
        <v>156863</v>
      </c>
      <c r="C8" s="11">
        <v>153458</v>
      </c>
      <c r="D8" s="11">
        <f t="shared" ref="D8:D38" si="0">+C8-B8</f>
        <v>-3405</v>
      </c>
      <c r="E8" s="143"/>
      <c r="F8" s="139"/>
      <c r="G8" s="280"/>
      <c r="H8" s="285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5">
      <c r="A9" s="139">
        <v>2</v>
      </c>
      <c r="B9" s="11">
        <v>156290</v>
      </c>
      <c r="C9" s="11">
        <v>156639</v>
      </c>
      <c r="D9" s="11">
        <f t="shared" si="0"/>
        <v>349</v>
      </c>
      <c r="E9" s="143"/>
      <c r="F9" s="139"/>
      <c r="G9" s="280"/>
      <c r="H9" s="285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5">
      <c r="A10" s="139">
        <v>3</v>
      </c>
      <c r="B10" s="11">
        <v>156408</v>
      </c>
      <c r="C10" s="11">
        <v>152895</v>
      </c>
      <c r="D10" s="11">
        <f t="shared" si="0"/>
        <v>-3513</v>
      </c>
      <c r="E10" s="143"/>
      <c r="F10" s="139"/>
      <c r="G10" s="280"/>
      <c r="H10" s="285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5">
      <c r="A11" s="139">
        <v>4</v>
      </c>
      <c r="B11" s="11"/>
      <c r="C11" s="11"/>
      <c r="D11" s="11">
        <f t="shared" si="0"/>
        <v>0</v>
      </c>
      <c r="E11" s="143"/>
      <c r="F11" s="139"/>
      <c r="G11" s="288"/>
      <c r="H11" s="285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5">
      <c r="A12" s="139">
        <v>5</v>
      </c>
      <c r="B12" s="11"/>
      <c r="C12" s="11"/>
      <c r="D12" s="11">
        <f t="shared" si="0"/>
        <v>0</v>
      </c>
      <c r="E12" s="143"/>
      <c r="F12" s="139"/>
      <c r="G12" s="285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5">
      <c r="A13" s="139">
        <v>6</v>
      </c>
      <c r="B13" s="11"/>
      <c r="C13" s="11"/>
      <c r="D13" s="11">
        <f t="shared" si="0"/>
        <v>0</v>
      </c>
      <c r="E13" s="143"/>
      <c r="F13" s="139"/>
      <c r="G13" s="285"/>
      <c r="H13" s="285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5">
      <c r="A14" s="139">
        <v>7</v>
      </c>
      <c r="B14" s="11"/>
      <c r="C14" s="11"/>
      <c r="D14" s="11">
        <f t="shared" si="0"/>
        <v>0</v>
      </c>
      <c r="E14" s="143"/>
      <c r="F14" s="139"/>
      <c r="G14" s="285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5">
      <c r="A15" s="139">
        <v>8</v>
      </c>
      <c r="B15" s="11"/>
      <c r="C15" s="11"/>
      <c r="D15" s="11">
        <f t="shared" si="0"/>
        <v>0</v>
      </c>
      <c r="E15" s="143"/>
      <c r="F15" s="139"/>
      <c r="G15" s="285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5">
      <c r="A16" s="139">
        <v>9</v>
      </c>
      <c r="B16" s="11"/>
      <c r="C16" s="11"/>
      <c r="D16" s="11">
        <f t="shared" si="0"/>
        <v>0</v>
      </c>
      <c r="E16" s="143"/>
      <c r="F16" s="139"/>
      <c r="G16" s="285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5">
      <c r="A17" s="139">
        <v>10</v>
      </c>
      <c r="B17" s="11"/>
      <c r="C17" s="11"/>
      <c r="D17" s="11">
        <f t="shared" si="0"/>
        <v>0</v>
      </c>
      <c r="E17" s="143"/>
      <c r="F17" s="139"/>
      <c r="G17" s="285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5">
      <c r="A18" s="139">
        <v>11</v>
      </c>
      <c r="B18" s="11"/>
      <c r="C18" s="11"/>
      <c r="D18" s="11">
        <f t="shared" si="0"/>
        <v>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5">
      <c r="A19" s="139">
        <v>12</v>
      </c>
      <c r="B19" s="11"/>
      <c r="C19" s="11"/>
      <c r="D19" s="11">
        <f t="shared" si="0"/>
        <v>0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5">
      <c r="A20" s="139">
        <v>13</v>
      </c>
      <c r="B20" s="11"/>
      <c r="C20" s="11"/>
      <c r="D20" s="11">
        <f t="shared" si="0"/>
        <v>0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5">
      <c r="A21" s="139">
        <v>14</v>
      </c>
      <c r="B21" s="11"/>
      <c r="C21" s="11"/>
      <c r="D21" s="11">
        <f t="shared" si="0"/>
        <v>0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5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5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5">
      <c r="A24" s="146">
        <v>17</v>
      </c>
      <c r="B24" s="11"/>
      <c r="C24" s="11"/>
      <c r="D24" s="11">
        <f t="shared" si="0"/>
        <v>0</v>
      </c>
      <c r="E24" s="283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5">
      <c r="A25" s="147" t="s">
        <v>55</v>
      </c>
      <c r="B25" s="11"/>
      <c r="C25" s="11"/>
      <c r="D25" s="11">
        <f t="shared" si="0"/>
        <v>0</v>
      </c>
      <c r="E25" s="348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55</v>
      </c>
      <c r="AF25" s="11">
        <v>90438</v>
      </c>
      <c r="AG25" s="11">
        <v>89668</v>
      </c>
      <c r="AH25" s="11">
        <f t="shared" si="2"/>
        <v>-770</v>
      </c>
      <c r="AI25" s="147" t="s">
        <v>55</v>
      </c>
      <c r="AJ25" s="11">
        <v>119514</v>
      </c>
      <c r="AK25" s="11">
        <v>120375</v>
      </c>
      <c r="AL25" s="11">
        <f t="shared" si="3"/>
        <v>861</v>
      </c>
      <c r="AM25" s="147" t="s">
        <v>55</v>
      </c>
      <c r="AN25" s="11">
        <v>175778</v>
      </c>
      <c r="AO25" s="11">
        <v>172040</v>
      </c>
      <c r="AP25" s="11">
        <f t="shared" si="4"/>
        <v>-3738</v>
      </c>
      <c r="AQ25" s="147" t="s">
        <v>55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5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5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5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5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5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5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5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5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5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5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5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5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5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5">
      <c r="A39" s="149"/>
      <c r="B39" s="150">
        <f>SUM(B8:B38)</f>
        <v>469561</v>
      </c>
      <c r="C39" s="150">
        <f>SUM(C8:C38)</f>
        <v>462992</v>
      </c>
      <c r="D39" s="152">
        <f>SUM(D8:D38)</f>
        <v>-6569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5">
      <c r="A40" s="144"/>
      <c r="B40" s="142"/>
      <c r="C40" s="142"/>
      <c r="D40" s="151">
        <f>+summary!P12</f>
        <v>6.34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5">
      <c r="A41" s="144"/>
      <c r="B41" s="151"/>
      <c r="C41" s="153"/>
      <c r="D41" s="253">
        <f>+D40*D39</f>
        <v>-41647.46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5">
      <c r="A42" s="113"/>
      <c r="B42" s="156">
        <v>36860</v>
      </c>
      <c r="C42" s="153"/>
      <c r="D42" s="344">
        <v>-17979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5">
      <c r="A43" s="113"/>
      <c r="B43" s="156">
        <v>36863</v>
      </c>
      <c r="C43" s="142"/>
      <c r="D43" s="253">
        <f>+D42+D41</f>
        <v>-59626.46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5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5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56</v>
      </c>
      <c r="AC45" s="142"/>
      <c r="AD45" s="152">
        <f>+AD42+AD39</f>
        <v>89870</v>
      </c>
      <c r="AE45" s="144"/>
      <c r="AF45" s="153" t="s">
        <v>57</v>
      </c>
      <c r="AG45" s="142"/>
      <c r="AH45" s="152">
        <f>+AH42+AH39</f>
        <v>144671</v>
      </c>
      <c r="AI45" s="144"/>
      <c r="AJ45" s="153" t="s">
        <v>58</v>
      </c>
      <c r="AK45" s="142"/>
      <c r="AL45" s="159">
        <f>+AL42+AL39</f>
        <v>218762</v>
      </c>
      <c r="AM45" s="144"/>
      <c r="AN45" s="153" t="s">
        <v>59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5">
      <c r="A46" s="145"/>
      <c r="B46" s="157"/>
      <c r="C46" s="154"/>
      <c r="D46" s="142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5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8" thickBot="1" x14ac:dyDescent="0.3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8" thickTop="1" x14ac:dyDescent="0.25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5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5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5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5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5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5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5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5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5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5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5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5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5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5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5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5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5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5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5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5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5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5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5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5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5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5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5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5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5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5">
      <c r="A79" s="161" t="s">
        <v>25</v>
      </c>
      <c r="B79" s="157"/>
      <c r="C79" s="154"/>
      <c r="D79" s="142"/>
      <c r="E79" s="144"/>
      <c r="F79" s="144"/>
    </row>
    <row r="80" spans="1:21" x14ac:dyDescent="0.25">
      <c r="A80" s="161" t="s">
        <v>60</v>
      </c>
      <c r="B80" s="157"/>
      <c r="C80" s="154"/>
      <c r="D80" s="142"/>
      <c r="E80" s="144"/>
      <c r="F80" s="144"/>
    </row>
    <row r="81" spans="1:9" x14ac:dyDescent="0.25">
      <c r="A81" s="161" t="s">
        <v>61</v>
      </c>
      <c r="B81" s="157"/>
      <c r="C81" s="154"/>
      <c r="D81" s="142"/>
      <c r="E81" s="144"/>
    </row>
    <row r="84" spans="1:9" x14ac:dyDescent="0.25">
      <c r="A84" s="146"/>
      <c r="B84" s="166" t="s">
        <v>15</v>
      </c>
      <c r="C84" s="166" t="s">
        <v>62</v>
      </c>
      <c r="D84" s="146"/>
      <c r="F84" s="146"/>
      <c r="G84" s="166" t="s">
        <v>15</v>
      </c>
      <c r="H84" s="166" t="s">
        <v>62</v>
      </c>
      <c r="I84" s="146"/>
    </row>
    <row r="85" spans="1:9" x14ac:dyDescent="0.25">
      <c r="A85" s="146"/>
      <c r="B85" s="116" t="s">
        <v>54</v>
      </c>
      <c r="C85" s="116" t="s">
        <v>17</v>
      </c>
      <c r="D85" s="167" t="s">
        <v>29</v>
      </c>
      <c r="F85" s="146"/>
      <c r="G85" s="116" t="s">
        <v>54</v>
      </c>
      <c r="H85" s="116" t="s">
        <v>17</v>
      </c>
      <c r="I85" s="167" t="s">
        <v>29</v>
      </c>
    </row>
    <row r="86" spans="1:9" x14ac:dyDescent="0.25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5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5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5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5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5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5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5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5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5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5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5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5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5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5">
      <c r="A100" s="168" t="s">
        <v>63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5">
      <c r="A101" s="146" t="s">
        <v>64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5">
      <c r="A102" s="146" t="s">
        <v>65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5">
      <c r="A103" s="115" t="s">
        <v>66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5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5">
      <c r="A105" s="168" t="s">
        <v>67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5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5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5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5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5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5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8" thickBot="1" x14ac:dyDescent="0.3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8" thickTop="1" x14ac:dyDescent="0.25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5">
      <c r="F114" s="112"/>
      <c r="G114" s="352">
        <f>SUM(G86:G113)</f>
        <v>518833</v>
      </c>
      <c r="I114" s="189">
        <f>SUM(I86:I113)</f>
        <v>1056306.4799999997</v>
      </c>
    </row>
    <row r="115" spans="1:9" x14ac:dyDescent="0.25">
      <c r="F115" s="112"/>
    </row>
    <row r="116" spans="1:9" x14ac:dyDescent="0.25">
      <c r="F116" s="112"/>
    </row>
    <row r="117" spans="1:9" x14ac:dyDescent="0.25">
      <c r="F117" s="112"/>
    </row>
    <row r="118" spans="1:9" x14ac:dyDescent="0.25">
      <c r="A118" s="161" t="s">
        <v>25</v>
      </c>
      <c r="B118" s="157"/>
      <c r="C118" s="154"/>
      <c r="D118" s="142"/>
      <c r="E118" s="144"/>
      <c r="F118" s="112"/>
    </row>
    <row r="119" spans="1:9" x14ac:dyDescent="0.25">
      <c r="A119" s="161" t="s">
        <v>60</v>
      </c>
      <c r="B119" s="157"/>
      <c r="C119" s="154"/>
      <c r="D119" s="142"/>
      <c r="E119" s="144"/>
      <c r="F119" s="112"/>
    </row>
    <row r="120" spans="1:9" x14ac:dyDescent="0.25">
      <c r="A120" s="161" t="s">
        <v>61</v>
      </c>
      <c r="B120" s="157"/>
      <c r="C120" s="154"/>
      <c r="D120" s="142"/>
      <c r="E120" s="144"/>
      <c r="F120" s="112"/>
    </row>
    <row r="121" spans="1:9" x14ac:dyDescent="0.25">
      <c r="F121" s="112"/>
    </row>
    <row r="122" spans="1:9" x14ac:dyDescent="0.25">
      <c r="F122" s="112"/>
    </row>
    <row r="123" spans="1:9" x14ac:dyDescent="0.25">
      <c r="F123" s="112"/>
    </row>
    <row r="124" spans="1:9" x14ac:dyDescent="0.25">
      <c r="A124" s="145"/>
      <c r="B124" s="154" t="s">
        <v>15</v>
      </c>
      <c r="C124" s="154" t="s">
        <v>62</v>
      </c>
      <c r="D124" s="145"/>
      <c r="E124" s="144"/>
      <c r="F124" s="112"/>
    </row>
    <row r="125" spans="1:9" x14ac:dyDescent="0.25">
      <c r="A125" s="145"/>
      <c r="B125" s="181" t="s">
        <v>54</v>
      </c>
      <c r="C125" s="181" t="s">
        <v>17</v>
      </c>
      <c r="D125" s="182" t="s">
        <v>29</v>
      </c>
      <c r="E125" s="144"/>
      <c r="F125" s="112"/>
    </row>
    <row r="126" spans="1:9" x14ac:dyDescent="0.25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5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5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5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5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5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5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8" thickBot="1" x14ac:dyDescent="0.3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8" thickTop="1" x14ac:dyDescent="0.25">
      <c r="A134" s="145"/>
      <c r="B134" s="157"/>
      <c r="C134" s="154"/>
      <c r="D134" s="142"/>
      <c r="E134" s="144"/>
    </row>
    <row r="135" spans="1:7" x14ac:dyDescent="0.25">
      <c r="A135" s="145"/>
      <c r="B135" s="157">
        <v>110000</v>
      </c>
      <c r="C135" s="154"/>
      <c r="D135" s="142"/>
      <c r="E135" s="144"/>
    </row>
    <row r="136" spans="1:7" x14ac:dyDescent="0.25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5">
      <c r="A137" s="145"/>
      <c r="B137" s="157"/>
      <c r="C137" s="154"/>
      <c r="D137" s="183"/>
      <c r="E137" s="144"/>
    </row>
    <row r="138" spans="1:7" x14ac:dyDescent="0.25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5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5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5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5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5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5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5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5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5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5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5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5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5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5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5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5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5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5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5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5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5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5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5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5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5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5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5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5">
      <c r="B166" s="119">
        <f>SUM(B138:B165)</f>
        <v>311369</v>
      </c>
      <c r="C166" s="140">
        <f>SUM(C138:C165)</f>
        <v>388480.12000000011</v>
      </c>
      <c r="D166" s="34" t="s">
        <v>68</v>
      </c>
    </row>
    <row r="167" spans="1:5" x14ac:dyDescent="0.25">
      <c r="B167" s="187">
        <v>-300000</v>
      </c>
      <c r="C167" s="181">
        <v>-450000</v>
      </c>
      <c r="D167" s="34" t="s">
        <v>69</v>
      </c>
    </row>
    <row r="168" spans="1:5" x14ac:dyDescent="0.25">
      <c r="B168" s="119">
        <f>+B167+B166</f>
        <v>11369</v>
      </c>
      <c r="C168" s="140">
        <f>+C167+C166</f>
        <v>-61519.879999999888</v>
      </c>
      <c r="D168" s="34" t="s">
        <v>70</v>
      </c>
    </row>
    <row r="169" spans="1:5" x14ac:dyDescent="0.25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5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5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5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5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5">
      <c r="B174" s="119">
        <f>SUM(B168:B173)</f>
        <v>165547</v>
      </c>
      <c r="C174" s="140">
        <f>SUM(C168:C173)</f>
        <v>211345.15000000011</v>
      </c>
    </row>
    <row r="175" spans="1:5" x14ac:dyDescent="0.25">
      <c r="A175" s="139" t="s">
        <v>71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5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5">
      <c r="A178" s="139" t="s">
        <v>72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73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5">
      <c r="E306" s="34"/>
      <c r="F306" s="34"/>
    </row>
    <row r="307" spans="5:6" x14ac:dyDescent="0.25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19</vt:i4>
      </vt:variant>
    </vt:vector>
  </HeadingPairs>
  <TitlesOfParts>
    <vt:vector size="43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NNG!Print_Area</vt:lpstr>
      <vt:lpstr>NW!Print_Area</vt:lpstr>
      <vt:lpstr>Oasis!Print_Area</vt:lpstr>
      <vt:lpstr>'PG&amp;E'!Print_Area</vt:lpstr>
      <vt:lpstr>PGETX!Print_Area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2000-11-30T16:27:30Z</cp:lastPrinted>
  <dcterms:created xsi:type="dcterms:W3CDTF">2000-03-28T16:52:23Z</dcterms:created>
  <dcterms:modified xsi:type="dcterms:W3CDTF">2023-09-10T15:05:56Z</dcterms:modified>
</cp:coreProperties>
</file>