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599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<sst xmlns="http://schemas.openxmlformats.org/spreadsheetml/2006/main" count="369" uniqueCount="132">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</sst>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37" fontId="36" fillId="0" borderId="0" xfId="1" applyNumberFormat="1" applyFont="1" applyFill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7.97</v>
          </cell>
          <cell r="K39">
            <v>7.6</v>
          </cell>
          <cell r="M39">
            <v>7.84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topLeftCell="A6" workbookViewId="1">
      <selection activeCell="D17" sqref="D17"/>
    </sheetView>
  </sheetViews>
  <sheetFormatPr defaultRowHeight="13.2" x14ac:dyDescent="0.25"/>
  <cols>
    <col min="1" max="1" width="20.5546875" style="302" customWidth="1"/>
    <col min="2" max="2" width="11.88671875" style="254" customWidth="1"/>
    <col min="3" max="3" width="11.33203125" style="303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98</v>
      </c>
    </row>
    <row r="3" spans="1:16" ht="15.6" x14ac:dyDescent="0.3">
      <c r="A3" s="53" t="s">
        <v>93</v>
      </c>
    </row>
    <row r="4" spans="1:16" ht="15" customHeight="1" x14ac:dyDescent="0.3">
      <c r="A4" s="53" t="s">
        <v>95</v>
      </c>
    </row>
    <row r="5" spans="1:16" ht="15" customHeight="1" x14ac:dyDescent="0.3">
      <c r="A5" s="53" t="s">
        <v>94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</row>
    <row r="10" spans="1:16" ht="18" customHeight="1" x14ac:dyDescent="0.25"/>
    <row r="11" spans="1:16" ht="18" customHeight="1" x14ac:dyDescent="0.25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5">
      <c r="A12" s="302" t="s">
        <v>37</v>
      </c>
      <c r="B12" s="320">
        <f>+C12*$P$13</f>
        <v>1921270.4</v>
      </c>
      <c r="C12" s="321">
        <f>+'El Paso'!H38</f>
        <v>245060</v>
      </c>
      <c r="D12" s="65">
        <f>+'El Paso'!A38</f>
        <v>36879</v>
      </c>
      <c r="E12" t="s">
        <v>91</v>
      </c>
      <c r="F12" t="s">
        <v>113</v>
      </c>
      <c r="O12" s="314" t="s">
        <v>31</v>
      </c>
      <c r="P12" s="316">
        <f>+'[2]1200'!$K$39</f>
        <v>7.6</v>
      </c>
    </row>
    <row r="13" spans="1:16" ht="18" customHeight="1" x14ac:dyDescent="0.25">
      <c r="A13" s="302" t="s">
        <v>34</v>
      </c>
      <c r="B13" s="254">
        <f>+C13*$P$13</f>
        <v>1402168.3200000001</v>
      </c>
      <c r="C13" s="303">
        <f>+'PG&amp;E'!D40</f>
        <v>178848</v>
      </c>
      <c r="D13" s="65">
        <f>+'PG&amp;E'!A40</f>
        <v>36879</v>
      </c>
      <c r="E13" t="s">
        <v>91</v>
      </c>
      <c r="F13" t="s">
        <v>117</v>
      </c>
      <c r="O13" s="315" t="s">
        <v>32</v>
      </c>
      <c r="P13" s="317">
        <f>+'[2]1200'!$M$39</f>
        <v>7.84</v>
      </c>
    </row>
    <row r="14" spans="1:16" ht="18" customHeight="1" x14ac:dyDescent="0.25">
      <c r="A14" s="302" t="s">
        <v>99</v>
      </c>
      <c r="B14" s="320">
        <f>+C14*$P$13</f>
        <v>1199990.3999999999</v>
      </c>
      <c r="C14" s="321">
        <f>+NGPL!F38</f>
        <v>153060</v>
      </c>
      <c r="D14" s="65">
        <f>+NGPL!A38</f>
        <v>36879</v>
      </c>
      <c r="E14" t="s">
        <v>91</v>
      </c>
      <c r="F14" t="s">
        <v>114</v>
      </c>
    </row>
    <row r="15" spans="1:16" ht="18" customHeight="1" x14ac:dyDescent="0.25">
      <c r="A15" s="302" t="s">
        <v>89</v>
      </c>
      <c r="B15" s="320">
        <f>+PNM!$D$23</f>
        <v>687997.52</v>
      </c>
      <c r="C15" s="321">
        <f>+B15/$P$13</f>
        <v>87754.785714285725</v>
      </c>
      <c r="D15" s="65">
        <f>+PNM!A23</f>
        <v>36879</v>
      </c>
      <c r="E15" t="s">
        <v>92</v>
      </c>
      <c r="F15" t="s">
        <v>113</v>
      </c>
    </row>
    <row r="16" spans="1:16" ht="18" customHeight="1" x14ac:dyDescent="0.25">
      <c r="A16" s="302" t="s">
        <v>105</v>
      </c>
      <c r="B16" s="254">
        <f>+C16*$P$13</f>
        <v>684776.95999999996</v>
      </c>
      <c r="C16" s="303">
        <f>+Mojave!D40</f>
        <v>87344</v>
      </c>
      <c r="D16" s="65">
        <f>+Mojave!A40</f>
        <v>36879</v>
      </c>
      <c r="E16" t="s">
        <v>91</v>
      </c>
      <c r="F16" t="s">
        <v>113</v>
      </c>
    </row>
    <row r="17" spans="1:7" ht="18" customHeight="1" x14ac:dyDescent="0.25">
      <c r="A17" s="302" t="s">
        <v>2</v>
      </c>
      <c r="B17" s="320">
        <f>+mewborne!$J$43</f>
        <v>577367.32999999996</v>
      </c>
      <c r="C17" s="321">
        <f>+B17/$P$13</f>
        <v>73643.792091836731</v>
      </c>
      <c r="D17" s="65">
        <f>+mewborne!A43</f>
        <v>36879</v>
      </c>
      <c r="E17" t="s">
        <v>92</v>
      </c>
      <c r="F17" t="s">
        <v>114</v>
      </c>
    </row>
    <row r="18" spans="1:7" ht="18" customHeight="1" x14ac:dyDescent="0.25">
      <c r="A18" s="302" t="s">
        <v>8</v>
      </c>
      <c r="B18" s="320">
        <f>+C18*$P$13</f>
        <v>558192.31999999995</v>
      </c>
      <c r="C18" s="321">
        <f>+Oasis!D40</f>
        <v>71198</v>
      </c>
      <c r="D18" s="65">
        <f>+Oasis!B40</f>
        <v>36879</v>
      </c>
      <c r="E18" t="s">
        <v>91</v>
      </c>
      <c r="F18" t="s">
        <v>117</v>
      </c>
    </row>
    <row r="19" spans="1:7" ht="18" customHeight="1" x14ac:dyDescent="0.25">
      <c r="A19" s="352" t="s">
        <v>106</v>
      </c>
      <c r="B19" s="320">
        <f>+burlington!D42</f>
        <v>438565.6</v>
      </c>
      <c r="C19" s="321">
        <f>+B19/$P$12</f>
        <v>57706</v>
      </c>
      <c r="D19" s="328">
        <f>+burlington!A42</f>
        <v>36879</v>
      </c>
      <c r="E19" s="325" t="s">
        <v>92</v>
      </c>
      <c r="F19" t="s">
        <v>114</v>
      </c>
      <c r="G19" t="s">
        <v>130</v>
      </c>
    </row>
    <row r="20" spans="1:7" ht="18" customHeight="1" x14ac:dyDescent="0.25">
      <c r="A20" s="302" t="s">
        <v>119</v>
      </c>
      <c r="B20" s="254">
        <f>+Duke!C62</f>
        <v>216599.56999999995</v>
      </c>
      <c r="C20" s="303">
        <f>+B20/$P$13</f>
        <v>27627.496173469382</v>
      </c>
      <c r="D20" s="65">
        <f>+Duke!A40</f>
        <v>36879</v>
      </c>
      <c r="E20" t="s">
        <v>92</v>
      </c>
      <c r="F20" t="s">
        <v>112</v>
      </c>
    </row>
    <row r="21" spans="1:7" ht="18" customHeight="1" x14ac:dyDescent="0.25">
      <c r="A21" s="302" t="s">
        <v>124</v>
      </c>
      <c r="B21" s="320">
        <f>+KN_Westar!D41</f>
        <v>205559.66</v>
      </c>
      <c r="C21" s="321">
        <f>+B21/$P$13</f>
        <v>26219.344387755104</v>
      </c>
      <c r="D21" s="65">
        <f>+KN_Westar!A41</f>
        <v>36879</v>
      </c>
      <c r="E21" t="s">
        <v>92</v>
      </c>
      <c r="F21" t="s">
        <v>115</v>
      </c>
    </row>
    <row r="22" spans="1:7" ht="18" customHeight="1" x14ac:dyDescent="0.25">
      <c r="A22" s="302" t="s">
        <v>97</v>
      </c>
      <c r="B22" s="320">
        <f>+NNG!$D$24</f>
        <v>184836.93</v>
      </c>
      <c r="C22" s="321">
        <f>+B22/$P$13</f>
        <v>23576.139030612245</v>
      </c>
      <c r="D22" s="65">
        <f>+NNG!A24</f>
        <v>36879</v>
      </c>
      <c r="E22" t="s">
        <v>92</v>
      </c>
      <c r="F22" t="s">
        <v>115</v>
      </c>
    </row>
    <row r="23" spans="1:7" ht="18" customHeight="1" x14ac:dyDescent="0.25">
      <c r="A23" s="302" t="s">
        <v>77</v>
      </c>
      <c r="B23" s="360">
        <f>+transcol!$D$43</f>
        <v>137466.13</v>
      </c>
      <c r="C23" s="321">
        <f>+B23/$P$13</f>
        <v>17533.945153061224</v>
      </c>
      <c r="D23" s="65">
        <f>+transcol!A43</f>
        <v>36879</v>
      </c>
      <c r="E23" t="s">
        <v>92</v>
      </c>
      <c r="F23" t="s">
        <v>114</v>
      </c>
    </row>
    <row r="24" spans="1:7" ht="18" customHeight="1" x14ac:dyDescent="0.25">
      <c r="A24" s="302" t="s">
        <v>35</v>
      </c>
      <c r="B24" s="320">
        <f>+C24*$P$13</f>
        <v>107219.84</v>
      </c>
      <c r="C24" s="321">
        <f>+SoCal!D40</f>
        <v>13676</v>
      </c>
      <c r="D24" s="65">
        <f>+SoCal!A40</f>
        <v>36879</v>
      </c>
      <c r="E24" t="s">
        <v>91</v>
      </c>
      <c r="F24" t="s">
        <v>113</v>
      </c>
    </row>
    <row r="25" spans="1:7" ht="18" customHeight="1" x14ac:dyDescent="0.25">
      <c r="A25" s="302" t="s">
        <v>3</v>
      </c>
      <c r="B25" s="320">
        <f>+'Amoco Abo'!$D$43</f>
        <v>51492.97</v>
      </c>
      <c r="C25" s="321">
        <f>+B25/$P$13</f>
        <v>6567.9808673469388</v>
      </c>
      <c r="D25" s="65">
        <f>+'Amoco Abo'!A43</f>
        <v>36879</v>
      </c>
      <c r="E25" t="s">
        <v>92</v>
      </c>
      <c r="F25" t="s">
        <v>112</v>
      </c>
    </row>
    <row r="26" spans="1:7" ht="18" customHeight="1" x14ac:dyDescent="0.25">
      <c r="A26" s="302" t="s">
        <v>36</v>
      </c>
      <c r="B26" s="320">
        <f>+PGETX!$H$39</f>
        <v>43827.72</v>
      </c>
      <c r="C26" s="321">
        <f>+B26/$P$13</f>
        <v>5590.2704081632655</v>
      </c>
      <c r="D26" s="65">
        <f>+PGETX!E39</f>
        <v>36879</v>
      </c>
      <c r="E26" t="s">
        <v>92</v>
      </c>
      <c r="F26" t="s">
        <v>117</v>
      </c>
      <c r="G26" t="s">
        <v>111</v>
      </c>
    </row>
    <row r="27" spans="1:7" ht="18" customHeight="1" x14ac:dyDescent="0.25">
      <c r="A27" s="302" t="s">
        <v>33</v>
      </c>
      <c r="B27" s="359">
        <f>+C27*$P$13</f>
        <v>38321.919999999998</v>
      </c>
      <c r="C27" s="345">
        <f>+Lonestar!F42</f>
        <v>4888</v>
      </c>
      <c r="D27" s="328">
        <f>+Lonestar!B42</f>
        <v>36879</v>
      </c>
      <c r="E27" t="s">
        <v>91</v>
      </c>
      <c r="F27" t="s">
        <v>117</v>
      </c>
    </row>
    <row r="28" spans="1:7" ht="18" customHeight="1" x14ac:dyDescent="0.25">
      <c r="A28" s="302" t="s">
        <v>107</v>
      </c>
      <c r="B28" s="254">
        <f>SUM(B12:B27)</f>
        <v>8455653.589999998</v>
      </c>
      <c r="C28" s="303">
        <f>SUM(C12:C27)</f>
        <v>1080293.7538265307</v>
      </c>
    </row>
    <row r="29" spans="1:7" ht="18" customHeight="1" x14ac:dyDescent="0.25"/>
    <row r="30" spans="1:7" ht="18" customHeight="1" x14ac:dyDescent="0.25"/>
    <row r="31" spans="1:7" ht="18" customHeight="1" x14ac:dyDescent="0.25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5">
      <c r="A32" s="302" t="s">
        <v>1</v>
      </c>
      <c r="B32" s="320">
        <f>+C32*$P$12</f>
        <v>-1000935.2</v>
      </c>
      <c r="C32" s="321">
        <f>+NW!$F$41</f>
        <v>-131702</v>
      </c>
      <c r="D32" s="328">
        <f>+NW!B41</f>
        <v>36879</v>
      </c>
      <c r="E32" t="s">
        <v>91</v>
      </c>
      <c r="F32" t="s">
        <v>113</v>
      </c>
    </row>
    <row r="33" spans="1:7" ht="18" customHeight="1" x14ac:dyDescent="0.25">
      <c r="A33" s="302" t="s">
        <v>86</v>
      </c>
      <c r="B33" s="320">
        <f>+Conoco!$F$41</f>
        <v>-525016.01999999979</v>
      </c>
      <c r="C33" s="321">
        <f>+B33/$P$12</f>
        <v>-69081.055263157876</v>
      </c>
      <c r="D33" s="65">
        <f>+Conoco!A41</f>
        <v>36879</v>
      </c>
      <c r="E33" t="s">
        <v>92</v>
      </c>
      <c r="F33" t="s">
        <v>114</v>
      </c>
    </row>
    <row r="34" spans="1:7" ht="18" customHeight="1" x14ac:dyDescent="0.25">
      <c r="A34" s="302" t="s">
        <v>120</v>
      </c>
      <c r="B34" s="320">
        <f>+EOG!J41</f>
        <v>-494060.63999999996</v>
      </c>
      <c r="C34" s="321">
        <f>+B34/$P$13</f>
        <v>-63017.9387755102</v>
      </c>
      <c r="D34" s="328">
        <f>+EOG!A41</f>
        <v>36879</v>
      </c>
      <c r="E34" t="s">
        <v>92</v>
      </c>
      <c r="F34" t="s">
        <v>117</v>
      </c>
    </row>
    <row r="35" spans="1:7" ht="18" customHeight="1" x14ac:dyDescent="0.25">
      <c r="A35" s="302" t="s">
        <v>7</v>
      </c>
      <c r="B35" s="320">
        <f>+C35*$P$12</f>
        <v>-283396.39999999997</v>
      </c>
      <c r="C35" s="321">
        <f>+Amoco!D40</f>
        <v>-37289</v>
      </c>
      <c r="D35" s="65">
        <f>+Amoco!A40</f>
        <v>36879</v>
      </c>
      <c r="E35" t="s">
        <v>91</v>
      </c>
      <c r="F35" t="s">
        <v>114</v>
      </c>
    </row>
    <row r="36" spans="1:7" ht="18" customHeight="1" x14ac:dyDescent="0.25">
      <c r="A36" s="34" t="s">
        <v>125</v>
      </c>
      <c r="B36" s="320">
        <f>+[1]summary!$C$42+[1]summary!$C$43+55549*7.66</f>
        <v>-228084.46000000002</v>
      </c>
      <c r="C36" s="321">
        <f>+B36/$P$13</f>
        <v>-29092.4056122449</v>
      </c>
      <c r="D36" s="65">
        <v>36874</v>
      </c>
      <c r="E36" t="s">
        <v>92</v>
      </c>
      <c r="F36" t="s">
        <v>112</v>
      </c>
      <c r="G36" s="34"/>
    </row>
    <row r="37" spans="1:7" ht="18" customHeight="1" x14ac:dyDescent="0.25">
      <c r="A37" s="302" t="s">
        <v>30</v>
      </c>
      <c r="B37" s="320">
        <f>+C37*$P$12</f>
        <v>-184611.6</v>
      </c>
      <c r="C37" s="321">
        <f>+williams!J40</f>
        <v>-24291</v>
      </c>
      <c r="D37" s="65">
        <f>+williams!A40</f>
        <v>36879</v>
      </c>
      <c r="E37" t="s">
        <v>91</v>
      </c>
      <c r="F37" t="s">
        <v>118</v>
      </c>
    </row>
    <row r="38" spans="1:7" ht="18" customHeight="1" x14ac:dyDescent="0.25">
      <c r="A38" s="302" t="s">
        <v>127</v>
      </c>
      <c r="B38" s="320">
        <f>+Continental!F43</f>
        <v>-173860.11</v>
      </c>
      <c r="C38" s="321">
        <f>+B38/$P$13</f>
        <v>-22176.03443877551</v>
      </c>
      <c r="D38" s="65">
        <f>+Continental!A43</f>
        <v>36879</v>
      </c>
      <c r="E38" t="s">
        <v>92</v>
      </c>
      <c r="F38" t="s">
        <v>114</v>
      </c>
    </row>
    <row r="39" spans="1:7" ht="18" customHeight="1" x14ac:dyDescent="0.25">
      <c r="A39" s="302" t="s">
        <v>128</v>
      </c>
      <c r="B39" s="320">
        <f>+CIG!D43</f>
        <v>-103491.38</v>
      </c>
      <c r="C39" s="321">
        <f>+B39/$P$13</f>
        <v>-13200.431122448981</v>
      </c>
      <c r="D39" s="65">
        <f>+CIG!A43</f>
        <v>36879</v>
      </c>
      <c r="E39" t="s">
        <v>92</v>
      </c>
      <c r="F39" t="s">
        <v>114</v>
      </c>
    </row>
    <row r="40" spans="1:7" ht="18" customHeight="1" x14ac:dyDescent="0.25">
      <c r="A40" s="302" t="s">
        <v>25</v>
      </c>
      <c r="B40" s="360">
        <f>+'Red C'!$D$43</f>
        <v>-37835.42</v>
      </c>
      <c r="C40" s="401">
        <f>+B40/$P$12</f>
        <v>-4978.3447368421057</v>
      </c>
      <c r="D40" s="328">
        <f>+'Red C'!B43</f>
        <v>36879</v>
      </c>
      <c r="E40" t="s">
        <v>92</v>
      </c>
      <c r="F40" t="s">
        <v>114</v>
      </c>
    </row>
    <row r="41" spans="1:7" ht="18" customHeight="1" x14ac:dyDescent="0.25">
      <c r="A41" s="352" t="s">
        <v>85</v>
      </c>
      <c r="B41" s="359">
        <f>+Agave!$D$24</f>
        <v>-6001.0199999999895</v>
      </c>
      <c r="C41" s="345">
        <f>+B41/$P$13</f>
        <v>-765.43622448979454</v>
      </c>
      <c r="D41" s="328">
        <f>+Agave!A24</f>
        <v>36879</v>
      </c>
      <c r="E41" s="325" t="s">
        <v>92</v>
      </c>
      <c r="F41" t="s">
        <v>117</v>
      </c>
    </row>
    <row r="42" spans="1:7" ht="18" customHeight="1" x14ac:dyDescent="0.25">
      <c r="A42" s="302" t="s">
        <v>108</v>
      </c>
      <c r="B42" s="320">
        <f>SUM(B32:B41)</f>
        <v>-3037292.2499999995</v>
      </c>
      <c r="C42" s="321">
        <f>SUM(C32:C41)</f>
        <v>-395593.64617346937</v>
      </c>
      <c r="D42" s="325"/>
    </row>
    <row r="43" spans="1:7" ht="18" customHeight="1" x14ac:dyDescent="0.25">
      <c r="B43" s="320"/>
      <c r="C43" s="321"/>
    </row>
    <row r="44" spans="1:7" ht="18" customHeight="1" x14ac:dyDescent="0.25"/>
    <row r="45" spans="1:7" ht="18" customHeight="1" thickBot="1" x14ac:dyDescent="0.3">
      <c r="A45" s="34" t="s">
        <v>102</v>
      </c>
      <c r="B45" s="318">
        <f>+B42+B28</f>
        <v>5418361.339999998</v>
      </c>
      <c r="C45" s="319">
        <f>+C42+C28</f>
        <v>684700.10765306128</v>
      </c>
    </row>
    <row r="46" spans="1:7" ht="18" customHeight="1" thickTop="1" x14ac:dyDescent="0.25"/>
    <row r="47" spans="1:7" x14ac:dyDescent="0.25">
      <c r="C47" s="367"/>
    </row>
    <row r="53" spans="1:5" x14ac:dyDescent="0.25">
      <c r="C53" s="261"/>
      <c r="E53" s="364"/>
    </row>
    <row r="57" spans="1:5" x14ac:dyDescent="0.25">
      <c r="A57" s="34" t="s">
        <v>103</v>
      </c>
    </row>
    <row r="60" spans="1:5" x14ac:dyDescent="0.25">
      <c r="B60" s="322"/>
      <c r="C60" s="344"/>
    </row>
    <row r="61" spans="1:5" x14ac:dyDescent="0.25">
      <c r="B61" s="261"/>
    </row>
    <row r="62" spans="1:5" x14ac:dyDescent="0.25">
      <c r="B62" s="261"/>
    </row>
    <row r="63" spans="1:5" x14ac:dyDescent="0.25">
      <c r="B63" s="261"/>
    </row>
    <row r="64" spans="1:5" x14ac:dyDescent="0.25">
      <c r="B64" s="261"/>
      <c r="D64" s="64"/>
    </row>
    <row r="65" spans="2:5" x14ac:dyDescent="0.25">
      <c r="B65" s="261"/>
      <c r="C65" s="367"/>
    </row>
    <row r="66" spans="2:5" x14ac:dyDescent="0.25">
      <c r="B66" s="261"/>
      <c r="C66" s="367"/>
      <c r="D66" s="357"/>
      <c r="E66" s="369"/>
    </row>
    <row r="67" spans="2:5" x14ac:dyDescent="0.25">
      <c r="B67" s="261"/>
      <c r="C67" s="367"/>
      <c r="D67" s="272"/>
    </row>
    <row r="68" spans="2:5" x14ac:dyDescent="0.25">
      <c r="B68" s="261"/>
      <c r="C68" s="367"/>
      <c r="D68" s="272"/>
    </row>
    <row r="69" spans="2:5" x14ac:dyDescent="0.25">
      <c r="B69" s="261"/>
      <c r="C69" s="367"/>
      <c r="D69" s="31"/>
    </row>
    <row r="70" spans="2:5" x14ac:dyDescent="0.25">
      <c r="B70" s="261"/>
      <c r="C70" s="367"/>
      <c r="D70" s="370"/>
    </row>
    <row r="71" spans="2:5" x14ac:dyDescent="0.25">
      <c r="B71" s="358"/>
    </row>
    <row r="72" spans="2:5" x14ac:dyDescent="0.25">
      <c r="B72" s="358"/>
      <c r="D72" s="64"/>
    </row>
    <row r="73" spans="2:5" x14ac:dyDescent="0.25">
      <c r="B73" s="357"/>
      <c r="C73" s="261"/>
    </row>
    <row r="74" spans="2:5" x14ac:dyDescent="0.25">
      <c r="B74" s="357"/>
      <c r="C74" s="261"/>
    </row>
    <row r="75" spans="2:5" x14ac:dyDescent="0.25">
      <c r="B75" s="358"/>
      <c r="C75" s="261"/>
      <c r="D75" s="64"/>
    </row>
    <row r="76" spans="2:5" x14ac:dyDescent="0.25">
      <c r="B76" s="358"/>
      <c r="D76" s="64"/>
    </row>
    <row r="77" spans="2:5" x14ac:dyDescent="0.25">
      <c r="B77" s="358"/>
    </row>
    <row r="78" spans="2:5" x14ac:dyDescent="0.25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7" sqref="B4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5">
      <c r="A36" s="12"/>
      <c r="B36" s="24">
        <f>SUM(B5:B35)</f>
        <v>325373</v>
      </c>
      <c r="C36" s="24">
        <f>SUM(C5:C35)</f>
        <v>326512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5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5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8" thickBot="1" x14ac:dyDescent="0.3">
      <c r="B40" s="257">
        <v>36879</v>
      </c>
      <c r="C40" s="24"/>
      <c r="D40" s="195">
        <f>+D36+D38</f>
        <v>71198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8" thickTop="1" x14ac:dyDescent="0.25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5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5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5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27720</v>
      </c>
      <c r="C22" s="11">
        <v>30000</v>
      </c>
      <c r="D22" s="11">
        <v>34470</v>
      </c>
      <c r="E22" s="11">
        <v>28000</v>
      </c>
      <c r="F22" s="25">
        <f t="shared" si="0"/>
        <v>-4190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521383</v>
      </c>
      <c r="C35" s="11">
        <f>SUM(C4:C34)</f>
        <v>569652</v>
      </c>
      <c r="D35" s="11">
        <f>SUM(D4:D34)</f>
        <v>569764</v>
      </c>
      <c r="E35" s="11">
        <f>SUM(E4:E34)</f>
        <v>509188</v>
      </c>
      <c r="F35" s="11">
        <f>+E35-D35+C35-B35</f>
        <v>-12307</v>
      </c>
    </row>
    <row r="36" spans="1:7" x14ac:dyDescent="0.2">
      <c r="A36" s="45"/>
      <c r="C36" s="14">
        <f>+C35-B35</f>
        <v>48269</v>
      </c>
      <c r="D36" s="14"/>
      <c r="E36" s="14">
        <f>+E35-D35</f>
        <v>-60576</v>
      </c>
      <c r="F36" s="47"/>
    </row>
    <row r="37" spans="1:7" x14ac:dyDescent="0.2">
      <c r="C37" s="15">
        <f>+summary!P13</f>
        <v>7.84</v>
      </c>
      <c r="D37" s="15"/>
      <c r="E37" s="15">
        <f>+C37</f>
        <v>7.84</v>
      </c>
      <c r="F37" s="24"/>
    </row>
    <row r="38" spans="1:7" x14ac:dyDescent="0.2">
      <c r="C38" s="48">
        <f>+C37*C36</f>
        <v>378428.96</v>
      </c>
      <c r="D38" s="47"/>
      <c r="E38" s="48">
        <f>+E37*E36</f>
        <v>-474915.83999999997</v>
      </c>
      <c r="F38" s="46">
        <f>+E38+C38</f>
        <v>-96486.879999999946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36879</v>
      </c>
      <c r="C41" s="50">
        <f>+C40+C38</f>
        <v>1000767.74</v>
      </c>
      <c r="D41" s="50"/>
      <c r="E41" s="50">
        <f>+E40+E38</f>
        <v>-1525783.7599999998</v>
      </c>
      <c r="F41" s="106">
        <f>+E41+C41</f>
        <v>-525016.01999999979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24" sqref="C24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56339</v>
      </c>
      <c r="B5" s="371">
        <v>679026</v>
      </c>
      <c r="C5" s="90">
        <v>643988</v>
      </c>
      <c r="D5" s="90">
        <f>+C5-B5</f>
        <v>-35038</v>
      </c>
      <c r="E5" s="292"/>
      <c r="F5" s="29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71">
        <f>480572+24777</f>
        <v>505349</v>
      </c>
      <c r="C7" s="90">
        <v>560273</v>
      </c>
      <c r="D7" s="90">
        <f t="shared" si="0"/>
        <v>54924</v>
      </c>
      <c r="E7" s="292"/>
      <c r="F7" s="290"/>
      <c r="L7" t="s">
        <v>27</v>
      </c>
      <c r="M7">
        <v>7.6</v>
      </c>
    </row>
    <row r="8" spans="1:13" x14ac:dyDescent="0.25">
      <c r="A8" s="87">
        <v>500239</v>
      </c>
      <c r="B8" s="371">
        <v>677301</v>
      </c>
      <c r="C8" s="90">
        <v>698016</v>
      </c>
      <c r="D8" s="90">
        <f t="shared" si="0"/>
        <v>20715</v>
      </c>
      <c r="E8" s="292"/>
      <c r="F8" s="290"/>
    </row>
    <row r="9" spans="1:13" x14ac:dyDescent="0.25">
      <c r="A9" s="87">
        <v>500293</v>
      </c>
      <c r="B9" s="371">
        <v>371425</v>
      </c>
      <c r="C9" s="90">
        <v>463716</v>
      </c>
      <c r="D9" s="90">
        <f t="shared" si="0"/>
        <v>92291</v>
      </c>
      <c r="E9" s="292"/>
      <c r="F9" s="290"/>
    </row>
    <row r="10" spans="1:13" x14ac:dyDescent="0.25">
      <c r="A10" s="87">
        <v>500302</v>
      </c>
      <c r="B10" s="90"/>
      <c r="C10" s="90">
        <v>6042</v>
      </c>
      <c r="D10" s="90">
        <f t="shared" si="0"/>
        <v>6042</v>
      </c>
      <c r="E10" s="292"/>
      <c r="F10" s="290"/>
    </row>
    <row r="11" spans="1:13" x14ac:dyDescent="0.25">
      <c r="A11" s="87">
        <v>500303</v>
      </c>
      <c r="B11" s="371">
        <v>216744</v>
      </c>
      <c r="C11" s="90">
        <v>182594</v>
      </c>
      <c r="D11" s="90">
        <f t="shared" si="0"/>
        <v>-34150</v>
      </c>
      <c r="E11" s="292"/>
      <c r="F11" s="290"/>
    </row>
    <row r="12" spans="1:13" x14ac:dyDescent="0.25">
      <c r="A12" s="91">
        <v>500305</v>
      </c>
      <c r="B12" s="371">
        <v>1049416</v>
      </c>
      <c r="C12" s="90">
        <v>1018512</v>
      </c>
      <c r="D12" s="90">
        <f t="shared" si="0"/>
        <v>-30904</v>
      </c>
      <c r="E12" s="293"/>
      <c r="F12" s="290"/>
    </row>
    <row r="13" spans="1:13" x14ac:dyDescent="0.25">
      <c r="A13" s="87">
        <v>500307</v>
      </c>
      <c r="B13" s="90">
        <v>27100</v>
      </c>
      <c r="C13" s="90">
        <v>42009</v>
      </c>
      <c r="D13" s="90">
        <f t="shared" si="0"/>
        <v>14909</v>
      </c>
      <c r="E13" s="292"/>
      <c r="F13" s="290"/>
    </row>
    <row r="14" spans="1:13" x14ac:dyDescent="0.25">
      <c r="A14" s="87">
        <v>500313</v>
      </c>
      <c r="B14" s="90"/>
      <c r="C14" s="342">
        <v>2398</v>
      </c>
      <c r="D14" s="90">
        <f t="shared" si="0"/>
        <v>2398</v>
      </c>
      <c r="E14" s="292"/>
      <c r="F14" s="29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5">
      <c r="A16" s="87">
        <v>500655</v>
      </c>
      <c r="B16" s="371">
        <v>42094</v>
      </c>
      <c r="C16" s="90"/>
      <c r="D16" s="90">
        <f t="shared" si="0"/>
        <v>-42094</v>
      </c>
      <c r="E16" s="292"/>
      <c r="F16" s="290"/>
    </row>
    <row r="17" spans="1:6" x14ac:dyDescent="0.25">
      <c r="A17" s="87">
        <v>500657</v>
      </c>
      <c r="B17" s="372">
        <v>189761</v>
      </c>
      <c r="C17" s="88">
        <v>155475</v>
      </c>
      <c r="D17" s="94">
        <f t="shared" si="0"/>
        <v>-34286</v>
      </c>
      <c r="E17" s="292"/>
      <c r="F17" s="290"/>
    </row>
    <row r="18" spans="1:6" x14ac:dyDescent="0.25">
      <c r="A18" s="87"/>
      <c r="B18" s="88"/>
      <c r="C18" s="88"/>
      <c r="D18" s="88">
        <f>SUM(D5:D17)</f>
        <v>14807</v>
      </c>
      <c r="E18" s="292"/>
      <c r="F18" s="290"/>
    </row>
    <row r="19" spans="1:6" x14ac:dyDescent="0.25">
      <c r="A19" s="87" t="s">
        <v>88</v>
      </c>
      <c r="B19" s="88"/>
      <c r="C19" s="88"/>
      <c r="D19" s="95">
        <f>+summary!P13</f>
        <v>7.84</v>
      </c>
      <c r="E19" s="294"/>
      <c r="F19" s="290"/>
    </row>
    <row r="20" spans="1:6" x14ac:dyDescent="0.25">
      <c r="A20" s="87"/>
      <c r="B20" s="88"/>
      <c r="C20" s="88"/>
      <c r="D20" s="96">
        <f>+D19*D18</f>
        <v>116086.88</v>
      </c>
      <c r="E20" s="209"/>
      <c r="F20" s="29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5">
      <c r="A23" s="87"/>
      <c r="B23" s="88"/>
      <c r="C23" s="88"/>
      <c r="D23" s="96"/>
      <c r="E23" s="209"/>
      <c r="F23" s="66"/>
    </row>
    <row r="24" spans="1:6" ht="13.8" thickBot="1" x14ac:dyDescent="0.3">
      <c r="A24" s="99">
        <v>36879</v>
      </c>
      <c r="B24" s="88"/>
      <c r="C24" s="88"/>
      <c r="D24" s="98">
        <f>+D22+D20</f>
        <v>-6001.0199999999895</v>
      </c>
      <c r="E24" s="209"/>
      <c r="F24" s="66"/>
    </row>
    <row r="25" spans="1:6" ht="13.8" thickTop="1" x14ac:dyDescent="0.25">
      <c r="E25" s="295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C49" sqref="C4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2812779</v>
      </c>
      <c r="C36" s="11">
        <f>SUM(C5:C35)</f>
        <v>3244471</v>
      </c>
      <c r="D36" s="11"/>
      <c r="E36" s="11">
        <f>SUM(E5:E35)</f>
        <v>487962</v>
      </c>
      <c r="F36" s="11">
        <f>SUM(F5:F35)</f>
        <v>-56270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36879</v>
      </c>
      <c r="F41" s="282">
        <f>+F39+F36</f>
        <v>-131702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80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4" sqref="C2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77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5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5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5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5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5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5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5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5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5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5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5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5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5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5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5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5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5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5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463706</v>
      </c>
      <c r="C39" s="11">
        <f>SUM(C8:C38)</f>
        <v>469041</v>
      </c>
      <c r="D39" s="11">
        <f>SUM(D8:D38)</f>
        <v>5335</v>
      </c>
      <c r="E39" s="10"/>
      <c r="F39" s="11"/>
      <c r="G39" s="11"/>
      <c r="H39" s="11"/>
    </row>
    <row r="40" spans="1:8" x14ac:dyDescent="0.25">
      <c r="A40" s="26"/>
      <c r="D40" s="75">
        <f>+summary!P13</f>
        <v>7.84</v>
      </c>
      <c r="E40" s="26"/>
      <c r="H40" s="75"/>
    </row>
    <row r="41" spans="1:8" x14ac:dyDescent="0.25">
      <c r="D41" s="197">
        <f>+D40*D39</f>
        <v>41826.400000000001</v>
      </c>
      <c r="F41" s="254"/>
      <c r="H41" s="197"/>
    </row>
    <row r="42" spans="1:8" x14ac:dyDescent="0.25">
      <c r="A42" s="57">
        <v>36860</v>
      </c>
      <c r="D42" s="389">
        <v>95639.73</v>
      </c>
      <c r="E42" s="57"/>
      <c r="H42" s="197"/>
    </row>
    <row r="43" spans="1:8" x14ac:dyDescent="0.25">
      <c r="A43" s="57">
        <v>36879</v>
      </c>
      <c r="D43" s="198">
        <f>+D42+D41</f>
        <v>137466.13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topLeftCell="A39" workbookViewId="1">
      <selection activeCell="A41" sqref="A4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9.109375" style="32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104</v>
      </c>
      <c r="G2" s="32"/>
      <c r="H2" s="15"/>
      <c r="I2" s="32"/>
      <c r="J2" s="32"/>
    </row>
    <row r="3" spans="1:10" x14ac:dyDescent="0.25">
      <c r="A3" s="2" t="s">
        <v>78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36860</v>
      </c>
      <c r="C5" s="390">
        <v>-208801.6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36879</v>
      </c>
      <c r="G7" s="32"/>
      <c r="H7" s="15"/>
      <c r="I7" s="32"/>
      <c r="J7" s="32"/>
    </row>
    <row r="8" spans="1:10" x14ac:dyDescent="0.25">
      <c r="A8" s="255">
        <v>60874</v>
      </c>
      <c r="B8" s="355">
        <v>2038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373">
        <f>20847-19319</f>
        <v>1528</v>
      </c>
      <c r="G10" s="32"/>
      <c r="H10" s="15"/>
      <c r="I10" s="32"/>
      <c r="J10" s="32"/>
    </row>
    <row r="11" spans="1:10" x14ac:dyDescent="0.25">
      <c r="A11" s="255">
        <v>500251</v>
      </c>
      <c r="B11" s="355">
        <f>8104-9421</f>
        <v>-1317</v>
      </c>
      <c r="G11" s="32"/>
      <c r="H11" s="15"/>
      <c r="I11" s="32"/>
      <c r="J11" s="32"/>
    </row>
    <row r="12" spans="1:10" x14ac:dyDescent="0.25">
      <c r="A12" s="255">
        <v>500254</v>
      </c>
      <c r="B12" s="212">
        <f>1142-621</f>
        <v>521</v>
      </c>
      <c r="G12" s="32"/>
      <c r="H12" s="15"/>
      <c r="I12" s="32"/>
      <c r="J12" s="32"/>
    </row>
    <row r="13" spans="1:10" x14ac:dyDescent="0.25">
      <c r="A13" s="32">
        <v>500255</v>
      </c>
      <c r="B13" s="273">
        <f>11893-17857</f>
        <v>-5964</v>
      </c>
      <c r="G13" s="32"/>
      <c r="H13" s="15"/>
      <c r="I13" s="32"/>
      <c r="J13" s="32"/>
    </row>
    <row r="14" spans="1:10" x14ac:dyDescent="0.25">
      <c r="A14" s="32">
        <v>500262</v>
      </c>
      <c r="B14" s="355">
        <f>6068-5350</f>
        <v>718</v>
      </c>
      <c r="G14" s="32"/>
      <c r="H14" s="15"/>
      <c r="I14" s="32"/>
      <c r="J14" s="32"/>
    </row>
    <row r="15" spans="1:10" x14ac:dyDescent="0.25">
      <c r="A15" s="297">
        <v>500267</v>
      </c>
      <c r="B15" s="356">
        <f>556829-603191</f>
        <v>-46362</v>
      </c>
      <c r="G15" s="32"/>
      <c r="H15" s="15"/>
      <c r="I15" s="32"/>
      <c r="J15" s="32"/>
    </row>
    <row r="16" spans="1:10" x14ac:dyDescent="0.25">
      <c r="B16" s="14">
        <f>SUM(B8:B15)</f>
        <v>-48838</v>
      </c>
      <c r="G16" s="32"/>
      <c r="H16" s="15"/>
      <c r="I16" s="32"/>
      <c r="J16" s="32"/>
    </row>
    <row r="17" spans="1:10" x14ac:dyDescent="0.25">
      <c r="B17" s="15">
        <f>+B30</f>
        <v>7.84</v>
      </c>
      <c r="C17" s="201">
        <f>+B17*B16</f>
        <v>-382889.92</v>
      </c>
      <c r="G17" s="32"/>
      <c r="H17" s="15"/>
      <c r="I17" s="32"/>
      <c r="J17" s="32"/>
    </row>
    <row r="18" spans="1:10" x14ac:dyDescent="0.25">
      <c r="C18" s="260">
        <f>+C17+C5</f>
        <v>-591691.52000000002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96</v>
      </c>
      <c r="G20" s="32"/>
      <c r="H20" s="15"/>
      <c r="I20" s="32"/>
      <c r="J20" s="32"/>
    </row>
    <row r="21" spans="1:10" x14ac:dyDescent="0.25">
      <c r="A21" s="2" t="s">
        <v>79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36860</v>
      </c>
      <c r="C24" s="387">
        <v>166829.88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36876</v>
      </c>
      <c r="G26" s="32"/>
      <c r="H26" s="15"/>
      <c r="I26" s="32"/>
      <c r="J26" s="32"/>
    </row>
    <row r="27" spans="1:10" x14ac:dyDescent="0.25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12556</v>
      </c>
    </row>
    <row r="30" spans="1:10" x14ac:dyDescent="0.25">
      <c r="B30" s="15">
        <f>+summary!P13</f>
        <v>7.84</v>
      </c>
      <c r="C30" s="201">
        <f>+B30*B29</f>
        <v>98439.039999999994</v>
      </c>
    </row>
    <row r="31" spans="1:10" x14ac:dyDescent="0.25">
      <c r="C31" s="260">
        <f>+C30+C24</f>
        <v>265268.92</v>
      </c>
      <c r="E31" s="15"/>
    </row>
    <row r="33" spans="1:6" x14ac:dyDescent="0.25">
      <c r="E33" s="278"/>
    </row>
    <row r="34" spans="1:6" x14ac:dyDescent="0.25">
      <c r="A34" s="32" t="s">
        <v>96</v>
      </c>
      <c r="E34" s="15"/>
    </row>
    <row r="35" spans="1:6" x14ac:dyDescent="0.25">
      <c r="A35" s="32" t="s">
        <v>80</v>
      </c>
      <c r="E35" s="15"/>
    </row>
    <row r="38" spans="1:6" x14ac:dyDescent="0.25">
      <c r="A38" s="49">
        <v>36860</v>
      </c>
      <c r="C38" s="386">
        <v>285553.17</v>
      </c>
      <c r="E38" s="15"/>
      <c r="F38" s="272"/>
    </row>
    <row r="40" spans="1:6" x14ac:dyDescent="0.25">
      <c r="A40" s="251">
        <v>36879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4555</v>
      </c>
    </row>
    <row r="43" spans="1:6" x14ac:dyDescent="0.25">
      <c r="A43" s="32">
        <v>500392</v>
      </c>
      <c r="B43" s="259">
        <v>1415</v>
      </c>
    </row>
    <row r="44" spans="1:6" x14ac:dyDescent="0.25">
      <c r="B44" s="14">
        <f>SUM(B41:B43)</f>
        <v>5970</v>
      </c>
    </row>
    <row r="45" spans="1:6" x14ac:dyDescent="0.25">
      <c r="B45" s="201">
        <f>+B30</f>
        <v>7.84</v>
      </c>
      <c r="C45" s="201">
        <f>+B45*B44</f>
        <v>46804.799999999996</v>
      </c>
    </row>
    <row r="46" spans="1:6" x14ac:dyDescent="0.25">
      <c r="C46" s="260">
        <f>+C45+C38</f>
        <v>332357.96999999997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65"/>
      <c r="E49" s="218"/>
    </row>
    <row r="50" spans="1:5" x14ac:dyDescent="0.25">
      <c r="A50" s="32" t="s">
        <v>96</v>
      </c>
    </row>
    <row r="51" spans="1:5" x14ac:dyDescent="0.25">
      <c r="A51" s="32">
        <v>21665</v>
      </c>
      <c r="C51" s="397">
        <v>73449.16</v>
      </c>
      <c r="E51" s="50"/>
    </row>
    <row r="52" spans="1:5" x14ac:dyDescent="0.25">
      <c r="A52" s="32">
        <v>22664</v>
      </c>
      <c r="C52" s="399">
        <v>23612.35</v>
      </c>
    </row>
    <row r="53" spans="1:5" x14ac:dyDescent="0.25">
      <c r="A53" s="32">
        <v>20248</v>
      </c>
      <c r="C53" s="47">
        <v>-15794</v>
      </c>
      <c r="E53" s="15"/>
    </row>
    <row r="54" spans="1:5" x14ac:dyDescent="0.25">
      <c r="A54" s="32">
        <v>25873</v>
      </c>
      <c r="C54" s="47">
        <v>-259</v>
      </c>
    </row>
    <row r="55" spans="1:5" x14ac:dyDescent="0.25">
      <c r="A55" s="32">
        <v>26758</v>
      </c>
      <c r="C55" s="47">
        <v>-596</v>
      </c>
    </row>
    <row r="56" spans="1:5" x14ac:dyDescent="0.25">
      <c r="A56" s="32">
        <v>26372</v>
      </c>
      <c r="C56" s="47">
        <v>2997.09</v>
      </c>
    </row>
    <row r="57" spans="1:5" x14ac:dyDescent="0.25">
      <c r="A57" s="32">
        <v>26700</v>
      </c>
      <c r="C57" s="47">
        <v>4077.9</v>
      </c>
    </row>
    <row r="58" spans="1:5" x14ac:dyDescent="0.25">
      <c r="A58" s="32">
        <v>26422</v>
      </c>
      <c r="C58" s="47">
        <v>8155.8</v>
      </c>
    </row>
    <row r="59" spans="1:5" x14ac:dyDescent="0.25">
      <c r="A59" s="32">
        <v>26661</v>
      </c>
      <c r="C59" s="47">
        <v>139411.09</v>
      </c>
    </row>
    <row r="60" spans="1:5" x14ac:dyDescent="0.25">
      <c r="A60" s="32">
        <v>27291</v>
      </c>
      <c r="C60" s="47">
        <v>-17965</v>
      </c>
    </row>
    <row r="61" spans="1:5" x14ac:dyDescent="0.25">
      <c r="A61" s="32">
        <v>27123</v>
      </c>
      <c r="C61" s="400">
        <v>-6425.19</v>
      </c>
    </row>
    <row r="62" spans="1:5" x14ac:dyDescent="0.25">
      <c r="C62" s="398">
        <f>+C18+C31+C46+C51+C52+C53+C54+C55+C56+C57+C58+C59+C60+C61</f>
        <v>216599.56999999995</v>
      </c>
    </row>
    <row r="63" spans="1:5" x14ac:dyDescent="0.25">
      <c r="C63" s="398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activeCell="A44" sqref="A44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75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124624</v>
      </c>
      <c r="C39" s="11">
        <f t="shared" si="1"/>
        <v>126940</v>
      </c>
      <c r="D39" s="11">
        <f t="shared" si="1"/>
        <v>2731</v>
      </c>
      <c r="E39" s="11">
        <f t="shared" si="1"/>
        <v>3401</v>
      </c>
      <c r="F39" s="11">
        <f t="shared" si="1"/>
        <v>21233</v>
      </c>
      <c r="G39" s="11">
        <f t="shared" si="1"/>
        <v>25720</v>
      </c>
      <c r="H39" s="11">
        <f t="shared" si="1"/>
        <v>4475</v>
      </c>
      <c r="I39" s="11">
        <f t="shared" si="1"/>
        <v>5662</v>
      </c>
      <c r="J39" s="25">
        <f t="shared" si="1"/>
        <v>8660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+summary!P13</f>
        <v>7.84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67894.399999999994</v>
      </c>
      <c r="L41"/>
      <c r="R41" s="138"/>
      <c r="X41" s="138"/>
    </row>
    <row r="42" spans="1:24" x14ac:dyDescent="0.25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36879</v>
      </c>
      <c r="C43" s="48"/>
      <c r="J43" s="138">
        <f>+J42+J41</f>
        <v>577367.32999999996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8" workbookViewId="1">
      <selection activeCell="A42" sqref="A42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311340</v>
      </c>
      <c r="C39" s="11">
        <f>SUM(C8:C38)</f>
        <v>326307</v>
      </c>
      <c r="D39" s="11">
        <f>SUM(D8:D38)</f>
        <v>14967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+summary!P13</f>
        <v>7.84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117341.28</v>
      </c>
      <c r="H41" s="138"/>
      <c r="L41" s="138"/>
      <c r="P41" s="138"/>
      <c r="T41" s="138"/>
      <c r="X41" s="138"/>
    </row>
    <row r="42" spans="1:24" x14ac:dyDescent="0.25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36879</v>
      </c>
      <c r="C43" s="48"/>
      <c r="D43" s="110">
        <f>+D42+D41</f>
        <v>51492.97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2">
        <v>-547574</v>
      </c>
      <c r="C6" s="80"/>
      <c r="D6" s="80">
        <f t="shared" ref="D6:D14" si="0">+C6-B6</f>
        <v>547574</v>
      </c>
    </row>
    <row r="7" spans="1:8" x14ac:dyDescent="0.2">
      <c r="A7" s="32">
        <v>3531</v>
      </c>
      <c r="B7" s="392">
        <v>-568448</v>
      </c>
      <c r="C7" s="307">
        <v>-549752</v>
      </c>
      <c r="D7" s="80">
        <f t="shared" si="0"/>
        <v>18696</v>
      </c>
    </row>
    <row r="8" spans="1:8" x14ac:dyDescent="0.2">
      <c r="A8" s="32">
        <v>60667</v>
      </c>
      <c r="B8" s="385">
        <v>-330163</v>
      </c>
      <c r="C8" s="307">
        <v>-443279</v>
      </c>
      <c r="D8" s="80">
        <f t="shared" si="0"/>
        <v>-113116</v>
      </c>
      <c r="H8" s="256"/>
    </row>
    <row r="9" spans="1:8" x14ac:dyDescent="0.2">
      <c r="A9" s="32">
        <v>60749</v>
      </c>
      <c r="B9" s="392">
        <v>430645</v>
      </c>
      <c r="C9" s="385">
        <v>-336446</v>
      </c>
      <c r="D9" s="80">
        <f t="shared" si="0"/>
        <v>-767091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16863</v>
      </c>
    </row>
    <row r="19" spans="1:5" x14ac:dyDescent="0.2">
      <c r="A19" s="32" t="s">
        <v>88</v>
      </c>
      <c r="B19" s="69"/>
      <c r="C19" s="69"/>
      <c r="D19" s="73">
        <f>+summary!P13</f>
        <v>7.84</v>
      </c>
    </row>
    <row r="20" spans="1:5" x14ac:dyDescent="0.2">
      <c r="B20" s="69"/>
      <c r="C20" s="69"/>
      <c r="D20" s="75">
        <f>+D19*D18</f>
        <v>132205.91999999998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0.8" thickBot="1" x14ac:dyDescent="0.25">
      <c r="A24" s="49">
        <v>36879</v>
      </c>
      <c r="B24" s="69"/>
      <c r="C24" s="69"/>
      <c r="D24" s="306">
        <f>+D22+D20</f>
        <v>184836.93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90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54</v>
      </c>
    </row>
    <row r="5" spans="1:13" x14ac:dyDescent="0.25">
      <c r="A5" s="87">
        <v>9236</v>
      </c>
      <c r="B5" s="90">
        <v>-47774</v>
      </c>
      <c r="C5" s="90">
        <v>-77022</v>
      </c>
      <c r="D5" s="90">
        <f t="shared" ref="D5:D13" si="0">+C5-B5</f>
        <v>-29248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90">
        <v>-1900764</v>
      </c>
      <c r="C7" s="90">
        <v>-1967904</v>
      </c>
      <c r="D7" s="90">
        <f t="shared" si="0"/>
        <v>-67140</v>
      </c>
      <c r="E7" s="292"/>
      <c r="F7" s="70"/>
    </row>
    <row r="8" spans="1:13" x14ac:dyDescent="0.25">
      <c r="A8" s="87">
        <v>58710</v>
      </c>
      <c r="B8" s="90">
        <v>-258435</v>
      </c>
      <c r="C8" s="353">
        <v>-128302</v>
      </c>
      <c r="D8" s="90">
        <f t="shared" si="0"/>
        <v>130133</v>
      </c>
      <c r="E8" s="292"/>
      <c r="F8" s="70"/>
    </row>
    <row r="9" spans="1:13" x14ac:dyDescent="0.25">
      <c r="A9" s="87">
        <v>60921</v>
      </c>
      <c r="B9" s="90">
        <v>-491935</v>
      </c>
      <c r="C9" s="90">
        <v>-480892</v>
      </c>
      <c r="D9" s="90">
        <f t="shared" si="0"/>
        <v>11043</v>
      </c>
      <c r="E9" s="292"/>
      <c r="F9" s="70"/>
    </row>
    <row r="10" spans="1:13" x14ac:dyDescent="0.25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5">
      <c r="A11" s="87">
        <v>500084</v>
      </c>
      <c r="B11" s="90">
        <v>-41233</v>
      </c>
      <c r="C11" s="90">
        <v>-57000</v>
      </c>
      <c r="D11" s="90">
        <f t="shared" si="0"/>
        <v>-15767</v>
      </c>
      <c r="E11" s="293"/>
      <c r="F11" s="290"/>
    </row>
    <row r="12" spans="1:13" x14ac:dyDescent="0.25">
      <c r="A12" s="91">
        <v>500085</v>
      </c>
      <c r="B12" s="90">
        <v>-136148</v>
      </c>
      <c r="C12" s="353">
        <v>-94069</v>
      </c>
      <c r="D12" s="90">
        <f t="shared" si="0"/>
        <v>42079</v>
      </c>
      <c r="E12" s="292"/>
      <c r="F12" s="290"/>
    </row>
    <row r="13" spans="1:13" x14ac:dyDescent="0.25">
      <c r="A13" s="87">
        <v>500097</v>
      </c>
      <c r="B13" s="90">
        <v>-12277</v>
      </c>
      <c r="C13" s="90"/>
      <c r="D13" s="90">
        <f t="shared" si="0"/>
        <v>12277</v>
      </c>
      <c r="E13" s="292"/>
      <c r="F13" s="290"/>
    </row>
    <row r="14" spans="1:13" x14ac:dyDescent="0.25">
      <c r="A14" s="87"/>
      <c r="B14" s="90"/>
      <c r="C14" s="90"/>
      <c r="D14" s="90"/>
      <c r="E14" s="292"/>
      <c r="F14" s="290"/>
    </row>
    <row r="15" spans="1:13" x14ac:dyDescent="0.25">
      <c r="A15" s="87"/>
      <c r="B15" s="90"/>
      <c r="C15" s="90"/>
      <c r="D15" s="90"/>
      <c r="E15" s="292"/>
      <c r="F15" s="290"/>
    </row>
    <row r="16" spans="1:13" x14ac:dyDescent="0.25">
      <c r="A16" s="87"/>
      <c r="B16" s="88"/>
      <c r="C16" s="88"/>
      <c r="D16" s="94"/>
      <c r="E16" s="292"/>
      <c r="F16" s="290"/>
    </row>
    <row r="17" spans="1:7" x14ac:dyDescent="0.25">
      <c r="A17" s="87"/>
      <c r="B17" s="88"/>
      <c r="C17" s="88"/>
      <c r="D17" s="88">
        <f>SUM(D5:D16)</f>
        <v>40533</v>
      </c>
      <c r="E17" s="292"/>
      <c r="F17" s="290"/>
    </row>
    <row r="18" spans="1:7" x14ac:dyDescent="0.25">
      <c r="A18" s="87" t="s">
        <v>88</v>
      </c>
      <c r="B18" s="88"/>
      <c r="C18" s="88"/>
      <c r="D18" s="95">
        <f>+summary!P13</f>
        <v>7.84</v>
      </c>
      <c r="E18" s="294"/>
      <c r="F18" s="290"/>
    </row>
    <row r="19" spans="1:7" x14ac:dyDescent="0.25">
      <c r="A19" s="87"/>
      <c r="B19" s="88"/>
      <c r="C19" s="88"/>
      <c r="D19" s="96">
        <f>+D18*D17</f>
        <v>317778.71999999997</v>
      </c>
      <c r="E19" s="209"/>
      <c r="F19" s="291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5">
      <c r="A22" s="87"/>
      <c r="B22" s="88"/>
      <c r="C22" s="88"/>
      <c r="D22" s="351"/>
      <c r="E22" s="209"/>
      <c r="F22" s="66"/>
    </row>
    <row r="23" spans="1:7" ht="13.8" thickBot="1" x14ac:dyDescent="0.3">
      <c r="A23" s="99">
        <v>36879</v>
      </c>
      <c r="B23" s="88"/>
      <c r="C23" s="88"/>
      <c r="D23" s="98">
        <f>+D21+D19</f>
        <v>687997.52</v>
      </c>
      <c r="E23" s="209"/>
      <c r="F23" s="66"/>
    </row>
    <row r="24" spans="1:7" ht="13.8" thickTop="1" x14ac:dyDescent="0.25">
      <c r="E24" s="295"/>
    </row>
    <row r="25" spans="1:7" x14ac:dyDescent="0.25">
      <c r="E25" s="295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6"/>
      <c r="E36" s="69"/>
      <c r="F36" s="70"/>
      <c r="G36" s="32"/>
    </row>
    <row r="37" spans="1:7" x14ac:dyDescent="0.25">
      <c r="B37" s="69"/>
      <c r="C37" s="69"/>
      <c r="D37" s="326"/>
      <c r="E37" s="69"/>
      <c r="F37" s="70"/>
      <c r="G37" s="32"/>
    </row>
    <row r="38" spans="1:7" x14ac:dyDescent="0.25">
      <c r="B38" s="69"/>
      <c r="C38" s="69"/>
      <c r="D38" s="326"/>
      <c r="E38" s="69"/>
      <c r="F38" s="70"/>
      <c r="G38" s="32"/>
    </row>
    <row r="39" spans="1:7" x14ac:dyDescent="0.25">
      <c r="B39" s="69"/>
      <c r="C39" s="69"/>
      <c r="D39" s="326"/>
      <c r="E39" s="69"/>
      <c r="F39" s="70"/>
      <c r="G39" s="32"/>
    </row>
    <row r="40" spans="1:7" x14ac:dyDescent="0.25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5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5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5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5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5">
      <c r="B45" s="69"/>
      <c r="C45" s="69"/>
      <c r="D45" s="327"/>
      <c r="E45" s="292"/>
      <c r="F45" s="290"/>
      <c r="G45" s="206"/>
    </row>
    <row r="46" spans="1:7" x14ac:dyDescent="0.25">
      <c r="A46" s="32"/>
      <c r="B46" s="69"/>
      <c r="C46" s="69"/>
      <c r="D46" s="292"/>
      <c r="E46" s="292"/>
      <c r="F46" s="290"/>
      <c r="G46" s="206"/>
    </row>
    <row r="47" spans="1:7" x14ac:dyDescent="0.25">
      <c r="A47" s="32"/>
      <c r="B47" s="69"/>
      <c r="C47" s="69"/>
      <c r="D47" s="294"/>
      <c r="E47" s="294"/>
      <c r="F47" s="290"/>
      <c r="G47" s="206"/>
    </row>
    <row r="48" spans="1:7" x14ac:dyDescent="0.25">
      <c r="B48" s="69"/>
      <c r="C48" s="69"/>
      <c r="D48" s="292"/>
      <c r="E48" s="292"/>
      <c r="F48" s="291"/>
      <c r="G48" s="206"/>
    </row>
    <row r="49" spans="1:7" x14ac:dyDescent="0.25">
      <c r="B49" s="69"/>
      <c r="C49" s="69"/>
      <c r="D49" s="292"/>
      <c r="E49" s="292"/>
      <c r="F49" s="291"/>
      <c r="G49" s="206"/>
    </row>
    <row r="50" spans="1:7" x14ac:dyDescent="0.25">
      <c r="D50" s="323"/>
      <c r="E50" s="323"/>
      <c r="F50" s="324"/>
      <c r="G50" s="325"/>
    </row>
    <row r="51" spans="1:7" x14ac:dyDescent="0.25">
      <c r="A51" s="32"/>
      <c r="D51" s="67"/>
      <c r="E51" s="67"/>
      <c r="F51" s="66"/>
    </row>
    <row r="52" spans="1:7" x14ac:dyDescent="0.25">
      <c r="A52" s="32"/>
      <c r="E52" s="63"/>
      <c r="F52" s="66"/>
    </row>
    <row r="53" spans="1:7" x14ac:dyDescent="0.25">
      <c r="A53" s="32"/>
      <c r="E53" s="63"/>
      <c r="F53" s="66"/>
    </row>
    <row r="54" spans="1:7" ht="13.8" thickBot="1" x14ac:dyDescent="0.3">
      <c r="A54" s="32"/>
      <c r="D54" s="68"/>
      <c r="E54" s="68"/>
      <c r="F54" s="66"/>
    </row>
    <row r="55" spans="1:7" ht="13.8" thickTop="1" x14ac:dyDescent="0.25">
      <c r="A55" s="32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39" sqref="A39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1221269</v>
      </c>
      <c r="C35" s="11">
        <f t="shared" ref="C35:I35" si="1">SUM(C4:C34)</f>
        <v>1224560</v>
      </c>
      <c r="D35" s="11">
        <f t="shared" si="1"/>
        <v>7083740</v>
      </c>
      <c r="E35" s="11">
        <f t="shared" si="1"/>
        <v>7052998</v>
      </c>
      <c r="F35" s="11">
        <f t="shared" si="1"/>
        <v>918230</v>
      </c>
      <c r="G35" s="11">
        <f t="shared" si="1"/>
        <v>998099</v>
      </c>
      <c r="H35" s="11">
        <f t="shared" si="1"/>
        <v>2855234</v>
      </c>
      <c r="I35" s="11">
        <f t="shared" si="1"/>
        <v>2812886</v>
      </c>
      <c r="J35" s="11">
        <f>SUM(J4:J34)</f>
        <v>10070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36879</v>
      </c>
      <c r="J40" s="36">
        <f>+J38+J35</f>
        <v>-24291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5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5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5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5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5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5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5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5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5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5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5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5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5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5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5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5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5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5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5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4">
        <f>SUM(B3:B33)</f>
        <v>361677</v>
      </c>
      <c r="C34" s="304">
        <f>SUM(C3:C33)</f>
        <v>377348</v>
      </c>
      <c r="D34" s="14">
        <f>SUM(D3:D33)</f>
        <v>0</v>
      </c>
      <c r="E34" s="14">
        <f>SUM(E3:E33)</f>
        <v>0</v>
      </c>
      <c r="F34" s="14">
        <f>SUM(F3:F33)</f>
        <v>15671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5">
      <c r="A38" s="267">
        <v>36879</v>
      </c>
      <c r="B38" s="14"/>
      <c r="C38" s="14"/>
      <c r="D38" s="14"/>
      <c r="E38" s="14"/>
      <c r="F38" s="24">
        <f>+F37+F34</f>
        <v>153060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B43" sqref="B43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5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5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5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5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5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5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5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5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5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5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5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5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5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5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5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5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5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5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733152</v>
      </c>
      <c r="C35" s="11">
        <f>SUM(C4:C34)</f>
        <v>736480</v>
      </c>
      <c r="D35" s="11">
        <f>SUM(D4:D34)</f>
        <v>3328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36860</v>
      </c>
      <c r="D38" s="246">
        <v>84016</v>
      </c>
    </row>
    <row r="39" spans="1:4" x14ac:dyDescent="0.25">
      <c r="A39" s="2"/>
      <c r="D39" s="24"/>
    </row>
    <row r="40" spans="1:4" x14ac:dyDescent="0.25">
      <c r="A40" s="57">
        <v>36879</v>
      </c>
      <c r="D40" s="36">
        <f>+D38+D35</f>
        <v>87344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556206</v>
      </c>
      <c r="C35" s="11">
        <f t="shared" ref="C35:I35" si="1">SUM(C4:C34)</f>
        <v>560683</v>
      </c>
      <c r="D35" s="11">
        <f t="shared" si="1"/>
        <v>196677</v>
      </c>
      <c r="E35" s="11">
        <f t="shared" si="1"/>
        <v>197835</v>
      </c>
      <c r="F35" s="11">
        <f t="shared" si="1"/>
        <v>741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4894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+summary!P13</f>
        <v>7.84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38368.959999999999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137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36879</v>
      </c>
      <c r="J41" s="366">
        <f>+J39+J37</f>
        <v>-494060.63999999996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25" sqref="C25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814988</v>
      </c>
      <c r="C37" s="24">
        <f>SUM(C6:C36)</f>
        <v>816774</v>
      </c>
      <c r="D37" s="24">
        <f>SUM(D6:D36)</f>
        <v>1786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7.84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14002.24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36879</v>
      </c>
      <c r="B41" s="14"/>
      <c r="C41" s="14"/>
      <c r="D41" s="104">
        <f>+D40+D39</f>
        <v>205559.66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4" workbookViewId="1">
      <selection activeCell="C27" sqref="C27"/>
    </sheetView>
  </sheetViews>
  <sheetFormatPr defaultRowHeight="13.2" x14ac:dyDescent="0.25"/>
  <sheetData>
    <row r="5" spans="1:6" ht="13.8" x14ac:dyDescent="0.25">
      <c r="A5" s="134"/>
      <c r="B5" s="34" t="s">
        <v>126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5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5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5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5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5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5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5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5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5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5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5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5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5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5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5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5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5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5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131920</v>
      </c>
      <c r="C39" s="11">
        <f>SUM(C8:C38)</f>
        <v>137800</v>
      </c>
      <c r="D39" s="11">
        <f>SUM(D8:D38)</f>
        <v>57930</v>
      </c>
      <c r="E39" s="11">
        <f>SUM(E8:E38)</f>
        <v>65934</v>
      </c>
      <c r="F39" s="25">
        <f>SUM(F8:F38)</f>
        <v>13884</v>
      </c>
    </row>
    <row r="40" spans="1:6" x14ac:dyDescent="0.25">
      <c r="A40" s="26"/>
      <c r="C40" s="14"/>
      <c r="F40" s="264">
        <f>+summary!P13</f>
        <v>7.84</v>
      </c>
    </row>
    <row r="41" spans="1:6" x14ac:dyDescent="0.25">
      <c r="F41" s="138">
        <f>+F40*F39</f>
        <v>108850.56</v>
      </c>
    </row>
    <row r="42" spans="1:6" x14ac:dyDescent="0.25">
      <c r="A42" s="57">
        <v>36860</v>
      </c>
      <c r="C42" s="15"/>
      <c r="F42" s="378">
        <v>-282710.67</v>
      </c>
    </row>
    <row r="43" spans="1:6" x14ac:dyDescent="0.25">
      <c r="A43" s="57">
        <v>36879</v>
      </c>
      <c r="C43" s="48"/>
      <c r="F43" s="138">
        <f>+F42+F41</f>
        <v>-173860.11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3.2" x14ac:dyDescent="0.25"/>
  <sheetData>
    <row r="5" spans="1:4" ht="13.8" x14ac:dyDescent="0.25">
      <c r="A5" s="134"/>
      <c r="B5" s="34" t="s">
        <v>129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5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5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5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5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5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5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5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5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5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5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5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5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5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5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5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5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5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5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511186</v>
      </c>
      <c r="C39" s="11">
        <f>SUM(C8:C38)</f>
        <v>569133</v>
      </c>
      <c r="D39" s="25">
        <f>SUM(D8:D38)</f>
        <v>57947</v>
      </c>
    </row>
    <row r="40" spans="1:4" x14ac:dyDescent="0.25">
      <c r="A40" s="26"/>
      <c r="C40" s="14"/>
      <c r="D40" s="264">
        <f>+summary!P13</f>
        <v>7.84</v>
      </c>
    </row>
    <row r="41" spans="1:4" x14ac:dyDescent="0.25">
      <c r="D41" s="138">
        <f>+D40*D39</f>
        <v>454304.48</v>
      </c>
    </row>
    <row r="42" spans="1:4" x14ac:dyDescent="0.25">
      <c r="A42" s="57">
        <v>36860</v>
      </c>
      <c r="C42" s="15"/>
      <c r="D42" s="378">
        <v>-557795.86</v>
      </c>
    </row>
    <row r="43" spans="1:4" x14ac:dyDescent="0.25">
      <c r="A43" s="57">
        <v>36879</v>
      </c>
      <c r="C43" s="48"/>
      <c r="D43" s="138">
        <f>+D42+D41</f>
        <v>-103491.38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35" workbookViewId="1">
      <selection activeCell="F55" sqref="F55"/>
    </sheetView>
  </sheetViews>
  <sheetFormatPr defaultRowHeight="13.2" x14ac:dyDescent="0.25"/>
  <cols>
    <col min="3" max="3" width="9.33203125" bestFit="1" customWidth="1"/>
    <col min="6" max="6" width="11.33203125" bestFit="1" customWidth="1"/>
  </cols>
  <sheetData>
    <row r="1" spans="1:8" x14ac:dyDescent="0.25">
      <c r="A1" s="54"/>
      <c r="B1" s="394">
        <v>23995</v>
      </c>
      <c r="C1" s="237"/>
      <c r="D1" s="393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5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5">
      <c r="A6" s="10">
        <v>3</v>
      </c>
      <c r="B6" s="11">
        <v>30146</v>
      </c>
      <c r="C6" s="129">
        <v>25000</v>
      </c>
      <c r="D6" s="129">
        <v>29555</v>
      </c>
      <c r="E6" s="368">
        <v>24000</v>
      </c>
      <c r="F6" s="11">
        <f t="shared" si="0"/>
        <v>-10701</v>
      </c>
      <c r="G6" s="11"/>
      <c r="H6" s="24"/>
    </row>
    <row r="7" spans="1:8" x14ac:dyDescent="0.25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5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5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5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5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5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5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5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5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5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5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5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5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5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5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5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486421</v>
      </c>
      <c r="C35" s="11">
        <f>SUM(C4:C34)</f>
        <v>453000</v>
      </c>
      <c r="D35" s="11">
        <f>SUM(D4:D34)</f>
        <v>488532</v>
      </c>
      <c r="E35" s="11">
        <f>SUM(E4:E34)</f>
        <v>476298</v>
      </c>
      <c r="F35" s="11">
        <f>SUM(F4:F34)</f>
        <v>-45655</v>
      </c>
      <c r="G35" s="11"/>
      <c r="H35" s="11"/>
    </row>
    <row r="36" spans="1:8" x14ac:dyDescent="0.25">
      <c r="C36" s="25">
        <f>+C35-B35</f>
        <v>-33421</v>
      </c>
      <c r="E36" s="25">
        <f>+E35-D35</f>
        <v>-12234</v>
      </c>
      <c r="F36" s="25">
        <f>+E36+C36</f>
        <v>-45655</v>
      </c>
    </row>
    <row r="37" spans="1:8" x14ac:dyDescent="0.25">
      <c r="C37" s="395">
        <f>+'[2]1200'!$E$39</f>
        <v>7.97</v>
      </c>
      <c r="E37" s="395">
        <f>+'[2]1200'!$E$39</f>
        <v>7.97</v>
      </c>
      <c r="F37" s="395">
        <f>+E37</f>
        <v>7.97</v>
      </c>
    </row>
    <row r="38" spans="1:8" x14ac:dyDescent="0.25">
      <c r="C38" s="138">
        <f>+C37*C36</f>
        <v>-266365.37</v>
      </c>
      <c r="E38" s="138">
        <f>+E37*E36</f>
        <v>-97504.98</v>
      </c>
      <c r="F38" s="138">
        <f>+F37*F36</f>
        <v>-363870.35</v>
      </c>
    </row>
    <row r="39" spans="1:8" x14ac:dyDescent="0.25">
      <c r="A39" s="57">
        <v>36860</v>
      </c>
      <c r="B39" s="2" t="s">
        <v>49</v>
      </c>
      <c r="C39" s="381">
        <f>-710525.41+93633.52</f>
        <v>-616891.89</v>
      </c>
      <c r="D39" s="361"/>
      <c r="E39" s="381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5">
      <c r="A40" s="57">
        <v>36877</v>
      </c>
      <c r="B40" s="2" t="s">
        <v>49</v>
      </c>
      <c r="C40" s="396">
        <f>+C39+C38</f>
        <v>-883257.26</v>
      </c>
      <c r="D40" s="262"/>
      <c r="E40" s="396">
        <f>+E39+E38</f>
        <v>284424.39</v>
      </c>
      <c r="F40" s="396">
        <f>+F39+F38</f>
        <v>-598832.87</v>
      </c>
      <c r="G40" s="131"/>
      <c r="H40" s="131"/>
    </row>
    <row r="41" spans="1:8" x14ac:dyDescent="0.25">
      <c r="C41" s="254"/>
    </row>
    <row r="42" spans="1:8" x14ac:dyDescent="0.25">
      <c r="F42" s="15"/>
    </row>
    <row r="43" spans="1:8" x14ac:dyDescent="0.25">
      <c r="B43" s="12" t="s">
        <v>131</v>
      </c>
      <c r="F43" s="15"/>
    </row>
    <row r="44" spans="1:8" x14ac:dyDescent="0.25">
      <c r="B44" s="12">
        <v>22864</v>
      </c>
      <c r="F44" s="104">
        <v>-58339.66</v>
      </c>
    </row>
    <row r="45" spans="1:8" x14ac:dyDescent="0.25">
      <c r="B45" s="12">
        <v>20379</v>
      </c>
      <c r="F45" s="104">
        <v>-51695.87</v>
      </c>
    </row>
    <row r="46" spans="1:8" x14ac:dyDescent="0.25">
      <c r="B46" s="12">
        <v>21459</v>
      </c>
      <c r="F46" s="104">
        <v>10570.56</v>
      </c>
    </row>
    <row r="47" spans="1:8" x14ac:dyDescent="0.25">
      <c r="B47" s="12">
        <v>26357</v>
      </c>
      <c r="F47" s="104">
        <v>44144.84</v>
      </c>
    </row>
    <row r="48" spans="1:8" x14ac:dyDescent="0.25">
      <c r="B48" s="12">
        <v>21544</v>
      </c>
      <c r="F48" s="104">
        <v>61340.160000000003</v>
      </c>
    </row>
    <row r="49" spans="2:6" x14ac:dyDescent="0.25">
      <c r="B49" s="12">
        <v>24532</v>
      </c>
      <c r="F49" s="138">
        <v>1048039.53</v>
      </c>
    </row>
    <row r="50" spans="2:6" x14ac:dyDescent="0.25">
      <c r="F50" s="104">
        <f>SUM(F40:F49)</f>
        <v>455226.69000000006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8" workbookViewId="1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5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5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5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5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5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5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5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5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5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5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5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5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5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5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5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5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5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5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5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3686078</v>
      </c>
      <c r="C38" s="11">
        <f>SUM(C7:C37)</f>
        <v>3743784</v>
      </c>
      <c r="D38" s="11">
        <f>SUM(D7:D37)</f>
        <v>57706</v>
      </c>
    </row>
    <row r="39" spans="1:4" x14ac:dyDescent="0.25">
      <c r="A39" s="26"/>
      <c r="C39" s="14"/>
      <c r="D39" s="106">
        <f>+summary!P12</f>
        <v>7.6</v>
      </c>
    </row>
    <row r="40" spans="1:4" x14ac:dyDescent="0.25">
      <c r="D40" s="138">
        <f>+D39*D38</f>
        <v>438565.6</v>
      </c>
    </row>
    <row r="41" spans="1:4" x14ac:dyDescent="0.25">
      <c r="A41" s="57">
        <v>36860</v>
      </c>
      <c r="C41" s="15"/>
      <c r="D41" s="362">
        <v>0</v>
      </c>
    </row>
    <row r="42" spans="1:4" x14ac:dyDescent="0.25">
      <c r="A42" s="57">
        <v>36879</v>
      </c>
      <c r="D42" s="348">
        <f>+D41+D40</f>
        <v>438565.6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D45" sqref="D45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102542</v>
      </c>
      <c r="C36" s="44">
        <f>SUM(C5:C35)</f>
        <v>0</v>
      </c>
      <c r="D36" s="43">
        <f>SUM(D5:D35)</f>
        <v>60950</v>
      </c>
      <c r="E36" s="44">
        <f>SUM(E5:E35)</f>
        <v>186885</v>
      </c>
      <c r="F36" s="11">
        <f>SUM(F5:F35)</f>
        <v>-23393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102542</v>
      </c>
      <c r="D37" s="24"/>
      <c r="E37" s="24">
        <f>+D36-E36</f>
        <v>-125935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36879</v>
      </c>
      <c r="C42" s="14"/>
      <c r="D42" s="50"/>
      <c r="E42" s="50"/>
      <c r="F42" s="51">
        <f>+F41+F36</f>
        <v>4888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41" sqref="A41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5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5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5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5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5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5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5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5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5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5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5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5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5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5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5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5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5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5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5275101</v>
      </c>
      <c r="C35" s="11">
        <f>SUM(C4:C34)</f>
        <v>5293891</v>
      </c>
      <c r="D35" s="11">
        <f>SUM(D4:D34)</f>
        <v>18790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36860</v>
      </c>
      <c r="D38" s="244">
        <v>160058</v>
      </c>
    </row>
    <row r="39" spans="1:30" x14ac:dyDescent="0.25">
      <c r="A39" s="12"/>
      <c r="D39" s="24"/>
    </row>
    <row r="40" spans="1:30" x14ac:dyDescent="0.25">
      <c r="A40" s="251">
        <v>36879</v>
      </c>
      <c r="D40" s="24">
        <f>+D38+D35</f>
        <v>178848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workbookViewId="1">
      <selection activeCell="C23" sqref="C23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5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5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5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5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5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5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5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5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5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5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5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5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5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5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5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5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14371244</v>
      </c>
      <c r="C35" s="11">
        <f>SUM(C4:C34)</f>
        <v>14299606</v>
      </c>
      <c r="D35" s="11">
        <f>SUM(D4:D34)</f>
        <v>-71638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36860</v>
      </c>
      <c r="D38" s="380">
        <v>85314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36879</v>
      </c>
      <c r="D40" s="36">
        <f>+D38+D35</f>
        <v>13676</v>
      </c>
      <c r="I40" s="24"/>
    </row>
    <row r="42" spans="1:45" x14ac:dyDescent="0.25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5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5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5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5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5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5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5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5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5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5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5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5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5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5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5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5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5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5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5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5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5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5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5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5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23" sqref="C2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449863</v>
      </c>
      <c r="C35" s="44">
        <f t="shared" si="1"/>
        <v>308604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2481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7.84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19451.04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36879</v>
      </c>
      <c r="F39" s="47"/>
      <c r="G39" s="47"/>
      <c r="H39" s="137">
        <f>+H38+H37</f>
        <v>43827.72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23" sqref="E23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5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325158</v>
      </c>
      <c r="E7" s="368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5810848</v>
      </c>
      <c r="E36" s="11">
        <f t="shared" si="15"/>
        <v>5775890</v>
      </c>
      <c r="F36" s="11">
        <f t="shared" si="15"/>
        <v>0</v>
      </c>
      <c r="G36" s="11">
        <f t="shared" si="15"/>
        <v>0</v>
      </c>
      <c r="H36" s="11">
        <f t="shared" si="15"/>
        <v>34922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36879</v>
      </c>
      <c r="B38" s="2" t="s">
        <v>49</v>
      </c>
      <c r="C38" s="131">
        <f>+C37+C36-B36</f>
        <v>-7121</v>
      </c>
      <c r="D38" s="262"/>
      <c r="E38" s="131">
        <f>+E37+D36-E36</f>
        <v>252181</v>
      </c>
      <c r="F38" s="262"/>
      <c r="G38" s="131"/>
      <c r="H38" s="131">
        <f>+H37+H36</f>
        <v>245060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9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1" sqref="A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1891778</v>
      </c>
      <c r="C37" s="11">
        <f>SUM(C6:C36)</f>
        <v>1870380</v>
      </c>
      <c r="D37" s="11">
        <f>SUM(D6:D36)</f>
        <v>-21398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5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5">
      <c r="A40" s="57">
        <v>36879</v>
      </c>
      <c r="C40" s="48"/>
      <c r="D40" s="25">
        <f>+D39+D37</f>
        <v>-37289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8" workbookViewId="1">
      <selection activeCell="B49" sqref="B4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2939888</v>
      </c>
      <c r="C39" s="150">
        <f>SUM(C8:C38)</f>
        <v>2937471</v>
      </c>
      <c r="D39" s="152">
        <f>SUM(D8:D38)</f>
        <v>-2417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+summary!P12</f>
        <v>7.6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-18369.2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36879</v>
      </c>
      <c r="C43" s="142"/>
      <c r="D43" s="253">
        <f>+D42+D41</f>
        <v>-37835.42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88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60</v>
      </c>
      <c r="B80" s="157"/>
      <c r="C80" s="154"/>
      <c r="D80" s="142"/>
      <c r="E80" s="144"/>
      <c r="F80" s="144"/>
    </row>
    <row r="81" spans="1:9" x14ac:dyDescent="0.25">
      <c r="A81" s="161" t="s">
        <v>61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5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60</v>
      </c>
      <c r="B119" s="157"/>
      <c r="C119" s="154"/>
      <c r="D119" s="142"/>
      <c r="E119" s="144"/>
      <c r="F119" s="112"/>
    </row>
    <row r="120" spans="1:9" x14ac:dyDescent="0.25">
      <c r="A120" s="161" t="s">
        <v>61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5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5">
      <c r="B167" s="187">
        <v>-300000</v>
      </c>
      <c r="C167" s="181">
        <v>-450000</v>
      </c>
      <c r="D167" s="34" t="s">
        <v>69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2000-12-19T23:59:41Z</cp:lastPrinted>
  <dcterms:created xsi:type="dcterms:W3CDTF">2000-03-28T16:52:23Z</dcterms:created>
  <dcterms:modified xsi:type="dcterms:W3CDTF">2023-09-10T15:06:00Z</dcterms:modified>
</cp:coreProperties>
</file>