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8" activeTab="18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<sst xmlns="http://schemas.openxmlformats.org/spreadsheetml/2006/main" count="381" uniqueCount="142">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</sst>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36" fillId="0" borderId="1" xfId="0" applyNumberFormat="1" applyFont="1" applyFill="1" applyBorder="1"/>
    <xf numFmtId="37" fontId="36" fillId="0" borderId="0" xfId="1" applyNumberFormat="1" applyFont="1" applyFill="1"/>
    <xf numFmtId="5" fontId="36" fillId="0" borderId="1" xfId="0" applyNumberFormat="1" applyFont="1" applyFill="1" applyBorder="1"/>
    <xf numFmtId="166" fontId="36" fillId="0" borderId="1" xfId="1" applyNumberFormat="1" applyFont="1" applyFill="1" applyBorder="1"/>
    <xf numFmtId="166" fontId="36" fillId="0" borderId="0" xfId="1" applyNumberFormat="1" applyFont="1" applyFill="1" applyBorder="1"/>
    <xf numFmtId="7" fontId="36" fillId="0" borderId="0" xfId="1" applyNumberFormat="1" applyFont="1" applyFill="1"/>
    <xf numFmtId="166" fontId="36" fillId="0" borderId="0" xfId="1" applyNumberFormat="1" applyFont="1" applyFill="1"/>
    <xf numFmtId="44" fontId="17" fillId="0" borderId="0" xfId="2" applyFont="1" applyFill="1"/>
    <xf numFmtId="7" fontId="36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6" fillId="0" borderId="0" xfId="0" applyNumberFormat="1" applyFont="1"/>
    <xf numFmtId="7" fontId="36" fillId="0" borderId="0" xfId="0" applyNumberFormat="1" applyFont="1"/>
    <xf numFmtId="5" fontId="36" fillId="0" borderId="0" xfId="1" applyNumberFormat="1" applyFont="1" applyFill="1"/>
    <xf numFmtId="7" fontId="19" fillId="0" borderId="1" xfId="1" applyNumberFormat="1" applyFont="1" applyFill="1" applyBorder="1"/>
    <xf numFmtId="5" fontId="36" fillId="0" borderId="0" xfId="1" applyNumberFormat="1" applyFont="1" applyFill="1" applyBorder="1"/>
    <xf numFmtId="166" fontId="37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7" fillId="0" borderId="1" xfId="0" applyNumberFormat="1" applyFont="1" applyFill="1" applyBorder="1"/>
    <xf numFmtId="7" fontId="38" fillId="0" borderId="1" xfId="1" applyNumberFormat="1" applyFont="1" applyFill="1" applyBorder="1"/>
    <xf numFmtId="5" fontId="37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6" fillId="0" borderId="0" xfId="1" applyNumberFormat="1" applyFont="1" applyFill="1" applyBorder="1"/>
    <xf numFmtId="37" fontId="39" fillId="0" borderId="0" xfId="1" applyNumberFormat="1" applyFont="1" applyFill="1"/>
    <xf numFmtId="37" fontId="4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5.82</v>
          </cell>
          <cell r="K39">
            <v>5.81</v>
          </cell>
          <cell r="M39">
            <v>5.82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8" workbookViewId="1">
      <selection activeCell="D41" sqref="D41"/>
    </sheetView>
  </sheetViews>
  <sheetFormatPr defaultRowHeight="13.2" x14ac:dyDescent="0.25"/>
  <cols>
    <col min="1" max="1" width="20.5546875" style="300" customWidth="1"/>
    <col min="2" max="2" width="11.88671875" style="253" customWidth="1"/>
    <col min="3" max="3" width="11.33203125" style="301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97</v>
      </c>
    </row>
    <row r="3" spans="1:16" ht="15.6" x14ac:dyDescent="0.3">
      <c r="A3" s="53" t="s">
        <v>92</v>
      </c>
    </row>
    <row r="4" spans="1:16" ht="15" customHeight="1" x14ac:dyDescent="0.3">
      <c r="A4" s="53" t="s">
        <v>94</v>
      </c>
    </row>
    <row r="5" spans="1:16" ht="15" customHeight="1" x14ac:dyDescent="0.3">
      <c r="A5" s="53" t="s">
        <v>93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0"/>
      <c r="O9" s="309" t="s">
        <v>83</v>
      </c>
      <c r="P9" s="310"/>
    </row>
    <row r="10" spans="1:16" ht="18" customHeight="1" x14ac:dyDescent="0.25">
      <c r="O10" s="311" t="s">
        <v>31</v>
      </c>
      <c r="P10" s="313">
        <f>+'[1]0101'!$K$39</f>
        <v>5.81</v>
      </c>
    </row>
    <row r="11" spans="1:16" ht="18" customHeight="1" x14ac:dyDescent="0.25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5.82</v>
      </c>
    </row>
    <row r="12" spans="1:16" ht="18" customHeight="1" x14ac:dyDescent="0.25">
      <c r="A12" s="369" t="s">
        <v>36</v>
      </c>
      <c r="B12" s="317">
        <f>+C12*$P$11</f>
        <v>1072468.8600000001</v>
      </c>
      <c r="C12" s="318">
        <f>+'El Paso'!H38</f>
        <v>184273</v>
      </c>
      <c r="D12" s="65">
        <f>+'El Paso'!A38</f>
        <v>36941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5.82</v>
      </c>
    </row>
    <row r="13" spans="1:16" ht="15.9" customHeight="1" x14ac:dyDescent="0.25">
      <c r="A13" s="369" t="s">
        <v>88</v>
      </c>
      <c r="B13" s="317">
        <f>+PNM!$D$23</f>
        <v>1005502.1</v>
      </c>
      <c r="C13" s="318">
        <f>+B13/$P$11</f>
        <v>172766.68384879723</v>
      </c>
      <c r="D13" s="65">
        <f>+PNM!A23</f>
        <v>36941</v>
      </c>
      <c r="E13" t="s">
        <v>91</v>
      </c>
      <c r="F13" t="s">
        <v>109</v>
      </c>
      <c r="G13" t="s">
        <v>133</v>
      </c>
      <c r="H13" s="64"/>
    </row>
    <row r="14" spans="1:16" ht="15.9" customHeight="1" x14ac:dyDescent="0.25">
      <c r="A14" s="369" t="s">
        <v>3</v>
      </c>
      <c r="B14" s="317">
        <f>+'Amoco Abo'!$D$43</f>
        <v>793652.77</v>
      </c>
      <c r="C14" s="318">
        <f>+B14/$P$11</f>
        <v>136366.45532646048</v>
      </c>
      <c r="D14" s="65">
        <f>+'Amoco Abo'!A43</f>
        <v>36941</v>
      </c>
      <c r="E14" t="s">
        <v>91</v>
      </c>
      <c r="F14" t="s">
        <v>110</v>
      </c>
      <c r="G14" t="s">
        <v>133</v>
      </c>
    </row>
    <row r="15" spans="1:16" ht="15.9" customHeight="1" x14ac:dyDescent="0.25">
      <c r="A15" s="369" t="s">
        <v>118</v>
      </c>
      <c r="B15" s="317">
        <f>+KN_Westar!F41</f>
        <v>606419.77</v>
      </c>
      <c r="C15" s="318">
        <f>+B15/$P$11</f>
        <v>104195.83676975945</v>
      </c>
      <c r="D15" s="65">
        <f>+KN_Westar!A41</f>
        <v>36941</v>
      </c>
      <c r="E15" t="s">
        <v>91</v>
      </c>
      <c r="F15" t="s">
        <v>111</v>
      </c>
    </row>
    <row r="16" spans="1:16" ht="15.9" customHeight="1" x14ac:dyDescent="0.25">
      <c r="A16" s="369" t="s">
        <v>2</v>
      </c>
      <c r="B16" s="317">
        <f>+mewborne!$J$43</f>
        <v>576386.63</v>
      </c>
      <c r="C16" s="318">
        <f>+B16/$P$11</f>
        <v>99035.503436426108</v>
      </c>
      <c r="D16" s="65">
        <f>+mewborne!A43</f>
        <v>36941</v>
      </c>
      <c r="E16" t="s">
        <v>91</v>
      </c>
      <c r="F16" t="s">
        <v>110</v>
      </c>
    </row>
    <row r="17" spans="1:6" ht="15.9" customHeight="1" x14ac:dyDescent="0.25">
      <c r="A17" s="369" t="s">
        <v>121</v>
      </c>
      <c r="B17" s="317">
        <f>+CIG!D43</f>
        <v>499417.70000000007</v>
      </c>
      <c r="C17" s="318">
        <f>+B17/$P$11</f>
        <v>85810.601374570455</v>
      </c>
      <c r="D17" s="65">
        <f>+CIG!A43</f>
        <v>36941</v>
      </c>
      <c r="E17" t="s">
        <v>91</v>
      </c>
      <c r="F17" t="s">
        <v>124</v>
      </c>
    </row>
    <row r="18" spans="1:6" ht="15.9" customHeight="1" x14ac:dyDescent="0.25">
      <c r="A18" s="369" t="s">
        <v>98</v>
      </c>
      <c r="B18" s="317">
        <f>+C18*$P$11</f>
        <v>485737.2</v>
      </c>
      <c r="C18" s="318">
        <f>+NGPL!F38</f>
        <v>83460</v>
      </c>
      <c r="D18" s="65">
        <f>+NGPL!A38</f>
        <v>36941</v>
      </c>
      <c r="E18" t="s">
        <v>90</v>
      </c>
      <c r="F18" t="s">
        <v>126</v>
      </c>
    </row>
    <row r="19" spans="1:6" ht="15.9" customHeight="1" x14ac:dyDescent="0.25">
      <c r="A19" s="369" t="s">
        <v>104</v>
      </c>
      <c r="B19" s="253">
        <f>+C19*$P$11</f>
        <v>357278.16000000003</v>
      </c>
      <c r="C19" s="301">
        <f>+Mojave!D40</f>
        <v>61388</v>
      </c>
      <c r="D19" s="65">
        <f>+Mojave!A40</f>
        <v>36941</v>
      </c>
      <c r="E19" t="s">
        <v>90</v>
      </c>
      <c r="F19" t="s">
        <v>109</v>
      </c>
    </row>
    <row r="20" spans="1:6" ht="15.9" customHeight="1" x14ac:dyDescent="0.25">
      <c r="A20" s="369" t="s">
        <v>25</v>
      </c>
      <c r="B20" s="351">
        <f>+'Red C'!$D$43</f>
        <v>343591.45</v>
      </c>
      <c r="C20" s="378">
        <f>+B20/$P$10</f>
        <v>59137.94320137694</v>
      </c>
      <c r="D20" s="325">
        <f>+'Red C'!B43</f>
        <v>36941</v>
      </c>
      <c r="E20" t="s">
        <v>91</v>
      </c>
      <c r="F20" t="s">
        <v>113</v>
      </c>
    </row>
    <row r="21" spans="1:6" ht="15.9" customHeight="1" x14ac:dyDescent="0.25">
      <c r="A21" s="370" t="s">
        <v>96</v>
      </c>
      <c r="B21" s="317">
        <f>+NNG!$D$24</f>
        <v>256206.41999999998</v>
      </c>
      <c r="C21" s="318">
        <f>+B21/$P$11</f>
        <v>44021.721649484534</v>
      </c>
      <c r="D21" s="325">
        <f>+NNG!A24</f>
        <v>36940</v>
      </c>
      <c r="E21" s="322" t="s">
        <v>91</v>
      </c>
      <c r="F21" s="322" t="s">
        <v>111</v>
      </c>
    </row>
    <row r="22" spans="1:6" ht="15.9" customHeight="1" x14ac:dyDescent="0.25">
      <c r="A22" s="369" t="s">
        <v>76</v>
      </c>
      <c r="B22" s="351">
        <f>+transcol!$D$43</f>
        <v>244311.63</v>
      </c>
      <c r="C22" s="318">
        <f>+B22/$P$11</f>
        <v>41977.943298969069</v>
      </c>
      <c r="D22" s="65">
        <f>+transcol!A43</f>
        <v>36941</v>
      </c>
      <c r="E22" t="s">
        <v>91</v>
      </c>
      <c r="F22" t="s">
        <v>126</v>
      </c>
    </row>
    <row r="23" spans="1:6" ht="15.9" customHeight="1" x14ac:dyDescent="0.25">
      <c r="A23" s="369" t="s">
        <v>1</v>
      </c>
      <c r="B23" s="317">
        <f>+C23*$P$10</f>
        <v>242102.69999999998</v>
      </c>
      <c r="C23" s="318">
        <f>+NW!$F$41</f>
        <v>41670</v>
      </c>
      <c r="D23" s="325">
        <f>+NW!B41</f>
        <v>36941</v>
      </c>
      <c r="E23" t="s">
        <v>90</v>
      </c>
      <c r="F23" t="s">
        <v>110</v>
      </c>
    </row>
    <row r="24" spans="1:6" ht="15.9" customHeight="1" x14ac:dyDescent="0.25">
      <c r="A24" s="369" t="s">
        <v>125</v>
      </c>
      <c r="B24" s="253">
        <f>+C24*$P$11</f>
        <v>188754.24000000002</v>
      </c>
      <c r="C24" s="301">
        <f>+'PG&amp;E'!D40</f>
        <v>32432</v>
      </c>
      <c r="D24" s="65">
        <f>+'PG&amp;E'!A40</f>
        <v>36941</v>
      </c>
      <c r="E24" t="s">
        <v>90</v>
      </c>
      <c r="F24" t="s">
        <v>113</v>
      </c>
    </row>
    <row r="25" spans="1:6" ht="15.9" customHeight="1" x14ac:dyDescent="0.25">
      <c r="A25" s="369" t="s">
        <v>8</v>
      </c>
      <c r="B25" s="317">
        <f>+C25*$P$11</f>
        <v>166620.78</v>
      </c>
      <c r="C25" s="318">
        <f>+Oasis!D40</f>
        <v>28629</v>
      </c>
      <c r="D25" s="65">
        <f>+Oasis!B40</f>
        <v>36940</v>
      </c>
      <c r="E25" t="s">
        <v>90</v>
      </c>
      <c r="F25" t="s">
        <v>113</v>
      </c>
    </row>
    <row r="26" spans="1:6" ht="15.9" customHeight="1" x14ac:dyDescent="0.25">
      <c r="A26" s="369" t="s">
        <v>35</v>
      </c>
      <c r="B26" s="317">
        <f>+PGETX!$H$39</f>
        <v>130327.34999999999</v>
      </c>
      <c r="C26" s="318">
        <f>+B26/$P$11</f>
        <v>22393.015463917523</v>
      </c>
      <c r="D26" s="65">
        <f>+PGETX!E39</f>
        <v>36940</v>
      </c>
      <c r="E26" t="s">
        <v>91</v>
      </c>
      <c r="F26" t="s">
        <v>113</v>
      </c>
    </row>
    <row r="27" spans="1:6" ht="15.9" customHeight="1" x14ac:dyDescent="0.25">
      <c r="A27" s="369" t="s">
        <v>34</v>
      </c>
      <c r="B27" s="317">
        <f>+C27*$P$11</f>
        <v>123872.88</v>
      </c>
      <c r="C27" s="318">
        <f>+SoCal!D40</f>
        <v>21284</v>
      </c>
      <c r="D27" s="65">
        <f>+SoCal!A40</f>
        <v>36941</v>
      </c>
      <c r="E27" t="s">
        <v>90</v>
      </c>
      <c r="F27" t="s">
        <v>109</v>
      </c>
    </row>
    <row r="28" spans="1:6" ht="15.9" customHeight="1" x14ac:dyDescent="0.25">
      <c r="A28" s="370" t="s">
        <v>84</v>
      </c>
      <c r="B28" s="317">
        <f>+Agave!$D$24</f>
        <v>86186.700000000012</v>
      </c>
      <c r="C28" s="318">
        <f>+B28/$P$11</f>
        <v>14808.711340206188</v>
      </c>
      <c r="D28" s="325">
        <f>+Agave!A24</f>
        <v>36940</v>
      </c>
      <c r="E28" s="322" t="s">
        <v>91</v>
      </c>
      <c r="F28" t="s">
        <v>113</v>
      </c>
    </row>
    <row r="29" spans="1:6" ht="15.9" customHeight="1" x14ac:dyDescent="0.25">
      <c r="A29" s="369" t="s">
        <v>33</v>
      </c>
      <c r="B29" s="317">
        <f>+C29*$P$11</f>
        <v>20387.460000000003</v>
      </c>
      <c r="C29" s="318">
        <f>+Lonestar!F42</f>
        <v>3503</v>
      </c>
      <c r="D29" s="325">
        <f>+Lonestar!B42</f>
        <v>36940</v>
      </c>
      <c r="E29" t="s">
        <v>90</v>
      </c>
      <c r="F29" t="s">
        <v>113</v>
      </c>
    </row>
    <row r="30" spans="1:6" ht="15.9" customHeight="1" x14ac:dyDescent="0.25">
      <c r="A30" s="369" t="s">
        <v>85</v>
      </c>
      <c r="B30" s="350">
        <f>+Conoco!$F$41</f>
        <v>13030.120000000112</v>
      </c>
      <c r="C30" s="341">
        <f>+B30/$P$10</f>
        <v>2242.7056798623257</v>
      </c>
      <c r="D30" s="325">
        <f>+Conoco!A41</f>
        <v>36940</v>
      </c>
      <c r="E30" t="s">
        <v>91</v>
      </c>
      <c r="F30" t="s">
        <v>110</v>
      </c>
    </row>
    <row r="31" spans="1:6" ht="18" customHeight="1" x14ac:dyDescent="0.25">
      <c r="A31" s="300" t="s">
        <v>106</v>
      </c>
      <c r="B31" s="253">
        <f>SUM(B12:B30)</f>
        <v>7212254.9200000009</v>
      </c>
      <c r="C31" s="301">
        <f>SUM(C12:C30)</f>
        <v>1239396.1213898305</v>
      </c>
    </row>
    <row r="32" spans="1:6" ht="18" customHeight="1" x14ac:dyDescent="0.25">
      <c r="F32" s="383"/>
    </row>
    <row r="33" spans="1:7" ht="18" customHeight="1" x14ac:dyDescent="0.25"/>
    <row r="34" spans="1:7" ht="18" customHeight="1" x14ac:dyDescent="0.25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5">
      <c r="A35" s="369" t="s">
        <v>130</v>
      </c>
      <c r="B35" s="351">
        <f>+GPM!F54</f>
        <v>-442655.15999999992</v>
      </c>
      <c r="C35" s="318">
        <f>+B35/$P$11</f>
        <v>-76057.587628865964</v>
      </c>
      <c r="D35" s="65">
        <f>+GPM!A40</f>
        <v>36940</v>
      </c>
      <c r="E35" t="s">
        <v>91</v>
      </c>
      <c r="F35" t="s">
        <v>111</v>
      </c>
      <c r="G35" t="s">
        <v>131</v>
      </c>
    </row>
    <row r="36" spans="1:7" ht="18" customHeight="1" x14ac:dyDescent="0.25">
      <c r="A36" s="370" t="s">
        <v>30</v>
      </c>
      <c r="B36" s="317">
        <f>+C36*$P$10</f>
        <v>-326527.81</v>
      </c>
      <c r="C36" s="318">
        <f>+williams!J40</f>
        <v>-56201</v>
      </c>
      <c r="D36" s="325">
        <f>+williams!A40</f>
        <v>36941</v>
      </c>
      <c r="E36" s="322" t="s">
        <v>90</v>
      </c>
      <c r="F36" s="322" t="s">
        <v>126</v>
      </c>
    </row>
    <row r="37" spans="1:7" ht="18" customHeight="1" x14ac:dyDescent="0.25">
      <c r="A37" s="370" t="s">
        <v>105</v>
      </c>
      <c r="B37" s="317">
        <f>+burlington!D42</f>
        <v>-317779.06</v>
      </c>
      <c r="C37" s="318">
        <f>+B37/$P$10</f>
        <v>-54695.191049913941</v>
      </c>
      <c r="D37" s="325">
        <f>+burlington!A42</f>
        <v>36941</v>
      </c>
      <c r="E37" s="322" t="s">
        <v>91</v>
      </c>
      <c r="F37" t="s">
        <v>110</v>
      </c>
    </row>
    <row r="38" spans="1:7" ht="18" customHeight="1" x14ac:dyDescent="0.25">
      <c r="A38" s="369" t="s">
        <v>7</v>
      </c>
      <c r="B38" s="317">
        <f>+C38*$P$10</f>
        <v>-276108.63</v>
      </c>
      <c r="C38" s="318">
        <f>+Amoco!D40</f>
        <v>-47523</v>
      </c>
      <c r="D38" s="65">
        <f>+Amoco!A40</f>
        <v>36941</v>
      </c>
      <c r="E38" t="s">
        <v>90</v>
      </c>
      <c r="F38" t="s">
        <v>110</v>
      </c>
    </row>
    <row r="39" spans="1:7" ht="18" customHeight="1" x14ac:dyDescent="0.25">
      <c r="A39" s="369" t="s">
        <v>114</v>
      </c>
      <c r="B39" s="317">
        <f>+EOG!J41</f>
        <v>-185652.49000000002</v>
      </c>
      <c r="C39" s="318">
        <f>+B39/$P$11</f>
        <v>-31899.053264604812</v>
      </c>
      <c r="D39" s="325">
        <f>+EOG!A41</f>
        <v>36940</v>
      </c>
      <c r="E39" t="s">
        <v>91</v>
      </c>
      <c r="F39" t="s">
        <v>113</v>
      </c>
    </row>
    <row r="40" spans="1:7" ht="18" customHeight="1" x14ac:dyDescent="0.25">
      <c r="A40" s="369" t="s">
        <v>120</v>
      </c>
      <c r="B40" s="350">
        <f>+Continental!F43</f>
        <v>-47968.170000000006</v>
      </c>
      <c r="C40" s="341">
        <f>+B40/$P$11</f>
        <v>-8241.9536082474224</v>
      </c>
      <c r="D40" s="65">
        <f>+Continental!A43</f>
        <v>36940</v>
      </c>
      <c r="E40" t="s">
        <v>91</v>
      </c>
      <c r="F40" t="s">
        <v>126</v>
      </c>
    </row>
    <row r="41" spans="1:7" ht="18" customHeight="1" x14ac:dyDescent="0.25">
      <c r="A41" s="300" t="s">
        <v>107</v>
      </c>
      <c r="B41" s="317">
        <f>SUM(B35:B40)</f>
        <v>-1596691.32</v>
      </c>
      <c r="C41" s="318">
        <f>SUM(C35:C40)</f>
        <v>-274617.78555163217</v>
      </c>
      <c r="D41" s="322"/>
    </row>
    <row r="42" spans="1:7" ht="18" customHeight="1" x14ac:dyDescent="0.25">
      <c r="B42" s="317"/>
      <c r="C42" s="318"/>
    </row>
    <row r="43" spans="1:7" ht="18" customHeight="1" x14ac:dyDescent="0.25">
      <c r="F43" s="383"/>
    </row>
    <row r="44" spans="1:7" ht="18" customHeight="1" thickBot="1" x14ac:dyDescent="0.3">
      <c r="A44" s="34" t="s">
        <v>101</v>
      </c>
      <c r="B44" s="315">
        <f>+B41+B31</f>
        <v>5615563.6000000006</v>
      </c>
      <c r="C44" s="316">
        <f>+C41+C31</f>
        <v>964778.33583819831</v>
      </c>
    </row>
    <row r="45" spans="1:7" ht="18" customHeight="1" thickTop="1" x14ac:dyDescent="0.25"/>
    <row r="46" spans="1:7" x14ac:dyDescent="0.25">
      <c r="C46" s="355"/>
    </row>
    <row r="47" spans="1:7" x14ac:dyDescent="0.25">
      <c r="A47" s="34" t="s">
        <v>102</v>
      </c>
    </row>
    <row r="52" spans="2:5" x14ac:dyDescent="0.25">
      <c r="C52" s="260"/>
      <c r="E52" s="353"/>
    </row>
    <row r="59" spans="2:5" x14ac:dyDescent="0.25">
      <c r="B59" s="319"/>
      <c r="C59" s="340"/>
    </row>
    <row r="60" spans="2:5" x14ac:dyDescent="0.25">
      <c r="B60" s="260"/>
    </row>
    <row r="61" spans="2:5" x14ac:dyDescent="0.25">
      <c r="B61" s="260"/>
    </row>
    <row r="62" spans="2:5" x14ac:dyDescent="0.25">
      <c r="B62" s="260"/>
    </row>
    <row r="63" spans="2:5" x14ac:dyDescent="0.25">
      <c r="B63" s="260"/>
      <c r="D63" s="64"/>
    </row>
    <row r="64" spans="2:5" x14ac:dyDescent="0.25">
      <c r="B64" s="260"/>
      <c r="C64" s="355"/>
    </row>
    <row r="65" spans="2:5" x14ac:dyDescent="0.25">
      <c r="B65" s="260"/>
      <c r="C65" s="355"/>
      <c r="D65" s="348"/>
      <c r="E65" s="356"/>
    </row>
    <row r="66" spans="2:5" x14ac:dyDescent="0.25">
      <c r="B66" s="260"/>
      <c r="C66" s="355"/>
      <c r="D66" s="271"/>
    </row>
    <row r="67" spans="2:5" x14ac:dyDescent="0.25">
      <c r="B67" s="260"/>
      <c r="C67" s="355"/>
      <c r="D67" s="271"/>
    </row>
    <row r="68" spans="2:5" x14ac:dyDescent="0.25">
      <c r="B68" s="260"/>
      <c r="C68" s="355"/>
      <c r="D68" s="31"/>
    </row>
    <row r="69" spans="2:5" x14ac:dyDescent="0.25">
      <c r="B69" s="260"/>
      <c r="C69" s="355"/>
      <c r="D69" s="357"/>
    </row>
    <row r="70" spans="2:5" x14ac:dyDescent="0.25">
      <c r="B70" s="349"/>
    </row>
    <row r="71" spans="2:5" x14ac:dyDescent="0.25">
      <c r="B71" s="349"/>
      <c r="D71" s="64"/>
    </row>
    <row r="72" spans="2:5" x14ac:dyDescent="0.25">
      <c r="B72" s="348"/>
      <c r="C72" s="260"/>
    </row>
    <row r="73" spans="2:5" x14ac:dyDescent="0.25">
      <c r="B73" s="348"/>
      <c r="C73" s="260"/>
    </row>
    <row r="74" spans="2:5" x14ac:dyDescent="0.25">
      <c r="B74" s="349"/>
      <c r="C74" s="260"/>
      <c r="D74" s="64"/>
    </row>
    <row r="75" spans="2:5" x14ac:dyDescent="0.25">
      <c r="B75" s="349"/>
      <c r="D75" s="64"/>
    </row>
    <row r="76" spans="2:5" x14ac:dyDescent="0.25">
      <c r="B76" s="349"/>
    </row>
    <row r="77" spans="2:5" x14ac:dyDescent="0.25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43" sqref="C43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>
        <v>14</v>
      </c>
      <c r="D20" s="24">
        <f t="shared" si="0"/>
        <v>14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16000</v>
      </c>
      <c r="C21" s="24">
        <v>20807</v>
      </c>
      <c r="D21" s="24">
        <f t="shared" si="0"/>
        <v>4807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16000</v>
      </c>
      <c r="C22" s="24">
        <v>11512</v>
      </c>
      <c r="D22" s="24">
        <f t="shared" si="0"/>
        <v>-4488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5">
      <c r="A36" s="12"/>
      <c r="B36" s="24">
        <f>SUM(B5:B35)</f>
        <v>129272</v>
      </c>
      <c r="C36" s="24">
        <f>SUM(C5:C35)</f>
        <v>133368</v>
      </c>
      <c r="D36" s="24">
        <f t="shared" si="0"/>
        <v>4096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5">
      <c r="B38" s="256">
        <v>36922</v>
      </c>
      <c r="C38" s="24"/>
      <c r="D38" s="387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5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8" thickBot="1" x14ac:dyDescent="0.3">
      <c r="B40" s="256">
        <v>36940</v>
      </c>
      <c r="C40" s="24"/>
      <c r="D40" s="195">
        <f>+D36+D38</f>
        <v>28629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8" thickTop="1" x14ac:dyDescent="0.25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5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5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5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3" sqref="E4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>
        <v>26808</v>
      </c>
      <c r="C18" s="11">
        <v>24000</v>
      </c>
      <c r="D18" s="11">
        <v>29248</v>
      </c>
      <c r="E18" s="11">
        <v>28000</v>
      </c>
      <c r="F18" s="25">
        <f t="shared" si="0"/>
        <v>-4056</v>
      </c>
      <c r="G18" s="25"/>
    </row>
    <row r="19" spans="1:7" x14ac:dyDescent="0.2">
      <c r="A19" s="41">
        <v>16</v>
      </c>
      <c r="B19" s="11">
        <v>27158</v>
      </c>
      <c r="C19" s="11">
        <v>24000</v>
      </c>
      <c r="D19" s="11">
        <v>28703</v>
      </c>
      <c r="E19" s="11">
        <v>28000</v>
      </c>
      <c r="F19" s="25">
        <f t="shared" si="0"/>
        <v>-3861</v>
      </c>
      <c r="G19" s="25"/>
    </row>
    <row r="20" spans="1:7" x14ac:dyDescent="0.2">
      <c r="A20" s="41">
        <v>17</v>
      </c>
      <c r="B20" s="11">
        <v>27393</v>
      </c>
      <c r="C20" s="11">
        <v>24000</v>
      </c>
      <c r="D20" s="11">
        <v>28109</v>
      </c>
      <c r="E20" s="11">
        <v>28000</v>
      </c>
      <c r="F20" s="25">
        <f t="shared" si="0"/>
        <v>-3502</v>
      </c>
      <c r="G20" s="25"/>
    </row>
    <row r="21" spans="1:7" x14ac:dyDescent="0.2">
      <c r="A21" s="41">
        <v>18</v>
      </c>
      <c r="B21" s="11">
        <v>26844</v>
      </c>
      <c r="C21" s="11">
        <v>24000</v>
      </c>
      <c r="D21" s="11">
        <v>26892</v>
      </c>
      <c r="E21" s="11">
        <v>28000</v>
      </c>
      <c r="F21" s="25">
        <f t="shared" si="0"/>
        <v>-1736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473269</v>
      </c>
      <c r="C35" s="11">
        <f>SUM(C4:C34)</f>
        <v>450956</v>
      </c>
      <c r="D35" s="11">
        <f>SUM(D4:D34)</f>
        <v>530177</v>
      </c>
      <c r="E35" s="11">
        <f>SUM(E4:E34)</f>
        <v>519949</v>
      </c>
      <c r="F35" s="11">
        <f>+E35-D35+C35-B35</f>
        <v>-32541</v>
      </c>
    </row>
    <row r="36" spans="1:7" x14ac:dyDescent="0.2">
      <c r="A36" s="45"/>
      <c r="C36" s="14">
        <f>+C35-B35</f>
        <v>-22313</v>
      </c>
      <c r="D36" s="14"/>
      <c r="E36" s="14">
        <f>+E35-D35</f>
        <v>-10228</v>
      </c>
      <c r="F36" s="47"/>
    </row>
    <row r="37" spans="1:7" x14ac:dyDescent="0.2">
      <c r="C37" s="15">
        <f>+summary!P11</f>
        <v>5.82</v>
      </c>
      <c r="D37" s="15"/>
      <c r="E37" s="15">
        <f>+C37</f>
        <v>5.82</v>
      </c>
      <c r="F37" s="24"/>
    </row>
    <row r="38" spans="1:7" x14ac:dyDescent="0.2">
      <c r="C38" s="48">
        <f>+C37*C36</f>
        <v>-129861.66</v>
      </c>
      <c r="D38" s="47"/>
      <c r="E38" s="48">
        <f>+E37*E36</f>
        <v>-59526.960000000006</v>
      </c>
      <c r="F38" s="46">
        <f>+E38+C38</f>
        <v>-189388.62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1">
        <v>2193759.63</v>
      </c>
      <c r="D40" s="343"/>
      <c r="E40" s="391">
        <v>-1991340.89</v>
      </c>
      <c r="F40" s="106">
        <f>+E40+C40</f>
        <v>202418.74</v>
      </c>
      <c r="G40" s="25"/>
    </row>
    <row r="41" spans="1:7" x14ac:dyDescent="0.2">
      <c r="A41" s="57">
        <v>36940</v>
      </c>
      <c r="C41" s="50">
        <f>+C40+C38</f>
        <v>2063897.97</v>
      </c>
      <c r="D41" s="50"/>
      <c r="E41" s="50">
        <f>+E40+E38</f>
        <v>-2050867.8499999999</v>
      </c>
      <c r="F41" s="106">
        <f>+E41+C41</f>
        <v>13030.120000000112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B21" sqref="B21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8"/>
      <c r="D3" s="88"/>
    </row>
    <row r="4" spans="1:13" x14ac:dyDescent="0.25">
      <c r="A4" s="87"/>
      <c r="B4" s="264" t="s">
        <v>21</v>
      </c>
      <c r="C4" s="264" t="s">
        <v>22</v>
      </c>
      <c r="D4" s="265" t="s">
        <v>53</v>
      </c>
    </row>
    <row r="5" spans="1:13" x14ac:dyDescent="0.25">
      <c r="A5" s="87">
        <v>56339</v>
      </c>
      <c r="B5" s="410">
        <v>629657</v>
      </c>
      <c r="C5" s="90">
        <v>625137</v>
      </c>
      <c r="D5" s="90">
        <f>+C5-B5</f>
        <v>-4520</v>
      </c>
      <c r="E5" s="290"/>
      <c r="F5" s="288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465280</v>
      </c>
      <c r="C7" s="90">
        <v>476302</v>
      </c>
      <c r="D7" s="90">
        <f t="shared" si="0"/>
        <v>11022</v>
      </c>
      <c r="E7" s="290"/>
      <c r="F7" s="288"/>
      <c r="L7" t="s">
        <v>27</v>
      </c>
      <c r="M7">
        <v>7.6</v>
      </c>
    </row>
    <row r="8" spans="1:13" x14ac:dyDescent="0.25">
      <c r="A8" s="87">
        <v>500239</v>
      </c>
      <c r="B8" s="92">
        <v>681371</v>
      </c>
      <c r="C8" s="90">
        <v>692329</v>
      </c>
      <c r="D8" s="90">
        <f t="shared" si="0"/>
        <v>10958</v>
      </c>
      <c r="E8" s="290"/>
      <c r="F8" s="288"/>
    </row>
    <row r="9" spans="1:13" x14ac:dyDescent="0.25">
      <c r="A9" s="87">
        <v>500293</v>
      </c>
      <c r="B9" s="92">
        <v>331778</v>
      </c>
      <c r="C9" s="90">
        <v>440603</v>
      </c>
      <c r="D9" s="90">
        <f t="shared" si="0"/>
        <v>108825</v>
      </c>
      <c r="E9" s="290"/>
      <c r="F9" s="288"/>
    </row>
    <row r="10" spans="1:13" x14ac:dyDescent="0.25">
      <c r="A10" s="87">
        <v>500302</v>
      </c>
      <c r="B10" s="90"/>
      <c r="C10" s="339">
        <v>5838</v>
      </c>
      <c r="D10" s="90">
        <f t="shared" si="0"/>
        <v>5838</v>
      </c>
      <c r="E10" s="290"/>
      <c r="F10" s="288"/>
    </row>
    <row r="11" spans="1:13" x14ac:dyDescent="0.25">
      <c r="A11" s="87">
        <v>500303</v>
      </c>
      <c r="B11" s="339">
        <v>181117</v>
      </c>
      <c r="C11" s="90">
        <v>110912</v>
      </c>
      <c r="D11" s="90">
        <f t="shared" si="0"/>
        <v>-70205</v>
      </c>
      <c r="E11" s="290"/>
      <c r="F11" s="288"/>
    </row>
    <row r="12" spans="1:13" x14ac:dyDescent="0.25">
      <c r="A12" s="91">
        <v>500305</v>
      </c>
      <c r="B12" s="339">
        <f>866112+55644</f>
        <v>921756</v>
      </c>
      <c r="C12" s="90">
        <v>980877</v>
      </c>
      <c r="D12" s="90">
        <f t="shared" si="0"/>
        <v>59121</v>
      </c>
      <c r="E12" s="291"/>
      <c r="F12" s="288"/>
    </row>
    <row r="13" spans="1:13" x14ac:dyDescent="0.25">
      <c r="A13" s="87">
        <v>500307</v>
      </c>
      <c r="B13" s="339">
        <v>41006</v>
      </c>
      <c r="C13" s="90">
        <v>39738</v>
      </c>
      <c r="D13" s="90">
        <f t="shared" si="0"/>
        <v>-1268</v>
      </c>
      <c r="E13" s="290"/>
      <c r="F13" s="288"/>
    </row>
    <row r="14" spans="1:13" x14ac:dyDescent="0.25">
      <c r="A14" s="87">
        <v>500313</v>
      </c>
      <c r="B14" s="90"/>
      <c r="C14" s="339">
        <v>2388</v>
      </c>
      <c r="D14" s="90">
        <f t="shared" si="0"/>
        <v>2388</v>
      </c>
      <c r="E14" s="290"/>
      <c r="F14" s="288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5">
      <c r="A16" s="87">
        <v>500655</v>
      </c>
      <c r="B16" s="358">
        <v>92538</v>
      </c>
      <c r="C16" s="90"/>
      <c r="D16" s="90">
        <f t="shared" si="0"/>
        <v>-92538</v>
      </c>
      <c r="E16" s="290"/>
      <c r="F16" s="288"/>
    </row>
    <row r="17" spans="1:6" x14ac:dyDescent="0.25">
      <c r="A17" s="87">
        <v>500657</v>
      </c>
      <c r="B17" s="375">
        <v>152151</v>
      </c>
      <c r="C17" s="88">
        <v>140413</v>
      </c>
      <c r="D17" s="94">
        <f t="shared" si="0"/>
        <v>-11738</v>
      </c>
      <c r="E17" s="290"/>
      <c r="F17" s="288"/>
    </row>
    <row r="18" spans="1:6" x14ac:dyDescent="0.25">
      <c r="A18" s="87"/>
      <c r="B18" s="88"/>
      <c r="C18" s="88"/>
      <c r="D18" s="88">
        <f>SUM(D5:D17)</f>
        <v>17883</v>
      </c>
      <c r="E18" s="290"/>
      <c r="F18" s="288"/>
    </row>
    <row r="19" spans="1:6" x14ac:dyDescent="0.25">
      <c r="A19" s="87" t="s">
        <v>87</v>
      </c>
      <c r="B19" s="88"/>
      <c r="C19" s="88"/>
      <c r="D19" s="95">
        <f>+summary!P11</f>
        <v>5.82</v>
      </c>
      <c r="E19" s="292"/>
      <c r="F19" s="288"/>
    </row>
    <row r="20" spans="1:6" x14ac:dyDescent="0.25">
      <c r="A20" s="87"/>
      <c r="B20" s="88"/>
      <c r="C20" s="88"/>
      <c r="D20" s="96">
        <f>+D19*D18</f>
        <v>104079.06000000001</v>
      </c>
      <c r="E20" s="209"/>
      <c r="F20" s="289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36922</v>
      </c>
      <c r="B22" s="88"/>
      <c r="C22" s="88"/>
      <c r="D22" s="399">
        <v>-17892.36</v>
      </c>
      <c r="E22" s="209"/>
      <c r="F22" s="66"/>
    </row>
    <row r="23" spans="1:6" x14ac:dyDescent="0.25">
      <c r="A23" s="87"/>
      <c r="B23" s="88"/>
      <c r="C23" s="88"/>
      <c r="D23" s="346"/>
      <c r="E23" s="209"/>
      <c r="F23" s="66"/>
    </row>
    <row r="24" spans="1:6" ht="13.8" thickBot="1" x14ac:dyDescent="0.3">
      <c r="A24" s="99">
        <v>36940</v>
      </c>
      <c r="B24" s="88"/>
      <c r="C24" s="88"/>
      <c r="D24" s="374">
        <f>+D22+D20</f>
        <v>86186.700000000012</v>
      </c>
      <c r="E24" s="209"/>
      <c r="F24" s="66"/>
    </row>
    <row r="25" spans="1:6" ht="13.8" thickTop="1" x14ac:dyDescent="0.25">
      <c r="E25" s="293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2" workbookViewId="1">
      <selection activeCell="C24" sqref="C24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164392</v>
      </c>
      <c r="C19" s="11">
        <v>190487</v>
      </c>
      <c r="D19" s="11"/>
      <c r="E19" s="11">
        <v>18640</v>
      </c>
      <c r="F19" s="11">
        <f t="shared" si="5"/>
        <v>7455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154083</v>
      </c>
      <c r="C20" s="11">
        <v>172365</v>
      </c>
      <c r="D20" s="11"/>
      <c r="E20" s="11">
        <v>5723</v>
      </c>
      <c r="F20" s="11">
        <f t="shared" si="5"/>
        <v>12559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160226</v>
      </c>
      <c r="C21" s="11">
        <v>192223</v>
      </c>
      <c r="D21" s="11"/>
      <c r="E21" s="11">
        <v>25847</v>
      </c>
      <c r="F21" s="11">
        <f t="shared" si="5"/>
        <v>6150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161458</v>
      </c>
      <c r="C22" s="11">
        <v>192408</v>
      </c>
      <c r="D22" s="11"/>
      <c r="E22" s="11">
        <v>24900</v>
      </c>
      <c r="F22" s="11">
        <f t="shared" si="5"/>
        <v>6050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156133</v>
      </c>
      <c r="C23" s="11">
        <v>192306</v>
      </c>
      <c r="D23" s="11"/>
      <c r="E23" s="11">
        <v>30663</v>
      </c>
      <c r="F23" s="11">
        <f t="shared" si="5"/>
        <v>5510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3256620</v>
      </c>
      <c r="C36" s="11">
        <f>SUM(C5:C35)</f>
        <v>3542491</v>
      </c>
      <c r="D36" s="11"/>
      <c r="E36" s="11">
        <f>SUM(E5:E35)</f>
        <v>184014</v>
      </c>
      <c r="F36" s="11">
        <f>SUM(F5:F35)</f>
        <v>101857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36922</v>
      </c>
      <c r="F39" s="384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36941</v>
      </c>
      <c r="F41" s="280">
        <f>+F39+F36</f>
        <v>41670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8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4" workbookViewId="1">
      <selection activeCell="C27" sqref="C2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76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5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5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5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5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5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5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5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5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5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5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5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5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5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5">
      <c r="A22" s="10">
        <v>15</v>
      </c>
      <c r="B22" s="11">
        <v>36565</v>
      </c>
      <c r="C22" s="11">
        <v>37061</v>
      </c>
      <c r="D22" s="11">
        <f t="shared" si="0"/>
        <v>496</v>
      </c>
      <c r="E22" s="10"/>
      <c r="F22" s="11"/>
      <c r="G22" s="11"/>
      <c r="H22" s="11"/>
    </row>
    <row r="23" spans="1:8" x14ac:dyDescent="0.25">
      <c r="A23" s="10">
        <v>16</v>
      </c>
      <c r="B23" s="11">
        <v>41951</v>
      </c>
      <c r="C23" s="11">
        <v>42061</v>
      </c>
      <c r="D23" s="11">
        <f t="shared" si="0"/>
        <v>110</v>
      </c>
      <c r="E23" s="10"/>
      <c r="F23" s="11"/>
      <c r="G23" s="11"/>
      <c r="H23" s="11"/>
    </row>
    <row r="24" spans="1:8" x14ac:dyDescent="0.25">
      <c r="A24" s="10">
        <v>17</v>
      </c>
      <c r="B24" s="11">
        <v>37414</v>
      </c>
      <c r="C24" s="11">
        <v>37061</v>
      </c>
      <c r="D24" s="11">
        <f t="shared" si="0"/>
        <v>-353</v>
      </c>
      <c r="E24" s="10"/>
      <c r="F24" s="11"/>
      <c r="G24" s="11"/>
      <c r="H24" s="11"/>
    </row>
    <row r="25" spans="1:8" x14ac:dyDescent="0.25">
      <c r="A25" s="10">
        <v>18</v>
      </c>
      <c r="B25" s="11">
        <v>36885</v>
      </c>
      <c r="C25" s="11">
        <v>37061</v>
      </c>
      <c r="D25" s="11">
        <f t="shared" si="0"/>
        <v>176</v>
      </c>
      <c r="E25" s="10"/>
      <c r="F25" s="11"/>
      <c r="G25" s="11"/>
      <c r="H25" s="11"/>
    </row>
    <row r="26" spans="1:8" x14ac:dyDescent="0.25">
      <c r="A26" s="10">
        <v>19</v>
      </c>
      <c r="B26" s="11">
        <v>37846</v>
      </c>
      <c r="C26" s="11">
        <v>37061</v>
      </c>
      <c r="D26" s="11">
        <f t="shared" si="0"/>
        <v>-785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724968</v>
      </c>
      <c r="C39" s="11">
        <f>SUM(C8:C38)</f>
        <v>719658</v>
      </c>
      <c r="D39" s="11">
        <f>SUM(D8:D38)</f>
        <v>-5310</v>
      </c>
      <c r="E39" s="10"/>
      <c r="F39" s="11"/>
      <c r="G39" s="11"/>
      <c r="H39" s="11"/>
    </row>
    <row r="40" spans="1:8" x14ac:dyDescent="0.25">
      <c r="A40" s="26"/>
      <c r="D40" s="75">
        <f>+summary!P11</f>
        <v>5.82</v>
      </c>
      <c r="E40" s="26"/>
      <c r="H40" s="75"/>
    </row>
    <row r="41" spans="1:8" x14ac:dyDescent="0.25">
      <c r="D41" s="197">
        <f>+D40*D39</f>
        <v>-30904.2</v>
      </c>
      <c r="F41" s="253"/>
      <c r="H41" s="197"/>
    </row>
    <row r="42" spans="1:8" x14ac:dyDescent="0.25">
      <c r="A42" s="57">
        <v>36922</v>
      </c>
      <c r="D42" s="402">
        <v>275215.83</v>
      </c>
      <c r="E42" s="57"/>
      <c r="H42" s="197"/>
    </row>
    <row r="43" spans="1:8" x14ac:dyDescent="0.25">
      <c r="A43" s="57">
        <v>36941</v>
      </c>
      <c r="D43" s="198">
        <f>+D42+D41</f>
        <v>244311.63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47" workbookViewId="1">
      <selection activeCell="B71" sqref="B7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103</v>
      </c>
      <c r="G2" s="32"/>
      <c r="H2" s="15"/>
      <c r="I2" s="32"/>
      <c r="J2" s="32"/>
    </row>
    <row r="3" spans="1:10" x14ac:dyDescent="0.25">
      <c r="A3" s="2" t="s">
        <v>77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9">
        <v>36922</v>
      </c>
      <c r="C5" s="392">
        <v>26997.22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36940</v>
      </c>
      <c r="G7" s="32"/>
      <c r="H7" s="15"/>
      <c r="I7" s="32"/>
      <c r="J7" s="32"/>
    </row>
    <row r="8" spans="1:10" x14ac:dyDescent="0.25">
      <c r="A8" s="254">
        <v>60874</v>
      </c>
      <c r="B8" s="377">
        <v>2864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18918-19015</f>
        <v>-97</v>
      </c>
      <c r="G10" s="32"/>
      <c r="H10" s="15"/>
      <c r="I10" s="32"/>
      <c r="J10" s="32"/>
    </row>
    <row r="11" spans="1:10" x14ac:dyDescent="0.25">
      <c r="A11" s="254">
        <v>500251</v>
      </c>
      <c r="B11" s="367">
        <f>7440-7995</f>
        <v>-555</v>
      </c>
      <c r="G11" s="32"/>
      <c r="H11" s="15"/>
      <c r="I11" s="32"/>
      <c r="J11" s="32"/>
    </row>
    <row r="12" spans="1:10" x14ac:dyDescent="0.25">
      <c r="A12" s="254">
        <v>500254</v>
      </c>
      <c r="B12" s="367">
        <f>770-1572</f>
        <v>-802</v>
      </c>
      <c r="G12" s="32"/>
      <c r="H12" s="15"/>
      <c r="I12" s="32"/>
      <c r="J12" s="32"/>
    </row>
    <row r="13" spans="1:10" x14ac:dyDescent="0.25">
      <c r="A13" s="32">
        <v>500255</v>
      </c>
      <c r="B13" s="367">
        <f>13240-16623</f>
        <v>-3383</v>
      </c>
      <c r="G13" s="32"/>
      <c r="H13" s="15"/>
      <c r="I13" s="32"/>
      <c r="J13" s="32"/>
    </row>
    <row r="14" spans="1:10" x14ac:dyDescent="0.25">
      <c r="A14" s="32">
        <v>500262</v>
      </c>
      <c r="B14" s="367">
        <f>4400-4326</f>
        <v>74</v>
      </c>
      <c r="G14" s="32"/>
      <c r="H14" s="15"/>
      <c r="I14" s="32"/>
      <c r="J14" s="32"/>
    </row>
    <row r="15" spans="1:10" x14ac:dyDescent="0.25">
      <c r="A15" s="295">
        <v>500267</v>
      </c>
      <c r="B15" s="368">
        <f>1005085-998516</f>
        <v>6569</v>
      </c>
      <c r="G15" s="32"/>
      <c r="H15" s="15"/>
      <c r="I15" s="32"/>
      <c r="J15" s="32"/>
    </row>
    <row r="16" spans="1:10" x14ac:dyDescent="0.25">
      <c r="B16" s="14">
        <f>SUM(B8:B15)</f>
        <v>4670</v>
      </c>
      <c r="G16" s="32"/>
      <c r="H16" s="15"/>
      <c r="I16" s="32"/>
      <c r="J16" s="32"/>
    </row>
    <row r="17" spans="1:10" x14ac:dyDescent="0.25">
      <c r="B17" s="15">
        <f>+B30</f>
        <v>5.82</v>
      </c>
      <c r="C17" s="201">
        <f>+B17*B16</f>
        <v>27179.4</v>
      </c>
      <c r="G17" s="32"/>
      <c r="H17" s="15"/>
      <c r="I17" s="32"/>
      <c r="J17" s="32"/>
    </row>
    <row r="18" spans="1:10" x14ac:dyDescent="0.25">
      <c r="C18" s="382">
        <f>+C17+C5</f>
        <v>54176.62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95</v>
      </c>
      <c r="G20" s="32"/>
      <c r="H20" s="15"/>
      <c r="I20" s="32"/>
      <c r="J20" s="32"/>
    </row>
    <row r="21" spans="1:10" x14ac:dyDescent="0.25">
      <c r="A21" s="2" t="s">
        <v>78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36922</v>
      </c>
      <c r="C24" s="393">
        <v>275313.71999999997</v>
      </c>
      <c r="G24" s="32"/>
      <c r="H24" s="15"/>
      <c r="I24" s="32"/>
      <c r="J24" s="32"/>
    </row>
    <row r="25" spans="1:10" x14ac:dyDescent="0.25">
      <c r="F25" s="271"/>
      <c r="G25" s="32"/>
      <c r="H25" s="15"/>
      <c r="I25" s="32"/>
      <c r="J25" s="32"/>
    </row>
    <row r="26" spans="1:10" x14ac:dyDescent="0.25">
      <c r="A26" s="57">
        <v>36940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5.82</v>
      </c>
      <c r="C30" s="201">
        <f>+B30*B29</f>
        <v>0</v>
      </c>
    </row>
    <row r="31" spans="1:10" x14ac:dyDescent="0.25">
      <c r="C31" s="382">
        <f>+C30+C24</f>
        <v>275313.71999999997</v>
      </c>
      <c r="E31" s="15"/>
    </row>
    <row r="33" spans="1:6" x14ac:dyDescent="0.25">
      <c r="E33" s="276"/>
    </row>
    <row r="34" spans="1:6" x14ac:dyDescent="0.25">
      <c r="A34" s="32" t="s">
        <v>95</v>
      </c>
      <c r="E34" s="15"/>
    </row>
    <row r="35" spans="1:6" x14ac:dyDescent="0.25">
      <c r="A35" s="32" t="s">
        <v>79</v>
      </c>
      <c r="E35" s="15"/>
    </row>
    <row r="38" spans="1:6" x14ac:dyDescent="0.25">
      <c r="A38" s="49">
        <v>36922</v>
      </c>
      <c r="C38" s="393">
        <v>470803.55</v>
      </c>
      <c r="E38" s="15"/>
      <c r="F38" s="271"/>
    </row>
    <row r="40" spans="1:6" x14ac:dyDescent="0.25">
      <c r="A40" s="250">
        <v>36940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5250</v>
      </c>
    </row>
    <row r="43" spans="1:6" x14ac:dyDescent="0.25">
      <c r="A43" s="32">
        <v>500392</v>
      </c>
      <c r="B43" s="258">
        <v>1408</v>
      </c>
    </row>
    <row r="44" spans="1:6" x14ac:dyDescent="0.25">
      <c r="B44" s="14">
        <f>SUM(B41:B43)</f>
        <v>6658</v>
      </c>
    </row>
    <row r="45" spans="1:6" x14ac:dyDescent="0.25">
      <c r="B45" s="201">
        <f>+B30</f>
        <v>5.82</v>
      </c>
      <c r="C45" s="201">
        <f>+B45*B44</f>
        <v>38749.560000000005</v>
      </c>
    </row>
    <row r="46" spans="1:6" x14ac:dyDescent="0.25">
      <c r="C46" s="259">
        <f>+C45+C38</f>
        <v>509553.11</v>
      </c>
      <c r="E46" s="206"/>
    </row>
    <row r="47" spans="1:6" x14ac:dyDescent="0.25">
      <c r="E47" s="217"/>
    </row>
    <row r="48" spans="1:6" x14ac:dyDescent="0.25">
      <c r="E48" s="206"/>
    </row>
    <row r="49" spans="1:5" x14ac:dyDescent="0.25">
      <c r="C49" s="354"/>
      <c r="E49" s="217"/>
    </row>
    <row r="50" spans="1:5" x14ac:dyDescent="0.25">
      <c r="A50" s="32" t="s">
        <v>95</v>
      </c>
    </row>
    <row r="51" spans="1:5" x14ac:dyDescent="0.25">
      <c r="A51" s="32">
        <v>21665</v>
      </c>
      <c r="C51" s="394">
        <v>73449.16</v>
      </c>
      <c r="D51" s="32" t="s">
        <v>134</v>
      </c>
      <c r="E51" s="50"/>
    </row>
    <row r="52" spans="1:5" x14ac:dyDescent="0.25">
      <c r="A52" s="32">
        <v>22664</v>
      </c>
      <c r="C52" s="395">
        <v>23612.35</v>
      </c>
      <c r="D52" s="32" t="s">
        <v>135</v>
      </c>
    </row>
    <row r="53" spans="1:5" x14ac:dyDescent="0.25">
      <c r="A53" s="32">
        <v>20248</v>
      </c>
      <c r="C53" s="47">
        <v>-15794</v>
      </c>
      <c r="D53" s="15"/>
      <c r="E53" s="15"/>
    </row>
    <row r="54" spans="1:5" x14ac:dyDescent="0.25">
      <c r="A54" s="32">
        <v>25873</v>
      </c>
      <c r="C54" s="47">
        <v>-259</v>
      </c>
      <c r="D54" s="15"/>
    </row>
    <row r="55" spans="1:5" x14ac:dyDescent="0.25">
      <c r="A55" s="32">
        <v>26758</v>
      </c>
      <c r="C55" s="47">
        <v>-596</v>
      </c>
      <c r="D55" s="15"/>
    </row>
    <row r="56" spans="1:5" x14ac:dyDescent="0.25">
      <c r="A56" s="32">
        <v>26372</v>
      </c>
      <c r="C56" s="47">
        <v>2997.09</v>
      </c>
      <c r="D56" s="15"/>
    </row>
    <row r="57" spans="1:5" x14ac:dyDescent="0.25">
      <c r="A57" s="32">
        <v>26700</v>
      </c>
      <c r="C57" s="47">
        <v>4077.9</v>
      </c>
      <c r="D57" s="15"/>
    </row>
    <row r="58" spans="1:5" x14ac:dyDescent="0.25">
      <c r="A58" s="32">
        <v>26422</v>
      </c>
      <c r="C58" s="47">
        <v>8155.8</v>
      </c>
      <c r="D58" s="15"/>
    </row>
    <row r="59" spans="1:5" x14ac:dyDescent="0.25">
      <c r="A59" s="32">
        <v>26661</v>
      </c>
      <c r="C59" s="47">
        <v>146862.35</v>
      </c>
      <c r="D59" s="15"/>
    </row>
    <row r="60" spans="1:5" x14ac:dyDescent="0.25">
      <c r="A60" s="32">
        <v>27291</v>
      </c>
      <c r="C60" s="47">
        <v>-17965</v>
      </c>
      <c r="D60" s="15"/>
    </row>
    <row r="61" spans="1:5" x14ac:dyDescent="0.25">
      <c r="A61" s="32">
        <v>27123</v>
      </c>
      <c r="C61" s="366">
        <v>-6425.19</v>
      </c>
      <c r="D61" s="15"/>
    </row>
    <row r="62" spans="1:5" x14ac:dyDescent="0.25">
      <c r="C62" s="365">
        <f>+C18+C31+C46+C51+C52+C53+C54+C55+C56+C57+C58+C59+C60+C61</f>
        <v>1057158.9100000001</v>
      </c>
    </row>
    <row r="63" spans="1:5" x14ac:dyDescent="0.25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26" workbookViewId="1">
      <selection activeCell="C47" sqref="C47"/>
    </sheetView>
  </sheetViews>
  <sheetFormatPr defaultRowHeight="13.2" x14ac:dyDescent="0.25"/>
  <cols>
    <col min="3" max="3" width="9.88671875" bestFit="1" customWidth="1"/>
    <col min="6" max="6" width="12.33203125" bestFit="1" customWidth="1"/>
  </cols>
  <sheetData>
    <row r="1" spans="1:8" x14ac:dyDescent="0.25">
      <c r="A1" s="54"/>
      <c r="B1" s="362">
        <v>23995</v>
      </c>
      <c r="C1" s="236"/>
      <c r="D1" s="361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5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5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5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5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5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5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5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5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5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5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5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5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5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5">
      <c r="A18" s="10">
        <v>15</v>
      </c>
      <c r="B18" s="11">
        <v>29888</v>
      </c>
      <c r="C18" s="11">
        <v>25000</v>
      </c>
      <c r="D18" s="11">
        <v>25003</v>
      </c>
      <c r="E18" s="11">
        <v>24000</v>
      </c>
      <c r="F18" s="11">
        <f t="shared" si="0"/>
        <v>-5891</v>
      </c>
      <c r="G18" s="11"/>
      <c r="H18" s="24"/>
    </row>
    <row r="19" spans="1:8" x14ac:dyDescent="0.25">
      <c r="A19" s="10">
        <v>16</v>
      </c>
      <c r="B19" s="11">
        <v>29953</v>
      </c>
      <c r="C19" s="11">
        <v>25000</v>
      </c>
      <c r="D19" s="11">
        <v>25275</v>
      </c>
      <c r="E19" s="11">
        <v>24000</v>
      </c>
      <c r="F19" s="11">
        <f t="shared" si="0"/>
        <v>-6228</v>
      </c>
      <c r="G19" s="11"/>
      <c r="H19" s="24"/>
    </row>
    <row r="20" spans="1:8" x14ac:dyDescent="0.25">
      <c r="A20" s="10">
        <v>17</v>
      </c>
      <c r="B20" s="11">
        <v>29874</v>
      </c>
      <c r="C20" s="11">
        <v>25000</v>
      </c>
      <c r="D20" s="11">
        <v>23873</v>
      </c>
      <c r="E20" s="11">
        <v>24000</v>
      </c>
      <c r="F20" s="11">
        <f t="shared" si="0"/>
        <v>-4747</v>
      </c>
      <c r="G20" s="11"/>
      <c r="H20" s="24"/>
    </row>
    <row r="21" spans="1:8" x14ac:dyDescent="0.25">
      <c r="A21" s="10">
        <v>18</v>
      </c>
      <c r="B21" s="129">
        <v>29851</v>
      </c>
      <c r="C21" s="11">
        <v>25000</v>
      </c>
      <c r="D21" s="11">
        <v>25273</v>
      </c>
      <c r="E21" s="11">
        <v>24000</v>
      </c>
      <c r="F21" s="11">
        <f t="shared" si="0"/>
        <v>-6124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491428</v>
      </c>
      <c r="C35" s="11">
        <f>SUM(C4:C34)</f>
        <v>455000</v>
      </c>
      <c r="D35" s="11">
        <f>SUM(D4:D34)</f>
        <v>440432</v>
      </c>
      <c r="E35" s="11">
        <f>SUM(E4:E34)</f>
        <v>421474</v>
      </c>
      <c r="F35" s="11">
        <f>SUM(F4:F34)</f>
        <v>-55386</v>
      </c>
      <c r="G35" s="11"/>
      <c r="H35" s="11"/>
    </row>
    <row r="36" spans="1:8" x14ac:dyDescent="0.25">
      <c r="C36" s="25">
        <f>+C35-B35</f>
        <v>-36428</v>
      </c>
      <c r="E36" s="25">
        <f>+E35-D35</f>
        <v>-18958</v>
      </c>
      <c r="F36" s="25">
        <f>+E36+C36</f>
        <v>-55386</v>
      </c>
    </row>
    <row r="37" spans="1:8" x14ac:dyDescent="0.25">
      <c r="C37" s="363">
        <f>+summary!P12</f>
        <v>5.82</v>
      </c>
      <c r="E37" s="363">
        <f>+C37</f>
        <v>5.82</v>
      </c>
      <c r="F37" s="363">
        <f>+E37</f>
        <v>5.82</v>
      </c>
    </row>
    <row r="38" spans="1:8" x14ac:dyDescent="0.25">
      <c r="C38" s="138">
        <f>+C37*C36</f>
        <v>-212010.96000000002</v>
      </c>
      <c r="E38" s="138">
        <f>+E37*E36</f>
        <v>-110335.56000000001</v>
      </c>
      <c r="F38" s="138">
        <f>+F37*F36</f>
        <v>-322346.52</v>
      </c>
    </row>
    <row r="39" spans="1:8" x14ac:dyDescent="0.25">
      <c r="A39" s="57">
        <v>36922</v>
      </c>
      <c r="B39" s="2" t="s">
        <v>48</v>
      </c>
      <c r="C39" s="398">
        <v>-772485</v>
      </c>
      <c r="D39" s="381"/>
      <c r="E39" s="398">
        <v>-63719.29</v>
      </c>
      <c r="F39" s="137">
        <f>+E39+C39</f>
        <v>-836204.29</v>
      </c>
      <c r="G39" s="24"/>
      <c r="H39" s="24"/>
    </row>
    <row r="40" spans="1:8" x14ac:dyDescent="0.25">
      <c r="A40" s="57">
        <v>36940</v>
      </c>
      <c r="B40" s="2" t="s">
        <v>48</v>
      </c>
      <c r="C40" s="364">
        <f>+C39+C38</f>
        <v>-984495.96</v>
      </c>
      <c r="D40" s="261"/>
      <c r="E40" s="364">
        <f>+E39+E38</f>
        <v>-174054.85</v>
      </c>
      <c r="F40" s="364">
        <f>+F39+F38</f>
        <v>-1158550.81</v>
      </c>
      <c r="G40" s="131"/>
      <c r="H40" s="131"/>
    </row>
    <row r="41" spans="1:8" x14ac:dyDescent="0.25">
      <c r="C41" s="253"/>
    </row>
    <row r="42" spans="1:8" x14ac:dyDescent="0.25">
      <c r="F42" s="15"/>
    </row>
    <row r="43" spans="1:8" x14ac:dyDescent="0.25">
      <c r="B43" s="12" t="s">
        <v>123</v>
      </c>
      <c r="F43" s="15"/>
    </row>
    <row r="44" spans="1:8" x14ac:dyDescent="0.25">
      <c r="B44" s="12">
        <v>22864</v>
      </c>
      <c r="F44" s="397">
        <v>-58339.66</v>
      </c>
      <c r="G44" s="32" t="s">
        <v>51</v>
      </c>
    </row>
    <row r="45" spans="1:8" x14ac:dyDescent="0.25">
      <c r="B45" s="12">
        <v>20379</v>
      </c>
      <c r="F45" s="392">
        <v>-51695.87</v>
      </c>
      <c r="G45" s="32" t="s">
        <v>137</v>
      </c>
    </row>
    <row r="46" spans="1:8" x14ac:dyDescent="0.25">
      <c r="B46" s="12">
        <v>21459</v>
      </c>
      <c r="F46" s="373">
        <v>10570.56</v>
      </c>
    </row>
    <row r="47" spans="1:8" x14ac:dyDescent="0.25">
      <c r="B47" s="12">
        <v>26357</v>
      </c>
      <c r="F47" s="397">
        <v>44144.84</v>
      </c>
      <c r="G47" s="32" t="s">
        <v>138</v>
      </c>
    </row>
    <row r="48" spans="1:8" x14ac:dyDescent="0.25">
      <c r="B48" s="12">
        <v>21544</v>
      </c>
      <c r="F48" s="397">
        <v>61340.160000000003</v>
      </c>
      <c r="G48" s="32" t="s">
        <v>139</v>
      </c>
    </row>
    <row r="49" spans="2:7" x14ac:dyDescent="0.25">
      <c r="B49" s="12">
        <v>24532</v>
      </c>
      <c r="F49" s="396">
        <v>-347283.29</v>
      </c>
      <c r="G49" s="32" t="s">
        <v>136</v>
      </c>
    </row>
    <row r="50" spans="2:7" x14ac:dyDescent="0.25">
      <c r="F50" s="104">
        <f>SUM(F40:F49)</f>
        <v>-1499814.07</v>
      </c>
    </row>
    <row r="52" spans="2:7" x14ac:dyDescent="0.25">
      <c r="B52" s="2" t="s">
        <v>127</v>
      </c>
      <c r="F52" s="138">
        <f>+Duke!C62</f>
        <v>1057158.9100000001</v>
      </c>
    </row>
    <row r="54" spans="2:7" x14ac:dyDescent="0.25">
      <c r="F54" s="104">
        <f>+F52+F50</f>
        <v>-442655.15999999992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2" workbookViewId="1">
      <selection activeCell="A42" sqref="A42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74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6404</v>
      </c>
      <c r="C22" s="11">
        <v>5862</v>
      </c>
      <c r="D22" s="11">
        <v>149</v>
      </c>
      <c r="E22" s="11">
        <v>91</v>
      </c>
      <c r="F22" s="11">
        <v>1109</v>
      </c>
      <c r="G22" s="11">
        <v>1182</v>
      </c>
      <c r="H22" s="11">
        <v>1745</v>
      </c>
      <c r="I22" s="11">
        <v>1923</v>
      </c>
      <c r="J22" s="25">
        <f t="shared" si="0"/>
        <v>-349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7014</v>
      </c>
      <c r="C23" s="11">
        <v>5862</v>
      </c>
      <c r="D23" s="11">
        <v>145</v>
      </c>
      <c r="E23" s="11">
        <v>91</v>
      </c>
      <c r="F23" s="11">
        <v>1374</v>
      </c>
      <c r="G23" s="11">
        <v>1182</v>
      </c>
      <c r="H23" s="11">
        <v>1725</v>
      </c>
      <c r="I23" s="11">
        <v>1923</v>
      </c>
      <c r="J23" s="25">
        <f t="shared" si="0"/>
        <v>-1200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6616</v>
      </c>
      <c r="C24" s="11">
        <v>5862</v>
      </c>
      <c r="D24" s="11">
        <v>135</v>
      </c>
      <c r="E24" s="11">
        <v>91</v>
      </c>
      <c r="F24" s="11">
        <v>1435</v>
      </c>
      <c r="G24" s="11">
        <v>1182</v>
      </c>
      <c r="H24" s="11">
        <v>1747</v>
      </c>
      <c r="I24" s="11">
        <v>1641</v>
      </c>
      <c r="J24" s="25">
        <f t="shared" si="0"/>
        <v>-1157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6498</v>
      </c>
      <c r="C25" s="11">
        <v>5862</v>
      </c>
      <c r="D25" s="11">
        <v>144</v>
      </c>
      <c r="E25" s="11">
        <v>91</v>
      </c>
      <c r="F25" s="11">
        <v>1305</v>
      </c>
      <c r="G25" s="11">
        <v>1182</v>
      </c>
      <c r="H25" s="11">
        <v>1717</v>
      </c>
      <c r="I25" s="11">
        <v>1476</v>
      </c>
      <c r="J25" s="25">
        <f t="shared" si="0"/>
        <v>-1053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6960</v>
      </c>
      <c r="C26" s="11">
        <v>5862</v>
      </c>
      <c r="D26" s="11">
        <v>130</v>
      </c>
      <c r="E26" s="11">
        <v>91</v>
      </c>
      <c r="F26" s="11">
        <v>1366</v>
      </c>
      <c r="G26" s="11">
        <v>1182</v>
      </c>
      <c r="H26" s="11">
        <v>1677</v>
      </c>
      <c r="I26" s="11">
        <v>1184</v>
      </c>
      <c r="J26" s="25">
        <f t="shared" si="0"/>
        <v>-1814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117401</v>
      </c>
      <c r="C39" s="11">
        <f t="shared" si="1"/>
        <v>111214</v>
      </c>
      <c r="D39" s="11">
        <f t="shared" si="1"/>
        <v>2378</v>
      </c>
      <c r="E39" s="11">
        <f t="shared" si="1"/>
        <v>1718</v>
      </c>
      <c r="F39" s="11">
        <f t="shared" si="1"/>
        <v>22465</v>
      </c>
      <c r="G39" s="11">
        <f t="shared" si="1"/>
        <v>22406</v>
      </c>
      <c r="H39" s="11">
        <f t="shared" si="1"/>
        <v>33637</v>
      </c>
      <c r="I39" s="11">
        <f t="shared" si="1"/>
        <v>34328</v>
      </c>
      <c r="J39" s="25">
        <f t="shared" si="1"/>
        <v>-6215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3">
        <f>+summary!P11</f>
        <v>5.82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-36171.300000000003</v>
      </c>
      <c r="L41"/>
      <c r="R41" s="138"/>
      <c r="X41" s="138"/>
    </row>
    <row r="42" spans="1:24" x14ac:dyDescent="0.25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36941</v>
      </c>
      <c r="C43" s="48"/>
      <c r="J43" s="138">
        <f>+J42+J41</f>
        <v>576386.63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9" workbookViewId="1">
      <selection activeCell="A44" sqref="A44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11988</v>
      </c>
      <c r="C21" s="11">
        <v>10600</v>
      </c>
      <c r="D21" s="25">
        <f t="shared" si="0"/>
        <v>-1388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12233</v>
      </c>
      <c r="C22" s="11">
        <v>10600</v>
      </c>
      <c r="D22" s="25">
        <f t="shared" si="0"/>
        <v>-1633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11636</v>
      </c>
      <c r="C23" s="11">
        <v>10600</v>
      </c>
      <c r="D23" s="25">
        <f t="shared" si="0"/>
        <v>-1036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>
        <v>11761</v>
      </c>
      <c r="C24" s="11">
        <v>10600</v>
      </c>
      <c r="D24" s="25">
        <f t="shared" si="0"/>
        <v>-1161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>
        <v>12125</v>
      </c>
      <c r="C25" s="11">
        <v>10600</v>
      </c>
      <c r="D25" s="25">
        <f t="shared" si="0"/>
        <v>-1525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>
        <v>12087</v>
      </c>
      <c r="C26" s="11">
        <v>10600</v>
      </c>
      <c r="D26" s="25">
        <f t="shared" si="0"/>
        <v>-1487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237597</v>
      </c>
      <c r="C39" s="11">
        <f>SUM(C8:C38)</f>
        <v>200874</v>
      </c>
      <c r="D39" s="11">
        <f>SUM(D8:D38)</f>
        <v>-36723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5.82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-213727.86000000002</v>
      </c>
      <c r="H41" s="138"/>
      <c r="L41" s="138"/>
      <c r="P41" s="138"/>
      <c r="T41" s="138"/>
      <c r="X41" s="138"/>
    </row>
    <row r="42" spans="1:24" x14ac:dyDescent="0.25">
      <c r="A42" s="57">
        <v>36922</v>
      </c>
      <c r="C42" s="15"/>
      <c r="D42" s="389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36941</v>
      </c>
      <c r="C43" s="48"/>
      <c r="D43" s="110">
        <f>+D42+D41</f>
        <v>793652.77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tabSelected="1" workbookViewId="0">
      <selection activeCell="B7" sqref="B7"/>
    </sheetView>
    <sheetView workbookViewId="1">
      <selection activeCell="F15" sqref="F15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411">
        <v>-592346</v>
      </c>
      <c r="C7" s="80">
        <v>-489947</v>
      </c>
      <c r="D7" s="80">
        <f t="shared" si="0"/>
        <v>102399</v>
      </c>
    </row>
    <row r="8" spans="1:8" x14ac:dyDescent="0.2">
      <c r="A8" s="32">
        <v>60667</v>
      </c>
      <c r="B8" s="411">
        <v>-312968</v>
      </c>
      <c r="C8" s="80">
        <v>-662509</v>
      </c>
      <c r="D8" s="80">
        <f t="shared" si="0"/>
        <v>-349541</v>
      </c>
      <c r="H8" s="255"/>
    </row>
    <row r="9" spans="1:8" x14ac:dyDescent="0.2">
      <c r="A9" s="32">
        <v>60749</v>
      </c>
      <c r="B9" s="411">
        <v>4760</v>
      </c>
      <c r="C9" s="80">
        <v>53235</v>
      </c>
      <c r="D9" s="80">
        <f t="shared" si="0"/>
        <v>48475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411">
        <v>-215218</v>
      </c>
      <c r="C11" s="80">
        <v>0</v>
      </c>
      <c r="D11" s="80">
        <f t="shared" si="0"/>
        <v>215218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16599</v>
      </c>
    </row>
    <row r="19" spans="1:5" x14ac:dyDescent="0.2">
      <c r="A19" s="32" t="s">
        <v>87</v>
      </c>
      <c r="B19" s="69"/>
      <c r="C19" s="69"/>
      <c r="D19" s="73">
        <f>+summary!P11</f>
        <v>5.82</v>
      </c>
    </row>
    <row r="20" spans="1:5" x14ac:dyDescent="0.2">
      <c r="B20" s="69"/>
      <c r="C20" s="69"/>
      <c r="D20" s="75">
        <f>+D19*D18</f>
        <v>96606.180000000008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6">
        <v>159600.24</v>
      </c>
      <c r="E22" s="255"/>
    </row>
    <row r="23" spans="1:5" x14ac:dyDescent="0.2">
      <c r="B23" s="69"/>
      <c r="C23" s="80"/>
      <c r="D23" s="303"/>
      <c r="E23" s="255"/>
    </row>
    <row r="24" spans="1:5" ht="10.8" thickBot="1" x14ac:dyDescent="0.25">
      <c r="A24" s="49">
        <v>36940</v>
      </c>
      <c r="B24" s="69"/>
      <c r="C24" s="69"/>
      <c r="D24" s="304">
        <f>+D22+D20</f>
        <v>256206.41999999998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I22" sqref="I22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309412</v>
      </c>
      <c r="C18" s="11">
        <v>327404</v>
      </c>
      <c r="D18" s="11">
        <v>60359</v>
      </c>
      <c r="E18" s="11">
        <v>42184</v>
      </c>
      <c r="F18" s="11">
        <v>57465</v>
      </c>
      <c r="G18" s="11">
        <v>50798</v>
      </c>
      <c r="H18" s="11">
        <v>135971</v>
      </c>
      <c r="I18" s="11">
        <v>138781</v>
      </c>
      <c r="J18" s="11">
        <f t="shared" si="0"/>
        <v>-4040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308877</v>
      </c>
      <c r="C19" s="11">
        <v>318301</v>
      </c>
      <c r="D19" s="11">
        <v>62910</v>
      </c>
      <c r="E19" s="11">
        <v>41422</v>
      </c>
      <c r="F19" s="11">
        <v>55375</v>
      </c>
      <c r="G19" s="11">
        <v>50798</v>
      </c>
      <c r="H19" s="11">
        <v>134046</v>
      </c>
      <c r="I19" s="11">
        <v>149549</v>
      </c>
      <c r="J19" s="11">
        <f t="shared" si="0"/>
        <v>-1138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317284</v>
      </c>
      <c r="C20" s="11">
        <v>340943</v>
      </c>
      <c r="D20" s="11">
        <v>62937</v>
      </c>
      <c r="E20" s="11">
        <v>38620</v>
      </c>
      <c r="F20" s="11">
        <v>50174</v>
      </c>
      <c r="G20" s="11">
        <v>50798</v>
      </c>
      <c r="H20" s="11">
        <v>141836</v>
      </c>
      <c r="I20" s="11">
        <v>140558</v>
      </c>
      <c r="J20" s="11">
        <f t="shared" si="0"/>
        <v>-1312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312528</v>
      </c>
      <c r="C21" s="11">
        <v>339472</v>
      </c>
      <c r="D21" s="11">
        <v>62912</v>
      </c>
      <c r="E21" s="11">
        <v>38326</v>
      </c>
      <c r="F21" s="11">
        <v>50172</v>
      </c>
      <c r="G21" s="11">
        <v>48298</v>
      </c>
      <c r="H21" s="11">
        <v>169625</v>
      </c>
      <c r="I21" s="11">
        <v>177464</v>
      </c>
      <c r="J21" s="11">
        <f t="shared" si="0"/>
        <v>8323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320085</v>
      </c>
      <c r="C22" s="11">
        <v>336417</v>
      </c>
      <c r="D22" s="11">
        <v>10161</v>
      </c>
      <c r="E22" s="11">
        <v>15730</v>
      </c>
      <c r="F22" s="11">
        <v>49108</v>
      </c>
      <c r="G22" s="11">
        <v>50798</v>
      </c>
      <c r="H22" s="11">
        <v>148519</v>
      </c>
      <c r="I22" s="11">
        <v>132519</v>
      </c>
      <c r="J22" s="11">
        <f t="shared" si="0"/>
        <v>7591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5877704</v>
      </c>
      <c r="C35" s="11">
        <f t="shared" ref="C35:I35" si="1">SUM(C4:C34)</f>
        <v>6044024</v>
      </c>
      <c r="D35" s="11">
        <f t="shared" si="1"/>
        <v>1112417</v>
      </c>
      <c r="E35" s="11">
        <f t="shared" si="1"/>
        <v>927719</v>
      </c>
      <c r="F35" s="11">
        <f t="shared" si="1"/>
        <v>956439</v>
      </c>
      <c r="G35" s="11">
        <f t="shared" si="1"/>
        <v>908512</v>
      </c>
      <c r="H35" s="11">
        <f t="shared" si="1"/>
        <v>2800874</v>
      </c>
      <c r="I35" s="11">
        <f t="shared" si="1"/>
        <v>2855445</v>
      </c>
      <c r="J35" s="11">
        <f>SUM(J4:J34)</f>
        <v>-11734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36922</v>
      </c>
      <c r="C38" s="25"/>
      <c r="E38" s="25"/>
      <c r="G38" s="25"/>
      <c r="I38" s="25"/>
      <c r="J38" s="401">
        <v>-44467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36941</v>
      </c>
      <c r="J40" s="51">
        <f>+J38+J35</f>
        <v>-56201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F17" sqref="F1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89</v>
      </c>
      <c r="B3" s="88"/>
      <c r="C3" s="268"/>
      <c r="D3" s="88"/>
    </row>
    <row r="4" spans="1:13" x14ac:dyDescent="0.25">
      <c r="A4" s="87"/>
      <c r="B4" s="264" t="s">
        <v>21</v>
      </c>
      <c r="C4" s="264" t="s">
        <v>22</v>
      </c>
      <c r="D4" s="265" t="s">
        <v>53</v>
      </c>
    </row>
    <row r="5" spans="1:13" x14ac:dyDescent="0.25">
      <c r="A5" s="87">
        <v>9236</v>
      </c>
      <c r="B5" s="90">
        <v>-26876</v>
      </c>
      <c r="C5" s="90">
        <v>-73521</v>
      </c>
      <c r="D5" s="90">
        <f t="shared" ref="D5:D13" si="0">+C5-B5</f>
        <v>-46645</v>
      </c>
      <c r="E5" s="69"/>
      <c r="F5" s="70"/>
    </row>
    <row r="6" spans="1:13" x14ac:dyDescent="0.25">
      <c r="A6" s="87">
        <v>9238</v>
      </c>
      <c r="B6" s="90">
        <v>-15884</v>
      </c>
      <c r="C6" s="90">
        <v>-18500</v>
      </c>
      <c r="D6" s="90">
        <f t="shared" si="0"/>
        <v>-2616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90">
        <v>-1687406</v>
      </c>
      <c r="C7" s="90">
        <v>-1905117</v>
      </c>
      <c r="D7" s="90">
        <f t="shared" si="0"/>
        <v>-217711</v>
      </c>
      <c r="E7" s="290"/>
      <c r="F7" s="70"/>
    </row>
    <row r="8" spans="1:13" x14ac:dyDescent="0.25">
      <c r="A8" s="87">
        <v>58710</v>
      </c>
      <c r="B8" s="90">
        <v>-109839</v>
      </c>
      <c r="C8" s="90">
        <v>-83624</v>
      </c>
      <c r="D8" s="90">
        <f t="shared" si="0"/>
        <v>26215</v>
      </c>
      <c r="E8" s="290"/>
      <c r="F8" s="70"/>
    </row>
    <row r="9" spans="1:13" x14ac:dyDescent="0.25">
      <c r="A9" s="87">
        <v>60921</v>
      </c>
      <c r="B9" s="90">
        <v>-859175</v>
      </c>
      <c r="C9" s="90">
        <v>-818175</v>
      </c>
      <c r="D9" s="90">
        <f t="shared" si="0"/>
        <v>41000</v>
      </c>
      <c r="E9" s="290"/>
      <c r="F9" s="70"/>
    </row>
    <row r="10" spans="1:13" x14ac:dyDescent="0.25">
      <c r="A10" s="87">
        <v>78026</v>
      </c>
      <c r="B10" s="90">
        <v>55779</v>
      </c>
      <c r="C10" s="90">
        <v>44878</v>
      </c>
      <c r="D10" s="90">
        <f t="shared" si="0"/>
        <v>-10901</v>
      </c>
      <c r="E10" s="290"/>
      <c r="F10" s="288"/>
    </row>
    <row r="11" spans="1:13" x14ac:dyDescent="0.25">
      <c r="A11" s="87">
        <v>500084</v>
      </c>
      <c r="B11" s="90">
        <v>-38035</v>
      </c>
      <c r="C11" s="90">
        <v>-56807</v>
      </c>
      <c r="D11" s="90">
        <f t="shared" si="0"/>
        <v>-18772</v>
      </c>
      <c r="E11" s="291"/>
      <c r="F11" s="288"/>
    </row>
    <row r="12" spans="1:13" x14ac:dyDescent="0.25">
      <c r="A12" s="371">
        <v>500085</v>
      </c>
      <c r="B12" s="90">
        <v>-272916</v>
      </c>
      <c r="C12" s="90">
        <v>-95000</v>
      </c>
      <c r="D12" s="90">
        <f t="shared" si="0"/>
        <v>177916</v>
      </c>
      <c r="E12" s="290"/>
      <c r="F12" s="288"/>
    </row>
    <row r="13" spans="1:13" x14ac:dyDescent="0.25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5">
      <c r="A14" s="87"/>
      <c r="B14" s="90"/>
      <c r="C14" s="90"/>
      <c r="D14" s="90"/>
      <c r="E14" s="290"/>
      <c r="F14" s="288"/>
    </row>
    <row r="15" spans="1:13" x14ac:dyDescent="0.25">
      <c r="A15" s="87"/>
      <c r="B15" s="90"/>
      <c r="C15" s="90"/>
      <c r="D15" s="90"/>
      <c r="E15" s="290"/>
      <c r="F15" s="288"/>
    </row>
    <row r="16" spans="1:13" x14ac:dyDescent="0.25">
      <c r="A16" s="87"/>
      <c r="B16" s="88"/>
      <c r="C16" s="88"/>
      <c r="D16" s="94"/>
      <c r="E16" s="290"/>
      <c r="F16" s="288"/>
    </row>
    <row r="17" spans="1:7" x14ac:dyDescent="0.25">
      <c r="A17" s="87"/>
      <c r="B17" s="88"/>
      <c r="C17" s="88"/>
      <c r="D17" s="88">
        <f>SUM(D5:D16)</f>
        <v>-36756</v>
      </c>
      <c r="E17" s="290"/>
      <c r="F17" s="288"/>
    </row>
    <row r="18" spans="1:7" x14ac:dyDescent="0.25">
      <c r="A18" s="87" t="s">
        <v>87</v>
      </c>
      <c r="B18" s="88"/>
      <c r="C18" s="88"/>
      <c r="D18" s="95">
        <f>+summary!P11</f>
        <v>5.82</v>
      </c>
      <c r="E18" s="292"/>
      <c r="F18" s="288"/>
    </row>
    <row r="19" spans="1:7" x14ac:dyDescent="0.25">
      <c r="A19" s="87"/>
      <c r="B19" s="88"/>
      <c r="C19" s="88"/>
      <c r="D19" s="96">
        <f>+D18*D17</f>
        <v>-213919.92</v>
      </c>
      <c r="E19" s="209"/>
      <c r="F19" s="289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36922</v>
      </c>
      <c r="B21" s="88"/>
      <c r="C21" s="88"/>
      <c r="D21" s="404">
        <v>1219422.02</v>
      </c>
      <c r="E21" s="209"/>
      <c r="F21" s="66"/>
    </row>
    <row r="22" spans="1:7" x14ac:dyDescent="0.25">
      <c r="A22" s="87"/>
      <c r="B22" s="88"/>
      <c r="C22" s="88"/>
      <c r="D22" s="346"/>
      <c r="E22" s="209"/>
      <c r="F22" s="66"/>
    </row>
    <row r="23" spans="1:7" ht="13.8" thickBot="1" x14ac:dyDescent="0.3">
      <c r="A23" s="99">
        <v>36941</v>
      </c>
      <c r="B23" s="88"/>
      <c r="C23" s="88"/>
      <c r="D23" s="374">
        <f>+D21+D19</f>
        <v>1005502.1</v>
      </c>
      <c r="E23" s="209"/>
      <c r="F23" s="66"/>
    </row>
    <row r="24" spans="1:7" ht="13.8" thickTop="1" x14ac:dyDescent="0.25">
      <c r="E24" s="293"/>
    </row>
    <row r="25" spans="1:7" x14ac:dyDescent="0.25">
      <c r="E25" s="293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3"/>
      <c r="E36" s="69"/>
      <c r="F36" s="70"/>
      <c r="G36" s="32"/>
    </row>
    <row r="37" spans="1:7" x14ac:dyDescent="0.25">
      <c r="B37" s="69"/>
      <c r="C37" s="69"/>
      <c r="D37" s="323"/>
      <c r="E37" s="69"/>
      <c r="F37" s="70"/>
      <c r="G37" s="32"/>
    </row>
    <row r="38" spans="1:7" x14ac:dyDescent="0.25">
      <c r="B38" s="69"/>
      <c r="C38" s="69"/>
      <c r="D38" s="323"/>
      <c r="E38" s="69"/>
      <c r="F38" s="70"/>
      <c r="G38" s="32"/>
    </row>
    <row r="39" spans="1:7" x14ac:dyDescent="0.25">
      <c r="B39" s="69"/>
      <c r="C39" s="69"/>
      <c r="D39" s="323"/>
      <c r="E39" s="69"/>
      <c r="F39" s="70"/>
      <c r="G39" s="32"/>
    </row>
    <row r="40" spans="1:7" x14ac:dyDescent="0.25">
      <c r="B40" s="69"/>
      <c r="C40" s="69"/>
      <c r="D40" s="323"/>
      <c r="E40" s="69"/>
      <c r="F40" s="70"/>
      <c r="G40" s="32"/>
    </row>
    <row r="41" spans="1:7" x14ac:dyDescent="0.25">
      <c r="B41" s="69"/>
      <c r="C41" s="69"/>
      <c r="D41" s="323"/>
      <c r="E41" s="69"/>
      <c r="F41" s="70"/>
      <c r="G41" s="32"/>
    </row>
    <row r="42" spans="1:7" x14ac:dyDescent="0.25">
      <c r="B42" s="69"/>
      <c r="C42" s="69"/>
      <c r="D42" s="323"/>
      <c r="E42" s="69"/>
      <c r="F42" s="70"/>
      <c r="G42" s="32"/>
    </row>
    <row r="43" spans="1:7" x14ac:dyDescent="0.25">
      <c r="B43" s="69"/>
      <c r="C43" s="69"/>
      <c r="D43" s="323"/>
      <c r="E43" s="69"/>
      <c r="F43" s="70"/>
      <c r="G43" s="32"/>
    </row>
    <row r="44" spans="1:7" x14ac:dyDescent="0.25">
      <c r="B44" s="69"/>
      <c r="C44" s="69"/>
      <c r="D44" s="324"/>
      <c r="E44" s="290"/>
      <c r="F44" s="288"/>
      <c r="G44" s="206"/>
    </row>
    <row r="45" spans="1:7" x14ac:dyDescent="0.25">
      <c r="B45" s="69"/>
      <c r="C45" s="69"/>
      <c r="D45" s="324"/>
      <c r="E45" s="290"/>
      <c r="F45" s="288"/>
      <c r="G45" s="206"/>
    </row>
    <row r="46" spans="1:7" x14ac:dyDescent="0.25">
      <c r="A46" s="32"/>
      <c r="B46" s="69"/>
      <c r="C46" s="69"/>
      <c r="D46" s="290"/>
      <c r="E46" s="290"/>
      <c r="F46" s="288"/>
      <c r="G46" s="206"/>
    </row>
    <row r="47" spans="1:7" x14ac:dyDescent="0.25">
      <c r="A47" s="32"/>
      <c r="B47" s="69"/>
      <c r="C47" s="69"/>
      <c r="D47" s="292"/>
      <c r="E47" s="292"/>
      <c r="F47" s="288"/>
      <c r="G47" s="206"/>
    </row>
    <row r="48" spans="1:7" x14ac:dyDescent="0.25">
      <c r="B48" s="69"/>
      <c r="C48" s="69"/>
      <c r="D48" s="290"/>
      <c r="E48" s="290"/>
      <c r="F48" s="289"/>
      <c r="G48" s="206"/>
    </row>
    <row r="49" spans="1:7" x14ac:dyDescent="0.25">
      <c r="B49" s="69"/>
      <c r="C49" s="69"/>
      <c r="D49" s="290"/>
      <c r="E49" s="290"/>
      <c r="F49" s="289"/>
      <c r="G49" s="206"/>
    </row>
    <row r="50" spans="1:7" x14ac:dyDescent="0.25">
      <c r="C50" s="320"/>
      <c r="D50" s="320"/>
      <c r="E50" s="320"/>
      <c r="F50" s="321"/>
      <c r="G50" s="322"/>
    </row>
    <row r="51" spans="1:7" x14ac:dyDescent="0.25">
      <c r="A51" s="32"/>
      <c r="C51" s="320"/>
      <c r="D51" s="320"/>
      <c r="E51" s="320"/>
      <c r="F51" s="321"/>
    </row>
    <row r="52" spans="1:7" x14ac:dyDescent="0.25">
      <c r="A52" s="32"/>
      <c r="C52" s="320"/>
      <c r="D52" s="320"/>
      <c r="E52" s="320"/>
      <c r="F52" s="321"/>
    </row>
    <row r="53" spans="1:7" x14ac:dyDescent="0.25">
      <c r="A53" s="32"/>
      <c r="C53" s="320"/>
      <c r="D53" s="320"/>
      <c r="E53" s="320"/>
      <c r="F53" s="321"/>
    </row>
    <row r="54" spans="1:7" x14ac:dyDescent="0.25">
      <c r="A54" s="32"/>
      <c r="C54" s="320"/>
      <c r="D54" s="320"/>
      <c r="E54" s="320"/>
      <c r="F54" s="321"/>
    </row>
    <row r="55" spans="1:7" x14ac:dyDescent="0.25">
      <c r="A55" s="32"/>
      <c r="C55" s="320"/>
      <c r="D55" s="320"/>
      <c r="E55" s="293"/>
      <c r="F55" s="293"/>
    </row>
    <row r="56" spans="1:7" x14ac:dyDescent="0.25">
      <c r="C56" s="320"/>
      <c r="D56" s="320"/>
      <c r="E56" s="293"/>
      <c r="F56" s="293"/>
    </row>
    <row r="57" spans="1:7" x14ac:dyDescent="0.25">
      <c r="C57" s="320"/>
      <c r="D57" s="320"/>
      <c r="E57" s="293"/>
      <c r="F57" s="293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5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5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5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5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5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5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5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5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5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5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5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5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5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5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5">
      <c r="A17">
        <v>15</v>
      </c>
      <c r="B17" s="88">
        <v>54649</v>
      </c>
      <c r="C17" s="88">
        <v>54762</v>
      </c>
      <c r="D17" s="14"/>
      <c r="E17" s="14"/>
      <c r="F17" s="90">
        <f t="shared" si="0"/>
        <v>113</v>
      </c>
    </row>
    <row r="18" spans="1:6" x14ac:dyDescent="0.25">
      <c r="A18">
        <v>16</v>
      </c>
      <c r="B18" s="88">
        <v>54758</v>
      </c>
      <c r="C18" s="88">
        <v>54762</v>
      </c>
      <c r="D18" s="14"/>
      <c r="E18" s="14"/>
      <c r="F18" s="90">
        <f t="shared" si="0"/>
        <v>4</v>
      </c>
    </row>
    <row r="19" spans="1:6" x14ac:dyDescent="0.25">
      <c r="A19">
        <v>17</v>
      </c>
      <c r="B19" s="88">
        <v>55307</v>
      </c>
      <c r="C19" s="14">
        <v>55337</v>
      </c>
      <c r="D19" s="14"/>
      <c r="E19" s="14"/>
      <c r="F19" s="90">
        <f t="shared" si="0"/>
        <v>30</v>
      </c>
    </row>
    <row r="20" spans="1:6" x14ac:dyDescent="0.25">
      <c r="A20">
        <v>18</v>
      </c>
      <c r="B20" s="14">
        <v>55309</v>
      </c>
      <c r="C20" s="14">
        <v>55337</v>
      </c>
      <c r="D20" s="14"/>
      <c r="E20" s="14"/>
      <c r="F20" s="90">
        <f t="shared" si="0"/>
        <v>28</v>
      </c>
    </row>
    <row r="21" spans="1:6" x14ac:dyDescent="0.25">
      <c r="A21">
        <v>19</v>
      </c>
      <c r="B21" s="14">
        <v>55328</v>
      </c>
      <c r="C21" s="14">
        <v>55337</v>
      </c>
      <c r="D21" s="14"/>
      <c r="E21" s="14"/>
      <c r="F21" s="90">
        <f t="shared" si="0"/>
        <v>9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2">
        <f>SUM(B3:B33)</f>
        <v>880165</v>
      </c>
      <c r="C34" s="302">
        <f>SUM(C3:C33)</f>
        <v>881151</v>
      </c>
      <c r="D34" s="14">
        <f>SUM(D3:D33)</f>
        <v>40</v>
      </c>
      <c r="E34" s="14">
        <f>SUM(E3:E33)</f>
        <v>45000</v>
      </c>
      <c r="F34" s="14">
        <f>SUM(F3:F33)</f>
        <v>-43974</v>
      </c>
    </row>
    <row r="35" spans="1:6" x14ac:dyDescent="0.25">
      <c r="D35" s="14"/>
      <c r="E35" s="14"/>
      <c r="F35" s="14"/>
    </row>
    <row r="36" spans="1:6" x14ac:dyDescent="0.25">
      <c r="F36" s="260"/>
    </row>
    <row r="37" spans="1:6" x14ac:dyDescent="0.25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5">
      <c r="A38" s="266">
        <v>36941</v>
      </c>
      <c r="B38" s="14"/>
      <c r="C38" s="14"/>
      <c r="D38" s="14"/>
      <c r="E38" s="14"/>
      <c r="F38" s="24">
        <f>+F37+F34</f>
        <v>83460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48" sqref="C48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5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5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5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5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5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5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5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5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5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5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5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5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5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5">
      <c r="A18" s="10">
        <v>15</v>
      </c>
      <c r="B18" s="11">
        <v>25236</v>
      </c>
      <c r="C18" s="11">
        <v>26141</v>
      </c>
      <c r="D18" s="25">
        <f t="shared" si="0"/>
        <v>905</v>
      </c>
    </row>
    <row r="19" spans="1:4" x14ac:dyDescent="0.25">
      <c r="A19" s="10">
        <v>16</v>
      </c>
      <c r="B19" s="11">
        <v>62042</v>
      </c>
      <c r="C19" s="11">
        <v>62206</v>
      </c>
      <c r="D19" s="25">
        <f t="shared" si="0"/>
        <v>164</v>
      </c>
    </row>
    <row r="20" spans="1:4" x14ac:dyDescent="0.25">
      <c r="A20" s="10">
        <v>17</v>
      </c>
      <c r="B20" s="11">
        <v>59825</v>
      </c>
      <c r="C20" s="11">
        <v>58861</v>
      </c>
      <c r="D20" s="25">
        <f t="shared" si="0"/>
        <v>-964</v>
      </c>
    </row>
    <row r="21" spans="1:4" x14ac:dyDescent="0.25">
      <c r="A21" s="10">
        <v>18</v>
      </c>
      <c r="B21" s="11">
        <v>54912</v>
      </c>
      <c r="C21" s="11">
        <v>58831</v>
      </c>
      <c r="D21" s="25">
        <f t="shared" si="0"/>
        <v>3919</v>
      </c>
    </row>
    <row r="22" spans="1:4" x14ac:dyDescent="0.25">
      <c r="A22" s="10">
        <v>19</v>
      </c>
      <c r="B22" s="11">
        <v>57992</v>
      </c>
      <c r="C22" s="11">
        <v>58581</v>
      </c>
      <c r="D22" s="25">
        <f t="shared" si="0"/>
        <v>589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659661</v>
      </c>
      <c r="C35" s="11">
        <f>SUM(C4:C34)</f>
        <v>657656</v>
      </c>
      <c r="D35" s="11">
        <f>SUM(D4:D34)</f>
        <v>-2005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36922</v>
      </c>
      <c r="D38" s="248">
        <v>63393</v>
      </c>
    </row>
    <row r="39" spans="1:4" x14ac:dyDescent="0.25">
      <c r="A39" s="2"/>
      <c r="D39" s="24"/>
    </row>
    <row r="40" spans="1:4" x14ac:dyDescent="0.25">
      <c r="A40" s="57">
        <v>36941</v>
      </c>
      <c r="D40" s="36">
        <f>+D38+D35</f>
        <v>61388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19" sqref="G1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31242</v>
      </c>
      <c r="C18" s="11">
        <v>29441</v>
      </c>
      <c r="D18" s="11">
        <v>9578</v>
      </c>
      <c r="E18" s="11">
        <v>10000</v>
      </c>
      <c r="F18" s="11">
        <v>24544</v>
      </c>
      <c r="G18" s="11">
        <v>25666</v>
      </c>
      <c r="H18" s="11"/>
      <c r="I18" s="11"/>
      <c r="J18" s="11">
        <f t="shared" si="0"/>
        <v>-257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31111</v>
      </c>
      <c r="C19" s="11">
        <v>33000</v>
      </c>
      <c r="D19" s="11">
        <v>9907</v>
      </c>
      <c r="E19" s="11">
        <v>10000</v>
      </c>
      <c r="F19" s="11">
        <v>24021</v>
      </c>
      <c r="G19" s="11">
        <v>25666</v>
      </c>
      <c r="H19" s="11"/>
      <c r="I19" s="11"/>
      <c r="J19" s="11">
        <f t="shared" si="0"/>
        <v>3627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30969</v>
      </c>
      <c r="C20" s="11">
        <v>32000</v>
      </c>
      <c r="D20" s="11">
        <v>10154</v>
      </c>
      <c r="E20" s="11">
        <v>10000</v>
      </c>
      <c r="F20" s="11">
        <v>23772</v>
      </c>
      <c r="G20" s="11">
        <v>23666</v>
      </c>
      <c r="H20" s="11"/>
      <c r="I20" s="11"/>
      <c r="J20" s="11">
        <f t="shared" si="0"/>
        <v>771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30822</v>
      </c>
      <c r="C21" s="11">
        <v>32000</v>
      </c>
      <c r="D21" s="11">
        <v>9731</v>
      </c>
      <c r="E21" s="11">
        <v>10000</v>
      </c>
      <c r="F21" s="11">
        <v>24675</v>
      </c>
      <c r="G21" s="11">
        <v>23666</v>
      </c>
      <c r="H21" s="11"/>
      <c r="I21" s="11"/>
      <c r="J21" s="11">
        <f t="shared" si="0"/>
        <v>438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575961</v>
      </c>
      <c r="C35" s="11">
        <f t="shared" ref="C35:I35" si="1">SUM(C4:C34)</f>
        <v>586156</v>
      </c>
      <c r="D35" s="11">
        <f t="shared" si="1"/>
        <v>179907</v>
      </c>
      <c r="E35" s="11">
        <f t="shared" si="1"/>
        <v>180000</v>
      </c>
      <c r="F35" s="11">
        <f t="shared" si="1"/>
        <v>437117</v>
      </c>
      <c r="G35" s="11">
        <f t="shared" si="1"/>
        <v>453812</v>
      </c>
      <c r="H35" s="11">
        <f t="shared" si="1"/>
        <v>212</v>
      </c>
      <c r="I35" s="11">
        <f t="shared" si="1"/>
        <v>0</v>
      </c>
      <c r="J35" s="11">
        <f>SUM(J4:J34)</f>
        <v>26771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5.82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155807.22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36922</v>
      </c>
      <c r="C39" s="25"/>
      <c r="E39" s="25"/>
      <c r="G39" s="25"/>
      <c r="I39" s="25"/>
      <c r="J39" s="405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79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36940</v>
      </c>
      <c r="J41" s="379">
        <f>+J39+J37</f>
        <v>-185652.49000000002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5" workbookViewId="1">
      <selection activeCell="G42" sqref="G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70773</v>
      </c>
      <c r="E19" s="24">
        <v>84136</v>
      </c>
      <c r="F19" s="24">
        <f t="shared" si="0"/>
        <v>13363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34028</v>
      </c>
      <c r="E20" s="24">
        <v>29675</v>
      </c>
      <c r="F20" s="24">
        <f t="shared" si="0"/>
        <v>-4353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74028</v>
      </c>
      <c r="E21" s="24">
        <v>73764</v>
      </c>
      <c r="F21" s="24">
        <f t="shared" si="0"/>
        <v>-264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62786</v>
      </c>
      <c r="E22" s="24">
        <v>64068</v>
      </c>
      <c r="F22" s="24">
        <f t="shared" si="0"/>
        <v>1282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63203</v>
      </c>
      <c r="E23" s="24">
        <v>64331</v>
      </c>
      <c r="F23" s="24">
        <f t="shared" si="0"/>
        <v>1128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64028</v>
      </c>
      <c r="E24" s="24">
        <v>64011</v>
      </c>
      <c r="F24" s="24">
        <f t="shared" si="0"/>
        <v>-17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117500</v>
      </c>
      <c r="C37" s="24">
        <f>SUM(C6:C36)</f>
        <v>116745</v>
      </c>
      <c r="D37" s="24">
        <f>SUM(D6:D36)</f>
        <v>1071661</v>
      </c>
      <c r="E37" s="24">
        <f>SUM(E6:E36)</f>
        <v>1032222</v>
      </c>
      <c r="F37" s="24">
        <f>SUM(F6:F36)</f>
        <v>-40194</v>
      </c>
      <c r="G37" s="40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-233929.08000000002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3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36941</v>
      </c>
      <c r="E41" s="14"/>
      <c r="F41" s="104">
        <f>+F40+F39</f>
        <v>606419.77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7" workbookViewId="1">
      <selection activeCell="A42" sqref="A4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5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5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5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5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5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5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5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5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5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08"/>
    </row>
    <row r="18" spans="1:10" x14ac:dyDescent="0.25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5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5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5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5">
      <c r="A22" s="10">
        <v>15</v>
      </c>
      <c r="B22" s="11">
        <v>7240</v>
      </c>
      <c r="C22" s="11">
        <v>4891</v>
      </c>
      <c r="D22" s="11">
        <v>4425</v>
      </c>
      <c r="E22" s="11">
        <v>4503</v>
      </c>
      <c r="F22" s="25">
        <f t="shared" si="0"/>
        <v>-2271</v>
      </c>
    </row>
    <row r="23" spans="1:10" x14ac:dyDescent="0.25">
      <c r="A23" s="10">
        <v>16</v>
      </c>
      <c r="B23" s="11">
        <v>5937</v>
      </c>
      <c r="C23" s="11">
        <v>4891</v>
      </c>
      <c r="D23" s="11">
        <v>3914</v>
      </c>
      <c r="E23" s="11">
        <v>4503</v>
      </c>
      <c r="F23" s="25">
        <f t="shared" si="0"/>
        <v>-457</v>
      </c>
    </row>
    <row r="24" spans="1:10" x14ac:dyDescent="0.25">
      <c r="A24" s="10">
        <v>17</v>
      </c>
      <c r="B24" s="11">
        <v>5569</v>
      </c>
      <c r="C24" s="11">
        <v>4961</v>
      </c>
      <c r="D24" s="11">
        <v>3896</v>
      </c>
      <c r="E24" s="11">
        <v>4703</v>
      </c>
      <c r="F24" s="25">
        <f t="shared" si="0"/>
        <v>199</v>
      </c>
    </row>
    <row r="25" spans="1:10" x14ac:dyDescent="0.25">
      <c r="A25" s="10">
        <v>18</v>
      </c>
      <c r="B25" s="11">
        <v>5667</v>
      </c>
      <c r="C25" s="11">
        <v>4875</v>
      </c>
      <c r="D25" s="11">
        <v>3863</v>
      </c>
      <c r="E25" s="11">
        <v>4703</v>
      </c>
      <c r="F25" s="25">
        <f t="shared" si="0"/>
        <v>48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108124</v>
      </c>
      <c r="C39" s="11">
        <f>SUM(C8:C38)</f>
        <v>109071</v>
      </c>
      <c r="D39" s="11">
        <f>SUM(D8:D38)</f>
        <v>83094</v>
      </c>
      <c r="E39" s="11">
        <f>SUM(E8:E38)</f>
        <v>81407</v>
      </c>
      <c r="F39" s="25">
        <f>SUM(F8:F38)</f>
        <v>-740</v>
      </c>
    </row>
    <row r="40" spans="1:6" x14ac:dyDescent="0.25">
      <c r="A40" s="26"/>
      <c r="C40" s="14"/>
      <c r="F40" s="263">
        <f>+summary!P11</f>
        <v>5.82</v>
      </c>
    </row>
    <row r="41" spans="1:6" x14ac:dyDescent="0.25">
      <c r="F41" s="138">
        <f>+F40*F39</f>
        <v>-4306.8</v>
      </c>
    </row>
    <row r="42" spans="1:6" x14ac:dyDescent="0.25">
      <c r="A42" s="57">
        <v>36922</v>
      </c>
      <c r="C42" s="15"/>
      <c r="F42" s="386">
        <v>-43661.37</v>
      </c>
    </row>
    <row r="43" spans="1:6" x14ac:dyDescent="0.25">
      <c r="A43" s="57">
        <v>36940</v>
      </c>
      <c r="C43" s="48"/>
      <c r="F43" s="138">
        <f>+F42+F41</f>
        <v>-47968.170000000006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3.2" x14ac:dyDescent="0.25"/>
  <sheetData>
    <row r="5" spans="1:4" ht="13.8" x14ac:dyDescent="0.25">
      <c r="A5" s="134"/>
      <c r="B5" s="34" t="s">
        <v>122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5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5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5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5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5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5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5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5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5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5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5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5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5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5">
      <c r="A22" s="10">
        <v>15</v>
      </c>
      <c r="B22" s="11">
        <v>32231</v>
      </c>
      <c r="C22" s="11">
        <v>40319</v>
      </c>
      <c r="D22" s="25">
        <f t="shared" si="0"/>
        <v>8088</v>
      </c>
    </row>
    <row r="23" spans="1:4" x14ac:dyDescent="0.25">
      <c r="A23" s="10">
        <v>16</v>
      </c>
      <c r="B23" s="11">
        <v>37008</v>
      </c>
      <c r="C23" s="11">
        <v>40319</v>
      </c>
      <c r="D23" s="25">
        <f t="shared" si="0"/>
        <v>3311</v>
      </c>
    </row>
    <row r="24" spans="1:4" x14ac:dyDescent="0.25">
      <c r="A24" s="10">
        <v>17</v>
      </c>
      <c r="B24" s="11">
        <v>40267</v>
      </c>
      <c r="C24" s="11">
        <v>35001</v>
      </c>
      <c r="D24" s="25">
        <f t="shared" si="0"/>
        <v>-5266</v>
      </c>
    </row>
    <row r="25" spans="1:4" x14ac:dyDescent="0.25">
      <c r="A25" s="10">
        <v>18</v>
      </c>
      <c r="B25" s="11">
        <v>35044</v>
      </c>
      <c r="C25" s="11">
        <v>35000</v>
      </c>
      <c r="D25" s="25">
        <f t="shared" si="0"/>
        <v>-44</v>
      </c>
    </row>
    <row r="26" spans="1:4" x14ac:dyDescent="0.25">
      <c r="A26" s="10">
        <v>19</v>
      </c>
      <c r="B26" s="11">
        <v>38422</v>
      </c>
      <c r="C26" s="11">
        <v>40319</v>
      </c>
      <c r="D26" s="25">
        <f t="shared" si="0"/>
        <v>1897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688619</v>
      </c>
      <c r="C39" s="11">
        <f>SUM(C8:C38)</f>
        <v>755283</v>
      </c>
      <c r="D39" s="25">
        <f>SUM(D8:D38)</f>
        <v>66664</v>
      </c>
    </row>
    <row r="40" spans="1:4" x14ac:dyDescent="0.25">
      <c r="A40" s="26"/>
      <c r="C40" s="14"/>
      <c r="D40" s="263">
        <f>+summary!P11</f>
        <v>5.82</v>
      </c>
    </row>
    <row r="41" spans="1:4" x14ac:dyDescent="0.25">
      <c r="D41" s="138">
        <f>+D40*D39</f>
        <v>387984.48000000004</v>
      </c>
    </row>
    <row r="42" spans="1:4" x14ac:dyDescent="0.25">
      <c r="A42" s="57">
        <v>36922</v>
      </c>
      <c r="C42" s="15"/>
      <c r="D42" s="386">
        <v>111433.22</v>
      </c>
    </row>
    <row r="43" spans="1:4" x14ac:dyDescent="0.25">
      <c r="A43" s="57">
        <v>36941</v>
      </c>
      <c r="C43" s="48"/>
      <c r="D43" s="138">
        <f>+D42+D41</f>
        <v>499417.70000000007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" workbookViewId="1">
      <selection activeCell="C26" sqref="C2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5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5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5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5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5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5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5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5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5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5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5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5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5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5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5">
      <c r="A21" s="10">
        <v>15</v>
      </c>
      <c r="B21" s="11">
        <v>126393</v>
      </c>
      <c r="C21" s="11">
        <v>126104</v>
      </c>
      <c r="D21" s="25">
        <f t="shared" si="0"/>
        <v>-289</v>
      </c>
    </row>
    <row r="22" spans="1:4" x14ac:dyDescent="0.25">
      <c r="A22" s="10">
        <v>16</v>
      </c>
      <c r="B22" s="11">
        <v>126992</v>
      </c>
      <c r="C22" s="11">
        <v>127198</v>
      </c>
      <c r="D22" s="25">
        <f t="shared" si="0"/>
        <v>206</v>
      </c>
    </row>
    <row r="23" spans="1:4" x14ac:dyDescent="0.25">
      <c r="A23" s="10">
        <v>17</v>
      </c>
      <c r="B23" s="11">
        <v>142396</v>
      </c>
      <c r="C23" s="11">
        <v>146224</v>
      </c>
      <c r="D23" s="25">
        <f t="shared" si="0"/>
        <v>3828</v>
      </c>
    </row>
    <row r="24" spans="1:4" x14ac:dyDescent="0.25">
      <c r="A24" s="10">
        <v>18</v>
      </c>
      <c r="B24" s="11">
        <v>147142</v>
      </c>
      <c r="C24" s="11">
        <v>146224</v>
      </c>
      <c r="D24" s="25">
        <f t="shared" si="0"/>
        <v>-918</v>
      </c>
    </row>
    <row r="25" spans="1:4" x14ac:dyDescent="0.25">
      <c r="A25" s="10">
        <v>19</v>
      </c>
      <c r="B25" s="11">
        <v>168294</v>
      </c>
      <c r="C25" s="11">
        <v>168062</v>
      </c>
      <c r="D25" s="25">
        <f t="shared" si="0"/>
        <v>-232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2815456</v>
      </c>
      <c r="C38" s="11">
        <f>SUM(C7:C37)</f>
        <v>2815530</v>
      </c>
      <c r="D38" s="11">
        <f>SUM(D7:D37)</f>
        <v>74</v>
      </c>
    </row>
    <row r="39" spans="1:4" x14ac:dyDescent="0.25">
      <c r="A39" s="26"/>
      <c r="C39" s="14"/>
      <c r="D39" s="106">
        <f>+summary!P10</f>
        <v>5.81</v>
      </c>
    </row>
    <row r="40" spans="1:4" x14ac:dyDescent="0.25">
      <c r="D40" s="138">
        <f>+D39*D38</f>
        <v>429.94</v>
      </c>
    </row>
    <row r="41" spans="1:4" x14ac:dyDescent="0.25">
      <c r="A41" s="57">
        <v>36922</v>
      </c>
      <c r="C41" s="15"/>
      <c r="D41" s="364">
        <v>-318209</v>
      </c>
    </row>
    <row r="42" spans="1:4" x14ac:dyDescent="0.25">
      <c r="A42" s="57">
        <v>36941</v>
      </c>
      <c r="D42" s="379">
        <f>+D41+D40</f>
        <v>-317779.06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3" sqref="B4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6056</v>
      </c>
      <c r="C18" s="11"/>
      <c r="D18" s="11"/>
      <c r="E18" s="11">
        <v>5000</v>
      </c>
      <c r="F18" s="11">
        <f t="shared" si="0"/>
        <v>1056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243</v>
      </c>
      <c r="C19" s="11"/>
      <c r="D19" s="11"/>
      <c r="E19" s="11"/>
      <c r="F19" s="11">
        <f t="shared" si="0"/>
        <v>243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15135</v>
      </c>
      <c r="C20" s="11">
        <v>15000</v>
      </c>
      <c r="D20" s="11"/>
      <c r="E20" s="11"/>
      <c r="F20" s="11">
        <f t="shared" si="0"/>
        <v>135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186</v>
      </c>
      <c r="C21" s="11"/>
      <c r="D21" s="11"/>
      <c r="E21" s="11"/>
      <c r="F21" s="11">
        <f t="shared" si="0"/>
        <v>186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21636</v>
      </c>
      <c r="C36" s="44">
        <f>SUM(C5:C35)</f>
        <v>15000</v>
      </c>
      <c r="D36" s="43">
        <f>SUM(D5:D35)</f>
        <v>0</v>
      </c>
      <c r="E36" s="44">
        <f>SUM(E5:E35)</f>
        <v>5000</v>
      </c>
      <c r="F36" s="11">
        <f>SUM(F5:F35)</f>
        <v>1636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6636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36922</v>
      </c>
      <c r="C41" s="14"/>
      <c r="D41" s="50"/>
      <c r="E41" s="50"/>
      <c r="F41" s="401">
        <v>1867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36940</v>
      </c>
      <c r="C42" s="14"/>
      <c r="D42" s="50"/>
      <c r="E42" s="50"/>
      <c r="F42" s="51">
        <f>+F41+F36</f>
        <v>3503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C23" sqref="C23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5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5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5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5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5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5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5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5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5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5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5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5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5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5">
      <c r="A18" s="10">
        <v>15</v>
      </c>
      <c r="B18" s="11">
        <v>293998</v>
      </c>
      <c r="C18" s="11">
        <v>292832</v>
      </c>
      <c r="D18" s="25">
        <f t="shared" si="0"/>
        <v>-1166</v>
      </c>
    </row>
    <row r="19" spans="1:4" x14ac:dyDescent="0.25">
      <c r="A19" s="10">
        <v>16</v>
      </c>
      <c r="B19" s="11">
        <v>249065</v>
      </c>
      <c r="C19" s="11">
        <v>250157</v>
      </c>
      <c r="D19" s="25">
        <f t="shared" si="0"/>
        <v>1092</v>
      </c>
    </row>
    <row r="20" spans="1:4" x14ac:dyDescent="0.25">
      <c r="A20" s="10">
        <v>17</v>
      </c>
      <c r="B20" s="11">
        <v>268269</v>
      </c>
      <c r="C20" s="11">
        <v>267342</v>
      </c>
      <c r="D20" s="25">
        <f t="shared" si="0"/>
        <v>-927</v>
      </c>
    </row>
    <row r="21" spans="1:4" x14ac:dyDescent="0.25">
      <c r="A21" s="10">
        <v>18</v>
      </c>
      <c r="B21" s="11">
        <v>270180</v>
      </c>
      <c r="C21" s="11">
        <v>269916</v>
      </c>
      <c r="D21" s="25">
        <f t="shared" si="0"/>
        <v>-264</v>
      </c>
    </row>
    <row r="22" spans="1:4" x14ac:dyDescent="0.25">
      <c r="A22" s="10">
        <v>19</v>
      </c>
      <c r="B22" s="11">
        <v>268398</v>
      </c>
      <c r="C22" s="11">
        <v>269991</v>
      </c>
      <c r="D22" s="25">
        <f t="shared" si="0"/>
        <v>1593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5359385</v>
      </c>
      <c r="C35" s="11">
        <f>SUM(C4:C34)</f>
        <v>5332141</v>
      </c>
      <c r="D35" s="11">
        <f>SUM(D4:D34)</f>
        <v>-27244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36922</v>
      </c>
      <c r="D38" s="390">
        <v>59676</v>
      </c>
    </row>
    <row r="39" spans="1:30" x14ac:dyDescent="0.25">
      <c r="A39" s="12"/>
      <c r="D39" s="24"/>
    </row>
    <row r="40" spans="1:30" x14ac:dyDescent="0.25">
      <c r="A40" s="250">
        <v>36941</v>
      </c>
      <c r="D40" s="24">
        <f>+D38+D35</f>
        <v>32432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23" sqref="C23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5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5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5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5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5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5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5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5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5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5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5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5">
      <c r="A18" s="10">
        <v>15</v>
      </c>
      <c r="B18" s="11">
        <v>782356</v>
      </c>
      <c r="C18" s="11">
        <v>783440</v>
      </c>
      <c r="D18" s="25">
        <f t="shared" si="0"/>
        <v>1084</v>
      </c>
      <c r="F18" s="10"/>
      <c r="G18" s="11"/>
      <c r="H18" s="11"/>
      <c r="I18" s="25"/>
    </row>
    <row r="19" spans="1:11" x14ac:dyDescent="0.25">
      <c r="A19" s="10">
        <v>16</v>
      </c>
      <c r="B19" s="11">
        <v>789230</v>
      </c>
      <c r="C19" s="11">
        <v>786604</v>
      </c>
      <c r="D19" s="25">
        <f t="shared" si="0"/>
        <v>-2626</v>
      </c>
      <c r="F19" s="10"/>
      <c r="G19" s="11"/>
      <c r="H19" s="11"/>
      <c r="I19" s="25"/>
    </row>
    <row r="20" spans="1:11" x14ac:dyDescent="0.25">
      <c r="A20" s="10">
        <v>17</v>
      </c>
      <c r="B20" s="11">
        <v>790863</v>
      </c>
      <c r="C20" s="11">
        <v>793552</v>
      </c>
      <c r="D20" s="25">
        <f t="shared" si="0"/>
        <v>2689</v>
      </c>
      <c r="F20" s="10"/>
      <c r="G20" s="11"/>
      <c r="H20" s="11"/>
      <c r="I20" s="25"/>
    </row>
    <row r="21" spans="1:11" x14ac:dyDescent="0.25">
      <c r="A21" s="10">
        <v>18</v>
      </c>
      <c r="B21" s="11">
        <v>790575</v>
      </c>
      <c r="C21" s="11">
        <v>798358</v>
      </c>
      <c r="D21" s="25">
        <f t="shared" si="0"/>
        <v>7783</v>
      </c>
      <c r="F21" s="10"/>
      <c r="G21" s="11"/>
      <c r="H21" s="11"/>
      <c r="I21" s="25"/>
    </row>
    <row r="22" spans="1:11" x14ac:dyDescent="0.25">
      <c r="A22" s="10">
        <v>19</v>
      </c>
      <c r="B22" s="11">
        <v>794762</v>
      </c>
      <c r="C22" s="11">
        <v>794140</v>
      </c>
      <c r="D22" s="25">
        <f t="shared" si="0"/>
        <v>-622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14929112</v>
      </c>
      <c r="C35" s="11">
        <f>SUM(C4:C34)</f>
        <v>14952788</v>
      </c>
      <c r="D35" s="11">
        <f>SUM(D4:D34)</f>
        <v>23676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36922</v>
      </c>
      <c r="D38" s="388">
        <v>-2392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36941</v>
      </c>
      <c r="D40" s="51">
        <f>+D38+D35</f>
        <v>21284</v>
      </c>
      <c r="I40" s="24"/>
    </row>
    <row r="42" spans="1:45" x14ac:dyDescent="0.25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5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5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5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5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5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5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5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5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5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5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5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5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5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5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5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5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5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5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5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5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5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5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5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5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C22" sqref="C22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11046</v>
      </c>
      <c r="C18" s="11">
        <v>2810</v>
      </c>
      <c r="D18" s="11"/>
      <c r="E18" s="11">
        <v>9568</v>
      </c>
      <c r="F18" s="11"/>
      <c r="G18" s="11"/>
      <c r="H18" s="11">
        <f t="shared" si="0"/>
        <v>-1332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3741</v>
      </c>
      <c r="C19" s="11">
        <v>1416</v>
      </c>
      <c r="D19" s="11"/>
      <c r="E19" s="11"/>
      <c r="F19" s="11"/>
      <c r="G19" s="11"/>
      <c r="H19" s="11">
        <f t="shared" si="0"/>
        <v>2325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36833</v>
      </c>
      <c r="C20" s="11">
        <v>27351</v>
      </c>
      <c r="D20" s="11"/>
      <c r="E20" s="11">
        <v>10000</v>
      </c>
      <c r="F20" s="11"/>
      <c r="G20" s="11"/>
      <c r="H20" s="11">
        <f t="shared" si="0"/>
        <v>-518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38116</v>
      </c>
      <c r="C21" s="11">
        <v>27810</v>
      </c>
      <c r="D21" s="11"/>
      <c r="E21" s="11">
        <v>10000</v>
      </c>
      <c r="F21" s="11"/>
      <c r="G21" s="11"/>
      <c r="H21" s="11">
        <f t="shared" si="0"/>
        <v>306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327838</v>
      </c>
      <c r="C35" s="44">
        <f t="shared" si="1"/>
        <v>160744</v>
      </c>
      <c r="D35" s="11">
        <f t="shared" si="1"/>
        <v>1</v>
      </c>
      <c r="E35" s="44">
        <f t="shared" si="1"/>
        <v>166200</v>
      </c>
      <c r="F35" s="11">
        <f t="shared" si="1"/>
        <v>0</v>
      </c>
      <c r="G35" s="11">
        <f t="shared" si="1"/>
        <v>0</v>
      </c>
      <c r="H35" s="11">
        <f t="shared" si="1"/>
        <v>895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5208.9000000000005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6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36940</v>
      </c>
      <c r="F39" s="47"/>
      <c r="G39" s="47"/>
      <c r="H39" s="137">
        <f>+H38+H37</f>
        <v>130327.34999999999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F23" sqref="F23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5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260916</v>
      </c>
      <c r="E19" s="11">
        <v>258285</v>
      </c>
      <c r="F19" s="11"/>
      <c r="G19" s="11"/>
      <c r="H19" s="24">
        <f t="shared" si="0"/>
        <v>2631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238842</v>
      </c>
      <c r="E20" s="11">
        <v>239175</v>
      </c>
      <c r="F20" s="11"/>
      <c r="G20" s="11"/>
      <c r="H20" s="24">
        <f t="shared" si="0"/>
        <v>-333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255410</v>
      </c>
      <c r="E21" s="11">
        <v>256341</v>
      </c>
      <c r="F21" s="11"/>
      <c r="G21" s="11"/>
      <c r="H21" s="24">
        <f t="shared" si="0"/>
        <v>-931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283961</v>
      </c>
      <c r="E22" s="11">
        <v>283466</v>
      </c>
      <c r="F22" s="11"/>
      <c r="G22" s="11"/>
      <c r="H22" s="24">
        <f t="shared" si="0"/>
        <v>495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231353</v>
      </c>
      <c r="E23" s="11">
        <v>231468</v>
      </c>
      <c r="F23" s="11"/>
      <c r="G23" s="11"/>
      <c r="H23" s="24">
        <f t="shared" si="0"/>
        <v>-115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5383790</v>
      </c>
      <c r="E36" s="11">
        <f t="shared" si="15"/>
        <v>5390469</v>
      </c>
      <c r="F36" s="11">
        <f t="shared" si="15"/>
        <v>0</v>
      </c>
      <c r="G36" s="11">
        <f t="shared" si="15"/>
        <v>0</v>
      </c>
      <c r="H36" s="11">
        <f t="shared" si="15"/>
        <v>-6679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36922</v>
      </c>
      <c r="B37" s="2" t="s">
        <v>48</v>
      </c>
      <c r="C37" s="385">
        <v>-7121</v>
      </c>
      <c r="D37" s="352"/>
      <c r="E37" s="409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36941</v>
      </c>
      <c r="B38" s="2" t="s">
        <v>48</v>
      </c>
      <c r="C38" s="131">
        <f>+C37+C36-B36</f>
        <v>-7121</v>
      </c>
      <c r="D38" s="261"/>
      <c r="E38" s="131">
        <f>+E37+D36-E36</f>
        <v>191394</v>
      </c>
      <c r="F38" s="261"/>
      <c r="G38" s="131"/>
      <c r="H38" s="131">
        <f>+H37+H36</f>
        <v>184273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50" sqref="C50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128931</v>
      </c>
      <c r="C20" s="11">
        <v>129502</v>
      </c>
      <c r="D20" s="25">
        <f t="shared" si="0"/>
        <v>571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125236</v>
      </c>
      <c r="C21" s="11">
        <v>123052</v>
      </c>
      <c r="D21" s="25">
        <f t="shared" si="0"/>
        <v>-2184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122223</v>
      </c>
      <c r="C22" s="11">
        <v>121152</v>
      </c>
      <c r="D22" s="25">
        <f t="shared" si="0"/>
        <v>-1071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118594</v>
      </c>
      <c r="C23" s="11">
        <v>121759</v>
      </c>
      <c r="D23" s="25">
        <f t="shared" si="0"/>
        <v>3165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124085</v>
      </c>
      <c r="C24" s="11">
        <v>122579</v>
      </c>
      <c r="D24" s="25">
        <f t="shared" si="0"/>
        <v>-1506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2258767</v>
      </c>
      <c r="C37" s="11">
        <f>SUM(C6:C36)</f>
        <v>2243455</v>
      </c>
      <c r="D37" s="11">
        <f>SUM(D6:D36)</f>
        <v>-15312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5">
      <c r="A39" s="57">
        <v>36922</v>
      </c>
      <c r="C39" s="15"/>
      <c r="D39" s="390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5">
      <c r="A40" s="57">
        <v>36941</v>
      </c>
      <c r="C40" s="48"/>
      <c r="D40" s="25">
        <f>+D39+D37</f>
        <v>-47523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4" workbookViewId="1">
      <selection activeCell="B42" sqref="B4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164053</v>
      </c>
      <c r="C22" s="11">
        <v>162309</v>
      </c>
      <c r="D22" s="11">
        <f t="shared" si="0"/>
        <v>-1744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162886</v>
      </c>
      <c r="C23" s="11">
        <v>163671</v>
      </c>
      <c r="D23" s="11">
        <f t="shared" si="0"/>
        <v>785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>
        <v>163003</v>
      </c>
      <c r="C24" s="11">
        <v>163220</v>
      </c>
      <c r="D24" s="11">
        <f t="shared" si="0"/>
        <v>217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54</v>
      </c>
      <c r="B25" s="11">
        <v>163474</v>
      </c>
      <c r="C25" s="11">
        <v>163729</v>
      </c>
      <c r="D25" s="11">
        <f t="shared" si="0"/>
        <v>255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>
        <v>160038</v>
      </c>
      <c r="C26" s="11">
        <v>164050</v>
      </c>
      <c r="D26" s="11">
        <f t="shared" si="0"/>
        <v>4012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3057323</v>
      </c>
      <c r="C39" s="150">
        <f>SUM(C8:C38)</f>
        <v>3070880</v>
      </c>
      <c r="D39" s="152">
        <f>SUM(D8:D38)</f>
        <v>13557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5.81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2">
        <f>+D40*D39</f>
        <v>78766.17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36922</v>
      </c>
      <c r="C42" s="153"/>
      <c r="D42" s="400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36941</v>
      </c>
      <c r="C43" s="142"/>
      <c r="D43" s="252">
        <f>+D42+D41</f>
        <v>343591.45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59</v>
      </c>
      <c r="B80" s="157"/>
      <c r="C80" s="154"/>
      <c r="D80" s="142"/>
      <c r="E80" s="144"/>
      <c r="F80" s="144"/>
    </row>
    <row r="81" spans="1:9" x14ac:dyDescent="0.25">
      <c r="A81" s="161" t="s">
        <v>60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5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59</v>
      </c>
      <c r="B119" s="157"/>
      <c r="C119" s="154"/>
      <c r="D119" s="142"/>
      <c r="E119" s="144"/>
      <c r="F119" s="112"/>
    </row>
    <row r="120" spans="1:9" x14ac:dyDescent="0.25">
      <c r="A120" s="161" t="s">
        <v>60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5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5">
      <c r="B167" s="187">
        <v>-300000</v>
      </c>
      <c r="C167" s="181">
        <v>-450000</v>
      </c>
      <c r="D167" s="34" t="s">
        <v>68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2001-02-21T15:08:03Z</cp:lastPrinted>
  <dcterms:created xsi:type="dcterms:W3CDTF">2000-03-28T16:52:23Z</dcterms:created>
  <dcterms:modified xsi:type="dcterms:W3CDTF">2023-09-10T15:06:17Z</dcterms:modified>
</cp:coreProperties>
</file>