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Agave!$A$3:$D$25</definedName>
    <definedName name="_xlnm.Print_Area" localSheetId="40">Amarillo!$A$1:$P$41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B5" i="8" l="1"/>
  <c r="D5" i="8"/>
  <c r="B6" i="8"/>
  <c r="D6" i="8"/>
  <c r="B7" i="8"/>
  <c r="D7" i="8"/>
  <c r="B8" i="8"/>
  <c r="D8" i="8"/>
  <c r="B9" i="8"/>
  <c r="D9" i="8"/>
  <c r="B10" i="8"/>
  <c r="D10" i="8"/>
  <c r="D11" i="8"/>
  <c r="D12" i="8"/>
  <c r="B13" i="8"/>
  <c r="D13" i="8"/>
  <c r="B14" i="8"/>
  <c r="D14" i="8"/>
  <c r="D15" i="8"/>
  <c r="D16" i="8"/>
  <c r="B17" i="8"/>
  <c r="D17" i="8"/>
  <c r="B18" i="8"/>
  <c r="D18" i="8"/>
  <c r="D19" i="8"/>
  <c r="D20" i="8"/>
  <c r="D21" i="8"/>
  <c r="D25" i="8"/>
  <c r="A29" i="8"/>
  <c r="A30" i="8"/>
  <c r="D30" i="8"/>
  <c r="D31" i="8"/>
  <c r="D36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52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I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B6" i="78"/>
  <c r="D6" i="78"/>
  <c r="D7" i="78"/>
  <c r="B8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31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8" i="67"/>
  <c r="A43" i="67"/>
  <c r="A44" i="67"/>
  <c r="D44" i="67"/>
  <c r="F44" i="67"/>
  <c r="D45" i="67"/>
  <c r="F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B5" i="64"/>
  <c r="D5" i="64"/>
  <c r="B6" i="64"/>
  <c r="D6" i="64"/>
  <c r="B7" i="64"/>
  <c r="D7" i="64"/>
  <c r="D8" i="64"/>
  <c r="B9" i="64"/>
  <c r="D9" i="64"/>
  <c r="D10" i="64"/>
  <c r="B11" i="64"/>
  <c r="D11" i="64"/>
  <c r="D12" i="64"/>
  <c r="D13" i="64"/>
  <c r="D17" i="64"/>
  <c r="D18" i="64"/>
  <c r="D19" i="64"/>
  <c r="D23" i="64"/>
  <c r="A28" i="64"/>
  <c r="A29" i="64"/>
  <c r="D29" i="64"/>
  <c r="D30" i="64"/>
  <c r="D33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F53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D51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<sst xmlns="http://schemas.openxmlformats.org/spreadsheetml/2006/main" count="1016" uniqueCount="325">
  <si>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</si>
  <si>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</si>
  <si>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</si>
  <si>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</si>
  <si>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</si>
  <si>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</si>
  <si>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</si>
  <si>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</si>
  <si>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</si>
  <si>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</si>
  <si>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</si>
  <si>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</si>
  <si>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</si>
  <si>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</si>
  <si>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</si>
  <si>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</si>
  <si>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</si>
  <si>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</si>
  <si>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</si>
  <si>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</si>
  <si>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</si>
  <si>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</si>
  <si>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</si>
  <si>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</si>
  <si>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</si>
  <si>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</si>
  <si>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</si>
  <si>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</si>
  <si>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</si>
  <si>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</si>
  <si>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</si>
  <si>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</si>
  <si>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</si>
  <si>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</si>
  <si>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</si>
  <si>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</si>
  <si>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</si>
  <si>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</si>
  <si>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</si>
  <si>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</si>
  <si>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</si>
  <si>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</si>
  <si>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</si>
  <si>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</si>
  <si>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</si>
  <si>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</si>
  <si>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</si>
  <si>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</si>
  <si>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</si>
  <si>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</si>
  <si>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</si>
  <si>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</si>
  <si>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</si>
  <si>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</si>
  <si>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</si>
  <si>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</si>
  <si>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</si>
  <si>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</si>
  <si>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</si>
  <si>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</si>
  <si>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</si>
  <si>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</si>
  <si>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</si>
  <si>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</si>
  <si>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</si>
  <si>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</si>
  <si>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</si>
  <si>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</si>
  <si>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</si>
  <si>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</si>
  <si>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</si>
  <si>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</si>
  <si>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</si>
  <si>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</si>
  <si>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</si>
  <si>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</si>
  <si>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</si>
  <si>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</si>
  <si>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</si>
  <si>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</si>
  <si>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</si>
  <si>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</si>
  <si>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</si>
  <si>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</si>
  <si>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</si>
  <si>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</si>
  <si>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</si>
  <si>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</si>
  <si>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</si>
  <si>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</si>
  <si>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</si>
  <si>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</si>
  <si>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</si>
  <si>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</si>
  <si>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</si>
  <si>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</si>
  <si>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</si>
  <si>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</si>
  <si>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</si>
  <si>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</si>
  <si>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</si>
  <si>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</si>
  <si>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</si>
  <si>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</si>
  <si>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</si>
  <si>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</si>
  <si>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</si>
  <si>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</si>
  <si>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</si>
  <si>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</si>
  <si>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</si>
  <si>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</si>
  <si>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</si>
  <si>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</si>
  <si>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</si>
  <si>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</si>
  <si>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</si>
  <si>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</si>
  <si>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</si>
  <si>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</si>
  <si>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</si>
  <si>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</si>
  <si>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</si>
  <si>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</si>
  <si>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</si>
  <si>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</si>
  <si>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</si>
  <si>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</si>
  <si>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</si>
  <si>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</si>
  <si>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</si>
  <si>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</si>
  <si>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</si>
  <si>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</si>
  <si>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</si>
  <si>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</si>
  <si>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</si>
  <si>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</si>
  <si>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</si>
  <si>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</si>
  <si>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</si>
  <si>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</si>
  <si>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</si>
  <si>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</si>
  <si>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</si>
  <si>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</si>
  <si>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</si>
  <si>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</si>
  <si>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</si>
  <si>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</si>
  <si>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</si>
  <si>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</si>
  <si>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</si>
  <si>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</si>
  <si>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</si>
  <si>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</si>
  <si>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</si>
  <si>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</si>
  <si>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</si>
  <si>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</si>
  <si>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</si>
  <si>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</si>
  <si>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</si>
  <si>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</si>
  <si>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</si>
  <si>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</si>
  <si>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</si>
  <si>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</si>
  <si>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</si>
  <si>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</si>
  <si>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</si>
  <si>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</si>
  <si>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</si>
  <si>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</si>
  <si>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</si>
  <si>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</si>
  <si>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</si>
  <si>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</si>
  <si>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</si>
  <si>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</si>
  <si>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</si>
  <si>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</si>
  <si>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</si>
  <si>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</si>
  <si>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</si>
  <si>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</si>
  <si>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</si>
  <si>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</si>
  <si>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</si>
  <si>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</si>
  <si>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</si>
  <si>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</si>
  <si>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</si>
  <si>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</si>
  <si>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</si>
  <si>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</si>
  <si>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</si>
  <si>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</si>
  <si>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</si>
  <si>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</si>
  <si>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</si>
  <si>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</si>
  <si>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</si>
  <si>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</si>
  <si>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</si>
  <si>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</si>
  <si>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</si>
  <si>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</si>
  <si>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</si>
  <si>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</si>
  <si>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</si>
  <si>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</si>
  <si>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</si>
  <si>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</si>
  <si>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</si>
  <si>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</si>
  <si>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</si>
  <si>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</si>
  <si>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</si>
  <si>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</si>
  <si>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</si>
  <si>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</si>
  <si>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</si>
  <si>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</si>
  <si>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</si>
  <si>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</si>
  <si>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</si>
  <si>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</si>
  <si>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</si>
  <si>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</si>
  <si>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</si>
  <si>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</si>
  <si>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</si>
  <si>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</si>
  <si>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</si>
  <si>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</si>
  <si>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</si>
  <si>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</si>
  <si>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</si>
  <si>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</si>
  <si>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</si>
  <si>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</si>
  <si>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</si>
  <si>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</si>
  <si>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</si>
  <si>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</si>
  <si>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</si>
  <si>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</si>
  <si>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</si>
  <si>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</si>
  <si>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</si>
  <si>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</si>
  <si>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</si>
  <si>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</si>
  <si>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</si>
  <si>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</si>
  <si>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</si>
  <si>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</si>
  <si>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</si>
  <si>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</si>
  <si>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</si>
  <si>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</si>
  <si>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</si>
  <si>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</si>
  <si>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</si>
  <si>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</si>
  <si>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</si>
  <si>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</si>
  <si>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</si>
  <si>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</si>
  <si>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</si>
  <si>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</si>
  <si>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</si>
  <si>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</si>
  <si>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</si>
  <si>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</si>
  <si>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</si>
  <si>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</si>
  <si>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</si>
  <si>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</si>
  <si>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</si>
  <si>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</si>
  <si>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</si>
  <si>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</si>
  <si>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</si>
  <si>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</si>
  <si>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</si>
  <si>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</si>
  <si>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</si>
  <si>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</si>
  <si>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</si>
  <si>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</si>
  <si>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</si>
  <si>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</si>
  <si>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</si>
  <si>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</si>
  <si>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</si>
  <si>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</si>
  <si>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</si>
  <si>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</si>
  <si>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</si>
  <si>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</si>
  <si>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</si>
  <si>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</si>
  <si>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</si>
  <si>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</si>
  <si>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</si>
  <si>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</si>
  <si>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</si>
  <si>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</si>
  <si>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</si>
  <si>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reconciling and working on payback plan</t>
  </si>
  <si>
    <t>Sched</t>
  </si>
  <si>
    <t>volumetric through 10/31/01 - majority of balance</t>
  </si>
  <si>
    <t>Mojave</t>
  </si>
  <si>
    <t>amount is related to 3/02 - previous vols to be cashed out</t>
  </si>
  <si>
    <t>balance is related to 3/2002 only - cashed out monthly</t>
  </si>
  <si>
    <t>will pay back vols and in 3/2002 and pay 1/2 in cash</t>
  </si>
  <si>
    <t>Boggess-Bandy</t>
  </si>
  <si>
    <t>Bails-Johnson</t>
  </si>
  <si>
    <t>Lakeview/Barnet</t>
  </si>
  <si>
    <t>Carthel-Frye</t>
  </si>
  <si>
    <t>E Shaffer#3</t>
  </si>
  <si>
    <t>Mills-Fleming</t>
  </si>
  <si>
    <t>contract 21725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</si>
</sst>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14" fontId="3" fillId="0" borderId="0" xfId="1" applyNumberFormat="1" applyFont="1" applyAlignment="1">
      <alignment horizontal="right"/>
    </xf>
    <xf numFmtId="0" fontId="9" fillId="3" borderId="0" xfId="0" applyFont="1" applyFill="1" applyBorder="1"/>
    <xf numFmtId="0" fontId="14" fillId="0" borderId="1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3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2.39</v>
          </cell>
          <cell r="K39">
            <v>2.36</v>
          </cell>
          <cell r="M39">
            <v>2.38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73" workbookViewId="0">
      <selection activeCell="B31" sqref="B31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2"/>
    </row>
    <row r="2" spans="1:32" ht="12.9" customHeight="1" x14ac:dyDescent="0.25">
      <c r="A2" s="34" t="s">
        <v>140</v>
      </c>
      <c r="D2" s="7"/>
      <c r="F2" s="382" t="s">
        <v>78</v>
      </c>
      <c r="G2" s="385"/>
      <c r="H2" s="32"/>
    </row>
    <row r="3" spans="1:32" ht="12.9" customHeight="1" x14ac:dyDescent="0.25">
      <c r="D3" s="7"/>
      <c r="F3" s="383" t="s">
        <v>29</v>
      </c>
      <c r="G3" s="386">
        <f>+summary!G3</f>
        <v>2.36</v>
      </c>
      <c r="H3" s="401">
        <f ca="1">NOW()</f>
        <v>37323.701721064812</v>
      </c>
    </row>
    <row r="4" spans="1:32" ht="12.9" customHeight="1" x14ac:dyDescent="0.25">
      <c r="A4" s="34" t="s">
        <v>144</v>
      </c>
      <c r="C4" s="34" t="s">
        <v>5</v>
      </c>
      <c r="D4" s="7"/>
      <c r="F4" s="384" t="s">
        <v>30</v>
      </c>
      <c r="G4" s="386">
        <f>+summary!G4</f>
        <v>2.38</v>
      </c>
      <c r="H4" s="32"/>
    </row>
    <row r="5" spans="1:32" ht="12.9" customHeight="1" x14ac:dyDescent="0.25">
      <c r="D5" s="7"/>
      <c r="F5" s="383" t="s">
        <v>117</v>
      </c>
      <c r="G5" s="386">
        <f>+summary!G5</f>
        <v>2.39</v>
      </c>
      <c r="H5" s="209" t="s">
        <v>314</v>
      </c>
      <c r="I5" s="259">
        <f>+summary!I5</f>
        <v>2.2999999999999998</v>
      </c>
    </row>
    <row r="6" spans="1:32" ht="6.9" customHeight="1" x14ac:dyDescent="0.25"/>
    <row r="7" spans="1:32" ht="12.9" customHeight="1" x14ac:dyDescent="0.25">
      <c r="A7" s="399" t="s">
        <v>162</v>
      </c>
      <c r="B7" s="400"/>
      <c r="AD7" s="32"/>
      <c r="AE7" s="32"/>
      <c r="AF7" s="32"/>
    </row>
    <row r="8" spans="1:32" ht="15.9" customHeight="1" outlineLevel="2" x14ac:dyDescent="0.25">
      <c r="A8" s="32"/>
      <c r="B8" s="440" t="s">
        <v>192</v>
      </c>
      <c r="C8" s="397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65" t="s">
        <v>89</v>
      </c>
      <c r="B9" s="390" t="s">
        <v>193</v>
      </c>
      <c r="C9" s="398" t="s">
        <v>186</v>
      </c>
      <c r="D9" s="426" t="s">
        <v>190</v>
      </c>
      <c r="E9" s="39" t="s">
        <v>188</v>
      </c>
      <c r="F9" s="39" t="s">
        <v>145</v>
      </c>
      <c r="G9" s="389" t="s">
        <v>150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65" t="s">
        <v>154</v>
      </c>
    </row>
    <row r="12" spans="1:32" ht="13.5" customHeight="1" outlineLevel="1" x14ac:dyDescent="0.25">
      <c r="A12" s="499" t="s">
        <v>127</v>
      </c>
      <c r="B12" s="605">
        <f>+Calpine!D41</f>
        <v>-7539.3</v>
      </c>
      <c r="C12" s="368">
        <f>+B12/$G$4</f>
        <v>-3167.7731092436975</v>
      </c>
      <c r="D12" s="14">
        <f>+Calpine!D47</f>
        <v>92184</v>
      </c>
      <c r="E12" s="70">
        <f>+C12-D12</f>
        <v>-95351.773109243702</v>
      </c>
      <c r="F12" s="363">
        <f>+Calpine!A41</f>
        <v>37321</v>
      </c>
      <c r="G12" s="203" t="s">
        <v>152</v>
      </c>
      <c r="H12" s="204" t="s">
        <v>99</v>
      </c>
      <c r="I12" s="351"/>
      <c r="J12" s="70"/>
      <c r="K12" s="32"/>
    </row>
    <row r="13" spans="1:32" ht="13.5" customHeight="1" outlineLevel="2" x14ac:dyDescent="0.25">
      <c r="A13" s="248" t="s">
        <v>139</v>
      </c>
      <c r="B13" s="605">
        <f>+'Citizens-Griffith'!D41</f>
        <v>50304.28</v>
      </c>
      <c r="C13" s="367">
        <f>+B13/$G$4</f>
        <v>21136.252100840338</v>
      </c>
      <c r="D13" s="14">
        <f>+'Citizens-Griffith'!D48</f>
        <v>28211</v>
      </c>
      <c r="E13" s="70">
        <f>+C13-D13</f>
        <v>-7074.7478991596618</v>
      </c>
      <c r="F13" s="363">
        <f>+'Citizens-Griffith'!A41</f>
        <v>37321</v>
      </c>
      <c r="G13" s="203" t="s">
        <v>299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276</v>
      </c>
      <c r="B14" s="611">
        <f>+SWGasTrans!D41</f>
        <v>-8827.56</v>
      </c>
      <c r="C14" s="367">
        <f>+B14/G4</f>
        <v>-3709.0588235294117</v>
      </c>
      <c r="D14" s="14">
        <f>+SWGasTrans!$D$48</f>
        <v>8527</v>
      </c>
      <c r="E14" s="70">
        <f>+C14-D14</f>
        <v>-12236.058823529413</v>
      </c>
      <c r="F14" s="363">
        <f>+SWGasTrans!A41</f>
        <v>37321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45">
        <f>+'NS Steel'!D41</f>
        <v>-251172.06</v>
      </c>
      <c r="C15" s="367">
        <f>+B15/$G$4</f>
        <v>-105534.47899159664</v>
      </c>
      <c r="D15" s="14">
        <f>+'NS Steel'!D50</f>
        <v>5237</v>
      </c>
      <c r="E15" s="70">
        <f>+C15-D15</f>
        <v>-110771.47899159664</v>
      </c>
      <c r="F15" s="364">
        <f>+'NS Steel'!A41</f>
        <v>37322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5">
      <c r="A16" s="499" t="s">
        <v>135</v>
      </c>
      <c r="B16" s="348">
        <f>+Citizens!D18</f>
        <v>-580667.57999999996</v>
      </c>
      <c r="C16" s="369">
        <f>+B16/$G$4</f>
        <v>-243977.97478991596</v>
      </c>
      <c r="D16" s="349">
        <f>+Citizens!D24</f>
        <v>-57154</v>
      </c>
      <c r="E16" s="72">
        <f>+C16-D16</f>
        <v>-186823.97478991596</v>
      </c>
      <c r="F16" s="363">
        <f>+Citizens!A18</f>
        <v>37321</v>
      </c>
      <c r="G16" s="203" t="s">
        <v>299</v>
      </c>
      <c r="H16" s="204" t="s">
        <v>99</v>
      </c>
      <c r="I16" s="418" t="s">
        <v>175</v>
      </c>
      <c r="J16" s="32"/>
      <c r="K16" s="32"/>
      <c r="T16" s="259"/>
    </row>
    <row r="17" spans="1:20" ht="15.9" customHeight="1" outlineLevel="2" x14ac:dyDescent="0.25">
      <c r="A17" s="153" t="s">
        <v>155</v>
      </c>
      <c r="B17" s="387">
        <f>SUBTOTAL(9,B12:B16)</f>
        <v>-797902.22</v>
      </c>
      <c r="C17" s="392">
        <f>SUBTOTAL(9,C12:C16)</f>
        <v>-335253.03361344535</v>
      </c>
      <c r="D17" s="393">
        <f>SUBTOTAL(9,D12:D16)</f>
        <v>77005</v>
      </c>
      <c r="E17" s="394">
        <f>SUBTOTAL(9,E12:E16)</f>
        <v>-412258.03361344535</v>
      </c>
      <c r="F17" s="363"/>
      <c r="G17" s="203"/>
      <c r="H17" s="204"/>
      <c r="I17" s="351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396" t="s">
        <v>57</v>
      </c>
      <c r="G19" s="7"/>
    </row>
    <row r="20" spans="1:20" ht="13.5" customHeight="1" outlineLevel="2" x14ac:dyDescent="0.25">
      <c r="A20" s="248" t="s">
        <v>71</v>
      </c>
      <c r="B20" s="610">
        <f>+transcol!$D$43</f>
        <v>20279.22</v>
      </c>
      <c r="C20" s="367">
        <f>+B20/$G$4</f>
        <v>8520.6806722689089</v>
      </c>
      <c r="D20" s="14">
        <f>+transcol!D50</f>
        <v>-46071</v>
      </c>
      <c r="E20" s="70">
        <f>+C20-D20</f>
        <v>54591.680672268907</v>
      </c>
      <c r="F20" s="364">
        <f>+transcol!A43</f>
        <v>37320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499" t="s">
        <v>288</v>
      </c>
      <c r="B21" s="610">
        <f>+C21*G3</f>
        <v>27090.44</v>
      </c>
      <c r="C21" s="367">
        <f>+williams!J40</f>
        <v>11479</v>
      </c>
      <c r="D21" s="14">
        <f>+C21</f>
        <v>11479</v>
      </c>
      <c r="E21" s="70">
        <f>+C21-D21</f>
        <v>0</v>
      </c>
      <c r="F21" s="364">
        <f>+williams!A40</f>
        <v>37321</v>
      </c>
      <c r="G21" s="203" t="s">
        <v>153</v>
      </c>
      <c r="H21" s="32" t="s">
        <v>289</v>
      </c>
      <c r="I21" s="32"/>
      <c r="J21" s="32"/>
      <c r="K21" s="32"/>
      <c r="T21" s="259"/>
    </row>
    <row r="22" spans="1:20" ht="13.5" customHeight="1" outlineLevel="2" x14ac:dyDescent="0.25">
      <c r="A22" s="499" t="s">
        <v>95</v>
      </c>
      <c r="B22" s="612">
        <f>+burlington!D42</f>
        <v>-16942.2</v>
      </c>
      <c r="C22" s="371">
        <f>+B22/$G$3</f>
        <v>-7178.8983050847464</v>
      </c>
      <c r="D22" s="349">
        <f>+burlington!D49</f>
        <v>-8300</v>
      </c>
      <c r="E22" s="72">
        <f>+C22-D22</f>
        <v>1121.1016949152536</v>
      </c>
      <c r="F22" s="363">
        <f>+burlington!A42</f>
        <v>37322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" customHeight="1" outlineLevel="2" x14ac:dyDescent="0.25">
      <c r="A23" s="153" t="s">
        <v>157</v>
      </c>
      <c r="B23" s="387">
        <f>SUBTOTAL(9,B20:B22)</f>
        <v>30427.460000000003</v>
      </c>
      <c r="C23" s="388">
        <f>SUBTOTAL(9,C20:C22)</f>
        <v>12820.782367184162</v>
      </c>
      <c r="D23" s="393">
        <f>SUBTOTAL(9,D20:D22)</f>
        <v>-42892</v>
      </c>
      <c r="E23" s="394">
        <f>SUBTOTAL(9,E20:E22)</f>
        <v>55712.782367184162</v>
      </c>
      <c r="F23" s="363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65" t="s">
        <v>158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" customHeight="1" outlineLevel="2" x14ac:dyDescent="0.25">
      <c r="A26" s="499" t="s">
        <v>87</v>
      </c>
      <c r="B26" s="614">
        <f>+NNG!$D$24</f>
        <v>45184.38</v>
      </c>
      <c r="C26" s="367">
        <f>+B26/$G$4</f>
        <v>18985.033613445379</v>
      </c>
      <c r="D26" s="14">
        <f>+NNG!D34</f>
        <v>20159</v>
      </c>
      <c r="E26" s="70">
        <f t="shared" ref="E26:E48" si="0">+C26-D26</f>
        <v>-1173.9663865546208</v>
      </c>
      <c r="F26" s="363">
        <f>+NNG!A24</f>
        <v>37320</v>
      </c>
      <c r="G26" s="204" t="s">
        <v>298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614">
        <f>+Conoco!$F$41</f>
        <v>442904.39</v>
      </c>
      <c r="C27" s="367">
        <f>+B27/$G$4</f>
        <v>186094.28151260506</v>
      </c>
      <c r="D27" s="14">
        <f>+Conoco!D48</f>
        <v>12358</v>
      </c>
      <c r="E27" s="70">
        <f t="shared" si="0"/>
        <v>173736.28151260506</v>
      </c>
      <c r="F27" s="363">
        <f>+Conoco!A41</f>
        <v>37322</v>
      </c>
      <c r="G27" s="32" t="s">
        <v>299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5">
      <c r="A28" s="248" t="s">
        <v>3</v>
      </c>
      <c r="B28" s="614">
        <f>+'Amoco Abo'!$F$43</f>
        <v>224623.63</v>
      </c>
      <c r="C28" s="367">
        <f>+B28/$G$4</f>
        <v>94379.676470588238</v>
      </c>
      <c r="D28" s="14">
        <f>+'Amoco Abo'!D49</f>
        <v>-336539</v>
      </c>
      <c r="E28" s="70">
        <f t="shared" si="0"/>
        <v>430918.67647058825</v>
      </c>
      <c r="F28" s="364">
        <f>+'Amoco Abo'!A43</f>
        <v>37321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5">
      <c r="A29" s="248" t="s">
        <v>107</v>
      </c>
      <c r="B29" s="614">
        <f>+KN_Westar!F41</f>
        <v>328750.86</v>
      </c>
      <c r="C29" s="367">
        <f>+B29/$G$4</f>
        <v>138130.61344537814</v>
      </c>
      <c r="D29" s="14">
        <f>+KN_Westar!D48</f>
        <v>-38076</v>
      </c>
      <c r="E29" s="70">
        <f t="shared" si="0"/>
        <v>176206.61344537814</v>
      </c>
      <c r="F29" s="364">
        <f>+KN_Westar!A41</f>
        <v>37317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499" t="s">
        <v>246</v>
      </c>
      <c r="B30" s="605">
        <f>+summary!$B$46</f>
        <v>-85558.260000000009</v>
      </c>
      <c r="C30" s="368">
        <f>+B30/$G$5</f>
        <v>-35798.435146443517</v>
      </c>
      <c r="D30" s="14">
        <f>+DEFS!$I$36+DEFS!$J$36+DEFS!$K$45+DEFS!$K$46+DEFS!$K$47+DEFS!$K$48+Duke!I53+Duke!I54+Duke!F40+Duke!G40+Duke!H40</f>
        <v>286033</v>
      </c>
      <c r="E30" s="70">
        <f t="shared" si="0"/>
        <v>-321831.43514644355</v>
      </c>
      <c r="F30" s="364">
        <f>+DEFS!A40</f>
        <v>37321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5">
      <c r="A31" s="248" t="s">
        <v>2</v>
      </c>
      <c r="B31" s="605">
        <f>+mewborne!$J$43</f>
        <v>319338.12</v>
      </c>
      <c r="C31" s="367">
        <f>+B31/$G$4</f>
        <v>134175.68067226891</v>
      </c>
      <c r="D31" s="14">
        <f>+mewborne!D49</f>
        <v>124954</v>
      </c>
      <c r="E31" s="70">
        <f t="shared" si="0"/>
        <v>9221.6806722689071</v>
      </c>
      <c r="F31" s="364">
        <f>+mewborne!A43</f>
        <v>37321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5">
      <c r="A32" s="248" t="s">
        <v>146</v>
      </c>
      <c r="B32" s="478">
        <f>+PGETX!$H$39</f>
        <v>47856.06</v>
      </c>
      <c r="C32" s="367">
        <f>+B32/$G$4</f>
        <v>20107.588235294119</v>
      </c>
      <c r="D32" s="14">
        <f>+PGETX!E48</f>
        <v>49823</v>
      </c>
      <c r="E32" s="70">
        <f t="shared" si="0"/>
        <v>-29715.411764705881</v>
      </c>
      <c r="F32" s="364">
        <f>+PGETX!E39</f>
        <v>37321</v>
      </c>
      <c r="G32" s="32" t="s">
        <v>300</v>
      </c>
      <c r="H32" s="32" t="s">
        <v>102</v>
      </c>
      <c r="I32" s="32" t="s">
        <v>174</v>
      </c>
      <c r="J32" s="32"/>
      <c r="K32" s="32"/>
    </row>
    <row r="33" spans="1:11" ht="14.1" customHeight="1" x14ac:dyDescent="0.25">
      <c r="A33" s="248" t="s">
        <v>82</v>
      </c>
      <c r="B33" s="605">
        <f>+PNM!$D$23</f>
        <v>791886.01</v>
      </c>
      <c r="C33" s="367">
        <f>+B33/$G$4</f>
        <v>332725.21428571432</v>
      </c>
      <c r="D33" s="14">
        <f>+PNM!D30</f>
        <v>321658</v>
      </c>
      <c r="E33" s="70">
        <f t="shared" si="0"/>
        <v>11067.214285714319</v>
      </c>
      <c r="F33" s="364">
        <f>+PNM!A23</f>
        <v>37321</v>
      </c>
      <c r="G33" s="32" t="s">
        <v>298</v>
      </c>
      <c r="H33" s="32" t="s">
        <v>115</v>
      </c>
      <c r="I33" s="32"/>
      <c r="J33" s="32"/>
      <c r="K33" s="32"/>
    </row>
    <row r="34" spans="1:11" ht="14.1" customHeight="1" x14ac:dyDescent="0.25">
      <c r="A34" s="32" t="s">
        <v>103</v>
      </c>
      <c r="B34" s="614">
        <f>+EOG!J41</f>
        <v>2147.0800000000017</v>
      </c>
      <c r="C34" s="367">
        <f>+B34/$G$4</f>
        <v>902.13445378151334</v>
      </c>
      <c r="D34" s="14">
        <f>+EOG!D48</f>
        <v>-124943</v>
      </c>
      <c r="E34" s="70">
        <f t="shared" si="0"/>
        <v>125845.13445378152</v>
      </c>
      <c r="F34" s="363">
        <f>+EOG!A41</f>
        <v>37320</v>
      </c>
      <c r="G34" s="32" t="s">
        <v>298</v>
      </c>
      <c r="H34" s="32" t="s">
        <v>102</v>
      </c>
      <c r="I34" s="32"/>
      <c r="J34" s="32"/>
      <c r="K34" s="32"/>
    </row>
    <row r="35" spans="1:11" ht="14.1" customHeight="1" x14ac:dyDescent="0.25">
      <c r="A35" s="248" t="s">
        <v>6</v>
      </c>
      <c r="B35" s="614">
        <f>+Oasis!D40</f>
        <v>20752.86</v>
      </c>
      <c r="C35" s="367">
        <f>+B35/G5</f>
        <v>8683.2050209205026</v>
      </c>
      <c r="D35" s="14">
        <f>+Oasis!D47</f>
        <v>7673</v>
      </c>
      <c r="E35" s="70">
        <f>+C35-D35</f>
        <v>1010.2050209205026</v>
      </c>
      <c r="F35" s="363">
        <f>+Oasis!A40</f>
        <v>37321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5">
      <c r="A36" s="248" t="s">
        <v>131</v>
      </c>
      <c r="B36" s="614">
        <f>+SidR!D41</f>
        <v>23161.360000000001</v>
      </c>
      <c r="C36" s="367">
        <f>+B36/$G$5</f>
        <v>9690.9456066945604</v>
      </c>
      <c r="D36" s="14">
        <f>+SidR!D48</f>
        <v>10000</v>
      </c>
      <c r="E36" s="70">
        <f t="shared" si="0"/>
        <v>-309.05439330543959</v>
      </c>
      <c r="F36" s="364">
        <f>+SidR!A41</f>
        <v>37321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5">
      <c r="A37" s="499" t="s">
        <v>256</v>
      </c>
      <c r="B37" s="611">
        <f>+MiVida_Rich!D41</f>
        <v>-191635</v>
      </c>
      <c r="C37" s="367">
        <f>+B37/$G$5</f>
        <v>-80182.008368200826</v>
      </c>
      <c r="D37" s="14">
        <f>+MiVida_Rich!D48</f>
        <v>-45642</v>
      </c>
      <c r="E37" s="70">
        <f>+C37-D37</f>
        <v>-34540.008368200826</v>
      </c>
      <c r="F37" s="364">
        <f>+MiVida_Rich!A41</f>
        <v>37315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206</v>
      </c>
      <c r="B38" s="605">
        <f>+Dominion!D41</f>
        <v>171110.45</v>
      </c>
      <c r="C38" s="367">
        <f>+B38/$G$5</f>
        <v>71594.330543933058</v>
      </c>
      <c r="D38" s="14">
        <f>+Dominion!D48</f>
        <v>74791</v>
      </c>
      <c r="E38" s="70">
        <f t="shared" si="0"/>
        <v>-3196.6694560669421</v>
      </c>
      <c r="F38" s="364">
        <f>+Dominion!A41</f>
        <v>37321</v>
      </c>
      <c r="G38" s="203" t="s">
        <v>298</v>
      </c>
      <c r="H38" s="32" t="s">
        <v>99</v>
      </c>
      <c r="I38" s="32"/>
      <c r="J38" s="32"/>
      <c r="K38" s="32"/>
    </row>
    <row r="39" spans="1:11" ht="14.1" customHeight="1" x14ac:dyDescent="0.25">
      <c r="A39" s="248" t="s">
        <v>203</v>
      </c>
      <c r="B39" s="611">
        <f>+WTGmktg!J43</f>
        <v>-19693.54</v>
      </c>
      <c r="C39" s="367">
        <f>+B39/$G$4</f>
        <v>-8274.5966386554628</v>
      </c>
      <c r="D39" s="14">
        <f>+WTGmktg!D50</f>
        <v>3615</v>
      </c>
      <c r="E39" s="70">
        <f t="shared" si="0"/>
        <v>-11889.596638655463</v>
      </c>
      <c r="F39" s="364">
        <f>+WTGmktg!A43</f>
        <v>37320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5">
      <c r="A40" s="248" t="s">
        <v>279</v>
      </c>
      <c r="B40" s="345">
        <f>+'WTG inc'!N43</f>
        <v>19485.84</v>
      </c>
      <c r="C40" s="367">
        <f>+B40/G4</f>
        <v>8187.3277310924377</v>
      </c>
      <c r="D40" s="14">
        <f>+'WTG inc'!D50</f>
        <v>5934</v>
      </c>
      <c r="E40" s="70">
        <f>+C40-D40</f>
        <v>2253.3277310924377</v>
      </c>
      <c r="F40" s="364">
        <f>+'WTG inc'!A43</f>
        <v>37320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5">
      <c r="A41" s="248" t="s">
        <v>207</v>
      </c>
      <c r="B41" s="611">
        <f>+Devon!D41</f>
        <v>6517.05</v>
      </c>
      <c r="C41" s="367">
        <f>+B41/$G$5</f>
        <v>2726.7991631799164</v>
      </c>
      <c r="D41" s="14">
        <f>+Devon!D48</f>
        <v>2782</v>
      </c>
      <c r="E41" s="70">
        <f t="shared" si="0"/>
        <v>-55.200836820083623</v>
      </c>
      <c r="F41" s="364">
        <f>+Devon!A41</f>
        <v>37321</v>
      </c>
      <c r="G41" s="203" t="s">
        <v>299</v>
      </c>
      <c r="H41" s="32" t="s">
        <v>99</v>
      </c>
      <c r="I41" s="32"/>
      <c r="J41" s="32"/>
      <c r="K41" s="32"/>
    </row>
    <row r="42" spans="1:11" ht="13.5" customHeight="1" x14ac:dyDescent="0.25">
      <c r="A42" s="248" t="s">
        <v>216</v>
      </c>
      <c r="B42" s="345">
        <f>+crosstex!F41</f>
        <v>-122402.58</v>
      </c>
      <c r="C42" s="367">
        <f>+B42/$G$4</f>
        <v>-51429.655462184877</v>
      </c>
      <c r="D42" s="14">
        <f>+crosstex!D48</f>
        <v>-35558</v>
      </c>
      <c r="E42" s="70">
        <f t="shared" si="0"/>
        <v>-15871.655462184877</v>
      </c>
      <c r="F42" s="364">
        <f>+crosstex!A41</f>
        <v>37321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5">
      <c r="A43" s="248" t="s">
        <v>217</v>
      </c>
      <c r="B43" s="605">
        <f>+Amarillo!P41</f>
        <v>151725.76000000001</v>
      </c>
      <c r="C43" s="367">
        <f>+B43/$G$4</f>
        <v>63750.3193277311</v>
      </c>
      <c r="D43" s="14">
        <f>+Amarillo!D48</f>
        <v>65867</v>
      </c>
      <c r="E43" s="70">
        <f t="shared" si="0"/>
        <v>-2116.6806722688998</v>
      </c>
      <c r="F43" s="364">
        <f>+Amarillo!A41</f>
        <v>37321</v>
      </c>
      <c r="G43" s="203" t="s">
        <v>299</v>
      </c>
      <c r="H43" s="32" t="s">
        <v>113</v>
      </c>
      <c r="I43" s="32"/>
      <c r="J43" s="32"/>
      <c r="K43" s="32"/>
    </row>
    <row r="44" spans="1:11" ht="13.5" customHeight="1" x14ac:dyDescent="0.25">
      <c r="A44" s="248" t="s">
        <v>294</v>
      </c>
      <c r="B44" s="605">
        <f>+Stratland!$D$41</f>
        <v>69866</v>
      </c>
      <c r="C44" s="368">
        <f>+B44/$G$4</f>
        <v>29355.462184873952</v>
      </c>
      <c r="D44" s="14">
        <f>+Stratland!D48</f>
        <v>27486</v>
      </c>
      <c r="E44" s="70">
        <f>+C44-D44</f>
        <v>1869.4621848739516</v>
      </c>
      <c r="F44" s="363">
        <f>+Stratland!A41</f>
        <v>37315</v>
      </c>
      <c r="G44" s="203" t="s">
        <v>298</v>
      </c>
      <c r="H44" s="32" t="s">
        <v>102</v>
      </c>
      <c r="I44" s="32"/>
      <c r="J44" s="32"/>
      <c r="K44" s="32"/>
    </row>
    <row r="45" spans="1:11" ht="13.5" customHeight="1" x14ac:dyDescent="0.25">
      <c r="A45" s="248" t="s">
        <v>305</v>
      </c>
      <c r="B45" s="605">
        <f>+Plains!$N$43</f>
        <v>68162</v>
      </c>
      <c r="C45" s="608">
        <f>+B45/$G$4</f>
        <v>28639.495798319331</v>
      </c>
      <c r="D45" s="14">
        <f>+Plains!D50</f>
        <v>24616</v>
      </c>
      <c r="E45" s="70">
        <f>+C45-D45</f>
        <v>4023.4957983193308</v>
      </c>
      <c r="F45" s="363">
        <f>+Plains!A43</f>
        <v>37315</v>
      </c>
      <c r="G45" s="203"/>
      <c r="H45" s="32" t="s">
        <v>100</v>
      </c>
      <c r="I45" s="32"/>
      <c r="J45" s="32"/>
      <c r="K45" s="32"/>
    </row>
    <row r="46" spans="1:11" ht="13.5" customHeight="1" x14ac:dyDescent="0.25">
      <c r="A46" s="248" t="s">
        <v>109</v>
      </c>
      <c r="B46" s="605">
        <f>+Continental!F43</f>
        <v>51607.56</v>
      </c>
      <c r="C46" s="368">
        <f>+B46/$G$4</f>
        <v>21683.848739495799</v>
      </c>
      <c r="D46" s="14">
        <f>+Continental!D50</f>
        <v>8656</v>
      </c>
      <c r="E46" s="70">
        <f t="shared" si="0"/>
        <v>13027.848739495799</v>
      </c>
      <c r="F46" s="364">
        <f>+Continental!A43</f>
        <v>37322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5">
      <c r="A47" s="248" t="s">
        <v>129</v>
      </c>
      <c r="B47" s="605">
        <f>+EPFS!D41</f>
        <v>78316.160000000003</v>
      </c>
      <c r="C47" s="368">
        <f>+B47/$G$5</f>
        <v>32768.267782426781</v>
      </c>
      <c r="D47" s="14">
        <f>+EPFS!D47</f>
        <v>83919</v>
      </c>
      <c r="E47" s="70">
        <f t="shared" si="0"/>
        <v>-51150.732217573219</v>
      </c>
      <c r="F47" s="363">
        <f>+EPFS!A41</f>
        <v>37321</v>
      </c>
      <c r="G47" s="203" t="s">
        <v>153</v>
      </c>
      <c r="H47" s="32" t="s">
        <v>102</v>
      </c>
      <c r="I47" s="32"/>
      <c r="J47" s="32"/>
      <c r="K47" s="32"/>
    </row>
    <row r="48" spans="1:11" ht="12.9" customHeight="1" x14ac:dyDescent="0.25">
      <c r="A48" s="499" t="s">
        <v>79</v>
      </c>
      <c r="B48" s="607">
        <f>+Agave!$D$25</f>
        <v>164493.89000000001</v>
      </c>
      <c r="C48" s="369">
        <f>+B48/$G$4</f>
        <v>69115.079831932788</v>
      </c>
      <c r="D48" s="349">
        <f>+Agave!D31</f>
        <v>86948</v>
      </c>
      <c r="E48" s="72">
        <f t="shared" si="0"/>
        <v>-17832.920168067212</v>
      </c>
      <c r="F48" s="363">
        <f>+Agave!A25</f>
        <v>37321</v>
      </c>
      <c r="G48" s="203" t="s">
        <v>299</v>
      </c>
      <c r="H48" s="204" t="s">
        <v>102</v>
      </c>
      <c r="I48" s="32"/>
      <c r="J48" s="32"/>
      <c r="K48" s="32"/>
    </row>
    <row r="49" spans="1:19" ht="17.100000000000001" customHeight="1" x14ac:dyDescent="0.25">
      <c r="A49" s="153" t="s">
        <v>160</v>
      </c>
      <c r="B49" s="387">
        <f>SUBTOTAL(9,B26:B48)</f>
        <v>2608600.08</v>
      </c>
      <c r="C49" s="392">
        <f>SUBTOTAL(9,C26:C48)</f>
        <v>1096010.6088041915</v>
      </c>
      <c r="D49" s="393">
        <f>SUBTOTAL(9,D26:D48)</f>
        <v>636514</v>
      </c>
      <c r="E49" s="394">
        <f>SUBTOTAL(9,E26:E48)</f>
        <v>459496.60880419123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5">
      <c r="A50" s="204"/>
      <c r="H50" s="32"/>
      <c r="I50" s="204"/>
      <c r="J50" s="32"/>
      <c r="K50" s="32"/>
      <c r="L50" s="32"/>
    </row>
    <row r="51" spans="1:19" ht="17.100000000000001" customHeight="1" x14ac:dyDescent="0.25">
      <c r="A51" s="153" t="s">
        <v>161</v>
      </c>
      <c r="B51" s="387">
        <f>SUBTOTAL(9,B12:B48)</f>
        <v>1841125.3200000003</v>
      </c>
      <c r="C51" s="392">
        <f>SUBTOTAL(9,C12:C48)</f>
        <v>773578.35755793029</v>
      </c>
      <c r="D51" s="393">
        <f>SUBTOTAL(9,D12:D48)</f>
        <v>670627</v>
      </c>
      <c r="E51" s="394">
        <f>SUBTOTAL(9,E12:E48)</f>
        <v>102951.35755792999</v>
      </c>
      <c r="F51" s="363"/>
      <c r="G51" s="204"/>
      <c r="H51" s="32"/>
      <c r="I51" s="204"/>
      <c r="J51" s="32"/>
      <c r="K51" s="32"/>
      <c r="L51" s="32"/>
    </row>
    <row r="52" spans="1:19" ht="12.9" customHeight="1" x14ac:dyDescent="0.25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5"/>
    <row r="54" spans="1:19" ht="12.9" customHeight="1" x14ac:dyDescent="0.25"/>
    <row r="55" spans="1:19" ht="13.5" customHeight="1" x14ac:dyDescent="0.25"/>
    <row r="56" spans="1:19" ht="13.5" customHeight="1" outlineLevel="2" x14ac:dyDescent="0.25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5">
      <c r="D57" s="7"/>
      <c r="F57" s="383" t="s">
        <v>29</v>
      </c>
      <c r="G57" s="386">
        <f>+summary!G3</f>
        <v>2.36</v>
      </c>
      <c r="H57" s="401">
        <f ca="1">NOW()</f>
        <v>37323.701721064812</v>
      </c>
    </row>
    <row r="58" spans="1:19" ht="13.5" customHeight="1" outlineLevel="2" x14ac:dyDescent="0.25">
      <c r="A58" s="34" t="s">
        <v>144</v>
      </c>
      <c r="C58" s="34" t="s">
        <v>5</v>
      </c>
      <c r="D58" s="7"/>
      <c r="F58" s="384" t="s">
        <v>30</v>
      </c>
      <c r="G58" s="386">
        <f>+summary!G4</f>
        <v>2.38</v>
      </c>
      <c r="H58" s="32"/>
    </row>
    <row r="59" spans="1:19" ht="13.5" customHeight="1" outlineLevel="1" x14ac:dyDescent="0.25">
      <c r="D59" s="7"/>
      <c r="F59" s="383" t="s">
        <v>117</v>
      </c>
      <c r="G59" s="386">
        <f>+summary!G5</f>
        <v>2.39</v>
      </c>
      <c r="H59" s="32"/>
    </row>
    <row r="60" spans="1:19" ht="13.5" customHeight="1" outlineLevel="2" x14ac:dyDescent="0.25"/>
    <row r="61" spans="1:19" ht="13.5" customHeight="1" outlineLevel="2" x14ac:dyDescent="0.25">
      <c r="A61" s="399" t="s">
        <v>163</v>
      </c>
      <c r="B61" s="400"/>
      <c r="E61" s="12" t="s">
        <v>196</v>
      </c>
    </row>
    <row r="62" spans="1:19" ht="13.5" customHeight="1" outlineLevel="2" x14ac:dyDescent="0.25">
      <c r="A62" s="32"/>
      <c r="B62" s="402" t="s">
        <v>187</v>
      </c>
      <c r="C62" s="402" t="s">
        <v>194</v>
      </c>
      <c r="D62" s="402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5">
      <c r="A63" s="365" t="s">
        <v>89</v>
      </c>
      <c r="B63" s="398" t="s">
        <v>0</v>
      </c>
      <c r="C63" s="377" t="s">
        <v>165</v>
      </c>
      <c r="D63" s="39" t="s">
        <v>195</v>
      </c>
      <c r="E63" s="39" t="s">
        <v>198</v>
      </c>
      <c r="F63" s="39" t="s">
        <v>145</v>
      </c>
      <c r="G63" s="389" t="s">
        <v>150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5">
      <c r="B64" s="286"/>
      <c r="C64" s="247"/>
    </row>
    <row r="65" spans="1:11" ht="13.5" customHeight="1" outlineLevel="1" x14ac:dyDescent="0.25">
      <c r="A65" s="365" t="s">
        <v>154</v>
      </c>
      <c r="B65" s="286"/>
      <c r="C65" s="247"/>
      <c r="G65" s="203"/>
    </row>
    <row r="66" spans="1:11" ht="13.5" customHeight="1" outlineLevel="2" x14ac:dyDescent="0.25">
      <c r="A66" s="248" t="s">
        <v>94</v>
      </c>
      <c r="B66" s="500">
        <f>+Mojave!D40</f>
        <v>570</v>
      </c>
      <c r="C66" s="605">
        <f>+B66*$I$5</f>
        <v>1311</v>
      </c>
      <c r="D66" s="47">
        <f>+Mojave!D47</f>
        <v>1356.6</v>
      </c>
      <c r="E66" s="47">
        <f>+C66-D66</f>
        <v>-45.599999999999909</v>
      </c>
      <c r="F66" s="364">
        <f>+Mojave!A40</f>
        <v>37321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5">
      <c r="A67" s="248" t="s">
        <v>32</v>
      </c>
      <c r="B67" s="368">
        <f>+SoCal!F40</f>
        <v>-11253</v>
      </c>
      <c r="C67" s="605">
        <f>+B67*$G$4</f>
        <v>-26782.14</v>
      </c>
      <c r="D67" s="47">
        <f>+SoCal!D47</f>
        <v>63931.98000000001</v>
      </c>
      <c r="E67" s="47">
        <f>+C67-D67</f>
        <v>-90714.12000000001</v>
      </c>
      <c r="F67" s="364">
        <f>+SoCal!A40</f>
        <v>37322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5">
      <c r="A68" s="248" t="s">
        <v>177</v>
      </c>
      <c r="B68" s="367">
        <f>+'El Paso'!C39</f>
        <v>64269</v>
      </c>
      <c r="C68" s="605">
        <f>+B68*$G$4</f>
        <v>152960.22</v>
      </c>
      <c r="D68" s="47">
        <f>+'El Paso'!C46</f>
        <v>-1582961.01</v>
      </c>
      <c r="E68" s="47">
        <f>+C68-D68</f>
        <v>1735921.23</v>
      </c>
      <c r="F68" s="364">
        <f>+'El Paso'!A39</f>
        <v>37321</v>
      </c>
      <c r="G68" s="419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5">
      <c r="A69" s="248" t="s">
        <v>114</v>
      </c>
      <c r="B69" s="369">
        <f>+'PG&amp;E'!D40</f>
        <v>7342</v>
      </c>
      <c r="C69" s="607">
        <f>+B69*$G$4</f>
        <v>17473.96</v>
      </c>
      <c r="D69" s="348">
        <f>+'PG&amp;E'!D47</f>
        <v>-188254.38</v>
      </c>
      <c r="E69" s="348">
        <f>+C69-D69</f>
        <v>205728.34</v>
      </c>
      <c r="F69" s="364">
        <f>+'PG&amp;E'!A40</f>
        <v>37321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5">
      <c r="A70" s="2" t="s">
        <v>155</v>
      </c>
      <c r="B70" s="392">
        <f>SUBTOTAL(9,B66:B69)</f>
        <v>60928</v>
      </c>
      <c r="C70" s="387">
        <f>SUBTOTAL(9,C66:C69)</f>
        <v>144963.04</v>
      </c>
      <c r="D70" s="387">
        <f>SUBTOTAL(9,D66:D69)</f>
        <v>-1705926.81</v>
      </c>
      <c r="E70" s="387">
        <f>SUBTOTAL(9,E66:E69)</f>
        <v>1850889.85</v>
      </c>
      <c r="F70" s="364"/>
      <c r="G70" s="203"/>
      <c r="H70" s="32"/>
      <c r="I70" s="32"/>
      <c r="J70" s="32"/>
      <c r="K70" s="32"/>
    </row>
    <row r="71" spans="1:11" ht="12.9" customHeight="1" x14ac:dyDescent="0.25">
      <c r="B71" s="286"/>
      <c r="C71" s="247"/>
      <c r="G71" s="203"/>
    </row>
    <row r="72" spans="1:11" ht="15" customHeight="1" x14ac:dyDescent="0.25">
      <c r="A72" s="365" t="s">
        <v>57</v>
      </c>
      <c r="B72" s="286"/>
      <c r="C72" s="247"/>
      <c r="G72" s="203"/>
    </row>
    <row r="73" spans="1:11" x14ac:dyDescent="0.25">
      <c r="A73" s="248" t="s">
        <v>23</v>
      </c>
      <c r="B73" s="367">
        <f>+'Red C'!F45</f>
        <v>51147</v>
      </c>
      <c r="C73" s="606">
        <f>+B73*G57</f>
        <v>120706.92</v>
      </c>
      <c r="D73" s="200">
        <f>+'Red C'!D52</f>
        <v>450444.04</v>
      </c>
      <c r="E73" s="47">
        <f>+C73-D73</f>
        <v>-329737.12</v>
      </c>
      <c r="F73" s="363">
        <f>+'Red C'!A45</f>
        <v>37322</v>
      </c>
      <c r="G73" s="203" t="s">
        <v>152</v>
      </c>
      <c r="H73" s="32" t="s">
        <v>115</v>
      </c>
      <c r="I73" s="32"/>
      <c r="J73" s="32"/>
      <c r="K73" s="32"/>
    </row>
    <row r="74" spans="1:11" x14ac:dyDescent="0.25">
      <c r="A74" s="248" t="s">
        <v>287</v>
      </c>
      <c r="B74" s="367">
        <f>+Amoco!D40</f>
        <v>2730</v>
      </c>
      <c r="C74" s="611">
        <f>+B74*$G$3</f>
        <v>6442.7999999999993</v>
      </c>
      <c r="D74" s="47">
        <f>+Amoco!D47</f>
        <v>341548.4</v>
      </c>
      <c r="E74" s="47">
        <f>+C74-D74</f>
        <v>-335105.60000000003</v>
      </c>
      <c r="F74" s="364">
        <f>+Amoco!A40</f>
        <v>37320</v>
      </c>
      <c r="G74" s="203" t="s">
        <v>152</v>
      </c>
      <c r="H74" s="32" t="s">
        <v>115</v>
      </c>
      <c r="I74" s="32"/>
      <c r="J74" s="32"/>
      <c r="K74" s="32"/>
    </row>
    <row r="75" spans="1:11" x14ac:dyDescent="0.25">
      <c r="A75" s="248" t="s">
        <v>178</v>
      </c>
      <c r="B75" s="367">
        <f>+'El Paso'!E39</f>
        <v>-32094</v>
      </c>
      <c r="C75" s="605">
        <f>+B75*$G$3</f>
        <v>-75741.84</v>
      </c>
      <c r="D75" s="47">
        <f>+'El Paso'!F46</f>
        <v>-657254.01</v>
      </c>
      <c r="E75" s="47">
        <f>+C75-D75</f>
        <v>581512.17000000004</v>
      </c>
      <c r="F75" s="364">
        <f>+'El Paso'!A39</f>
        <v>37321</v>
      </c>
      <c r="G75" s="419" t="s">
        <v>153</v>
      </c>
      <c r="H75" s="32" t="s">
        <v>100</v>
      </c>
      <c r="I75" s="32"/>
      <c r="J75" s="32"/>
      <c r="K75" s="32"/>
    </row>
    <row r="76" spans="1:11" x14ac:dyDescent="0.25">
      <c r="A76" s="248" t="s">
        <v>1</v>
      </c>
      <c r="B76" s="369">
        <f>+NW!$F$41</f>
        <v>-12289</v>
      </c>
      <c r="C76" s="612">
        <f>+B76*$G$3</f>
        <v>-29002.039999999997</v>
      </c>
      <c r="D76" s="348">
        <f>+NW!E49</f>
        <v>-484680</v>
      </c>
      <c r="E76" s="348">
        <f>+C76-D76</f>
        <v>455677.96</v>
      </c>
      <c r="F76" s="363">
        <f>+NW!B41</f>
        <v>37321</v>
      </c>
      <c r="G76" s="203" t="s">
        <v>152</v>
      </c>
      <c r="H76" s="32" t="s">
        <v>115</v>
      </c>
      <c r="I76" s="32"/>
      <c r="J76" s="32"/>
      <c r="K76" s="32"/>
    </row>
    <row r="77" spans="1:11" x14ac:dyDescent="0.25">
      <c r="A77" s="32" t="s">
        <v>156</v>
      </c>
      <c r="B77" s="392">
        <f>SUBTOTAL(9,B73:B76)</f>
        <v>9494</v>
      </c>
      <c r="C77" s="387">
        <f>SUBTOTAL(9,C73:C76)</f>
        <v>22405.840000000007</v>
      </c>
      <c r="D77" s="387">
        <f>SUBTOTAL(9,D73:D76)</f>
        <v>-349941.57000000007</v>
      </c>
      <c r="E77" s="387">
        <f>SUBTOTAL(9,E73:E76)</f>
        <v>372347.41000000009</v>
      </c>
      <c r="F77" s="363"/>
      <c r="G77" s="203"/>
      <c r="H77" s="32"/>
      <c r="I77" s="32"/>
      <c r="J77" s="32"/>
      <c r="K77" s="32"/>
    </row>
    <row r="78" spans="1:11" x14ac:dyDescent="0.25">
      <c r="B78" s="286"/>
      <c r="C78" s="247"/>
      <c r="G78" s="203"/>
    </row>
    <row r="79" spans="1:11" x14ac:dyDescent="0.25">
      <c r="A79" s="365" t="s">
        <v>158</v>
      </c>
      <c r="B79" s="286"/>
      <c r="C79" s="247"/>
      <c r="G79" s="203"/>
    </row>
    <row r="80" spans="1:11" x14ac:dyDescent="0.25">
      <c r="A80" s="248" t="s">
        <v>88</v>
      </c>
      <c r="B80" s="367">
        <f>+NGPL!H38</f>
        <v>21020</v>
      </c>
      <c r="C80" s="605">
        <f>+B80*$G$5</f>
        <v>50237.8</v>
      </c>
      <c r="D80" s="47">
        <f>+NGPL!D45</f>
        <v>87644.62</v>
      </c>
      <c r="E80" s="47">
        <f>+C80-D80</f>
        <v>-37406.819999999992</v>
      </c>
      <c r="F80" s="364">
        <f>+NGPL!A38</f>
        <v>37322</v>
      </c>
      <c r="G80" s="203" t="s">
        <v>152</v>
      </c>
      <c r="H80" s="32" t="s">
        <v>115</v>
      </c>
      <c r="I80" s="32"/>
      <c r="J80" s="32"/>
      <c r="K80" s="32"/>
    </row>
    <row r="81" spans="1:12" x14ac:dyDescent="0.25">
      <c r="A81" s="248" t="s">
        <v>142</v>
      </c>
      <c r="B81" s="367">
        <f>+PEPL!D41</f>
        <v>21494</v>
      </c>
      <c r="C81" s="606">
        <f>+B81*$G$4</f>
        <v>51155.72</v>
      </c>
      <c r="D81" s="47">
        <f>+PEPL!D47</f>
        <v>195241.22</v>
      </c>
      <c r="E81" s="47">
        <f>+C81-D81</f>
        <v>-144085.5</v>
      </c>
      <c r="F81" s="364">
        <f>+PEPL!A41</f>
        <v>37321</v>
      </c>
      <c r="G81" s="32" t="s">
        <v>299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5">
      <c r="A82" s="248" t="s">
        <v>110</v>
      </c>
      <c r="B82" s="206">
        <f>+CIG!D42</f>
        <v>17587</v>
      </c>
      <c r="C82" s="606">
        <f>+B82*$G$4</f>
        <v>41857.06</v>
      </c>
      <c r="D82" s="200">
        <f>+CIG!D49</f>
        <v>385897</v>
      </c>
      <c r="E82" s="70">
        <f>+C82-D82</f>
        <v>-344039.94</v>
      </c>
      <c r="F82" s="364">
        <f>+CIG!A42</f>
        <v>37318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5">
      <c r="A83" s="248" t="s">
        <v>31</v>
      </c>
      <c r="B83" s="371">
        <f>+Lonestar!F43</f>
        <v>31749</v>
      </c>
      <c r="C83" s="607">
        <f>+B83*G59</f>
        <v>75880.11</v>
      </c>
      <c r="D83" s="348">
        <f>+Lonestar!D50</f>
        <v>68997.960000000006</v>
      </c>
      <c r="E83" s="348">
        <f>+C83-D83</f>
        <v>6882.1499999999942</v>
      </c>
      <c r="F83" s="363">
        <f>+Lonestar!A43</f>
        <v>37321</v>
      </c>
      <c r="G83" s="32" t="s">
        <v>299</v>
      </c>
      <c r="H83" s="32" t="s">
        <v>102</v>
      </c>
      <c r="I83" s="32"/>
      <c r="J83" s="32"/>
      <c r="K83" s="32"/>
    </row>
    <row r="84" spans="1:12" x14ac:dyDescent="0.25">
      <c r="A84" s="2" t="s">
        <v>159</v>
      </c>
      <c r="B84" s="388">
        <f>SUBTOTAL(9,B80:B83)</f>
        <v>91850</v>
      </c>
      <c r="C84" s="387">
        <f>SUBTOTAL(9,C80:C83)</f>
        <v>219130.69</v>
      </c>
      <c r="D84" s="387">
        <f>SUBTOTAL(9,D80:D83)</f>
        <v>737780.79999999993</v>
      </c>
      <c r="E84" s="387">
        <f>SUBTOTAL(9,E80:E83)</f>
        <v>-518650.11</v>
      </c>
      <c r="F84" s="363"/>
      <c r="H84" s="32"/>
      <c r="I84" s="32"/>
      <c r="J84" s="32"/>
      <c r="K84" s="32"/>
    </row>
    <row r="85" spans="1:12" x14ac:dyDescent="0.25">
      <c r="B85" s="286"/>
      <c r="C85" s="247"/>
    </row>
    <row r="86" spans="1:12" x14ac:dyDescent="0.25">
      <c r="A86" s="2" t="s">
        <v>164</v>
      </c>
      <c r="B86" s="388">
        <f>SUBTOTAL(9,B66:B83)</f>
        <v>162272</v>
      </c>
      <c r="C86" s="387">
        <f>SUBTOTAL(9,C66:C83)</f>
        <v>386499.57</v>
      </c>
      <c r="D86" s="387">
        <f>SUBTOTAL(9,D66:D83)</f>
        <v>-1318087.5799999998</v>
      </c>
      <c r="E86" s="387">
        <f>SUBTOTAL(9,E66:E83)</f>
        <v>1704587.15</v>
      </c>
      <c r="F86" s="363"/>
      <c r="H86" s="32"/>
      <c r="I86" s="32"/>
      <c r="J86" s="32"/>
      <c r="K86" s="32"/>
    </row>
    <row r="87" spans="1:12" x14ac:dyDescent="0.25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5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8" thickBot="1" x14ac:dyDescent="0.3">
      <c r="A89" s="2" t="s">
        <v>166</v>
      </c>
      <c r="B89" s="395">
        <f>+C86+B51</f>
        <v>2227624.89</v>
      </c>
      <c r="C89" s="206"/>
      <c r="D89" s="345"/>
      <c r="E89" s="345"/>
      <c r="F89" s="352"/>
      <c r="H89" s="32"/>
      <c r="I89" s="32"/>
      <c r="J89" s="32"/>
      <c r="K89" s="32"/>
    </row>
    <row r="90" spans="1:12" ht="13.8" thickTop="1" x14ac:dyDescent="0.25">
      <c r="A90" s="2" t="s">
        <v>167</v>
      </c>
      <c r="B90" s="14">
        <f>+B86+C51</f>
        <v>935850.35755793029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5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5">
      <c r="A92" s="32"/>
      <c r="B92" s="47"/>
      <c r="C92" s="69"/>
      <c r="E92" s="32"/>
      <c r="F92" s="32"/>
      <c r="G92" s="32"/>
      <c r="H92" s="32"/>
      <c r="I92" s="32"/>
    </row>
    <row r="93" spans="1:12" x14ac:dyDescent="0.25">
      <c r="A93" s="32"/>
      <c r="B93" s="47"/>
      <c r="C93" s="69"/>
      <c r="D93" s="32"/>
      <c r="E93" s="32"/>
      <c r="F93" s="32"/>
      <c r="G93" s="32"/>
      <c r="H93" s="32"/>
    </row>
    <row r="94" spans="1:12" x14ac:dyDescent="0.25">
      <c r="A94" s="32"/>
      <c r="B94" s="200"/>
      <c r="C94" s="291"/>
      <c r="D94" s="16"/>
      <c r="E94" s="32"/>
      <c r="F94" s="32"/>
      <c r="G94" s="32"/>
      <c r="H94" s="32"/>
    </row>
    <row r="100" spans="1:8" x14ac:dyDescent="0.25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5">
      <c r="A101" s="32"/>
      <c r="B101" s="47"/>
      <c r="C101" s="14"/>
      <c r="D101" s="32"/>
      <c r="E101" s="32"/>
      <c r="F101" s="32"/>
      <c r="G101" s="32"/>
      <c r="H101" s="32"/>
    </row>
    <row r="102" spans="1:8" x14ac:dyDescent="0.25">
      <c r="A102" s="32"/>
      <c r="B102" s="47"/>
      <c r="C102" s="14"/>
      <c r="D102" s="32"/>
      <c r="E102" s="32"/>
      <c r="F102" s="32"/>
      <c r="G102" s="32"/>
      <c r="H102" s="32"/>
    </row>
    <row r="103" spans="1:8" x14ac:dyDescent="0.25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5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5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5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5">
      <c r="A107" s="32"/>
      <c r="B107" s="47"/>
      <c r="C107" s="69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5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5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5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5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5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5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5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5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5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5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16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" workbookViewId="0">
      <selection activeCell="B11" sqref="B11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29">
        <v>1</v>
      </c>
      <c r="B6" s="410">
        <v>152938</v>
      </c>
      <c r="C6" s="410">
        <v>152909</v>
      </c>
      <c r="D6" s="307">
        <f>+C6-B6</f>
        <v>-29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29">
        <v>2</v>
      </c>
      <c r="B7" s="436">
        <v>163609</v>
      </c>
      <c r="C7" s="410">
        <v>164724</v>
      </c>
      <c r="D7" s="307">
        <f>+C7-B7</f>
        <v>1115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29">
        <v>3</v>
      </c>
      <c r="B8" s="436">
        <v>163015</v>
      </c>
      <c r="C8" s="410">
        <v>164724</v>
      </c>
      <c r="D8" s="307">
        <f t="shared" ref="D8:D36" si="0">+C8-B8</f>
        <v>1709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29">
        <v>4</v>
      </c>
      <c r="B9" s="436">
        <v>165365</v>
      </c>
      <c r="C9" s="410">
        <v>164724</v>
      </c>
      <c r="D9" s="307">
        <f t="shared" si="0"/>
        <v>-641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29">
        <v>5</v>
      </c>
      <c r="B10" s="436">
        <v>155694</v>
      </c>
      <c r="C10" s="410">
        <v>155505</v>
      </c>
      <c r="D10" s="307">
        <f t="shared" si="0"/>
        <v>-189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29">
        <v>6</v>
      </c>
      <c r="B11" s="436"/>
      <c r="C11" s="410"/>
      <c r="D11" s="307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29">
        <v>7</v>
      </c>
      <c r="B12" s="436"/>
      <c r="C12" s="410"/>
      <c r="D12" s="307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29">
        <v>8</v>
      </c>
      <c r="B13" s="436"/>
      <c r="C13" s="410"/>
      <c r="D13" s="307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29">
        <v>9</v>
      </c>
      <c r="B14" s="410"/>
      <c r="C14" s="410"/>
      <c r="D14" s="30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29">
        <v>10</v>
      </c>
      <c r="B15" s="410"/>
      <c r="C15" s="410"/>
      <c r="D15" s="30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29">
        <v>11</v>
      </c>
      <c r="B16" s="410"/>
      <c r="C16" s="410"/>
      <c r="D16" s="30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29">
        <v>12</v>
      </c>
      <c r="B17" s="410"/>
      <c r="C17" s="410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29">
        <v>13</v>
      </c>
      <c r="B18" s="410"/>
      <c r="C18" s="410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29">
        <v>14</v>
      </c>
      <c r="B19" s="410"/>
      <c r="C19" s="410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29">
        <v>15</v>
      </c>
      <c r="B20" s="410"/>
      <c r="C20" s="410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29">
        <v>16</v>
      </c>
      <c r="B21" s="410"/>
      <c r="C21" s="410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29">
        <v>17</v>
      </c>
      <c r="B22" s="436"/>
      <c r="C22" s="410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29">
        <v>18</v>
      </c>
      <c r="B23" s="436"/>
      <c r="C23" s="410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29">
        <v>19</v>
      </c>
      <c r="B24" s="436"/>
      <c r="C24" s="436"/>
      <c r="D24" s="481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29">
        <v>20</v>
      </c>
      <c r="B25" s="436"/>
      <c r="C25" s="436"/>
      <c r="D25" s="481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29">
        <v>21</v>
      </c>
      <c r="B26" s="436"/>
      <c r="C26" s="436"/>
      <c r="D26" s="481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29">
        <v>22</v>
      </c>
      <c r="B27" s="436"/>
      <c r="C27" s="436"/>
      <c r="D27" s="481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29">
        <v>23</v>
      </c>
      <c r="B28" s="436"/>
      <c r="C28" s="436"/>
      <c r="D28" s="481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29">
        <v>24</v>
      </c>
      <c r="B29" s="436"/>
      <c r="C29" s="436"/>
      <c r="D29" s="481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29">
        <v>25</v>
      </c>
      <c r="B30" s="436"/>
      <c r="C30" s="436"/>
      <c r="D30" s="481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29"/>
      <c r="B37" s="410">
        <f>SUM(B6:B36)</f>
        <v>800621</v>
      </c>
      <c r="C37" s="410">
        <f>SUM(C6:C36)</f>
        <v>802586</v>
      </c>
      <c r="D37" s="410">
        <f>SUM(D6:D36)</f>
        <v>1965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37315</v>
      </c>
      <c r="B39" s="285"/>
      <c r="C39" s="434"/>
      <c r="D39" s="486">
        <v>765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37320</v>
      </c>
      <c r="B40" s="285"/>
      <c r="C40" s="435"/>
      <c r="D40" s="307">
        <f>+D39+D37</f>
        <v>2730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37315</v>
      </c>
      <c r="B45" s="32"/>
      <c r="C45" s="32"/>
      <c r="D45" s="487">
        <v>336911</v>
      </c>
    </row>
    <row r="46" spans="1:16" x14ac:dyDescent="0.25">
      <c r="A46" s="49">
        <f>+A40</f>
        <v>37320</v>
      </c>
      <c r="B46" s="32"/>
      <c r="C46" s="32"/>
      <c r="D46" s="374">
        <f>+D37*'by type_area'!G3</f>
        <v>4637.3999999999996</v>
      </c>
    </row>
    <row r="47" spans="1:16" x14ac:dyDescent="0.25">
      <c r="A47" s="32"/>
      <c r="B47" s="32"/>
      <c r="C47" s="32"/>
      <c r="D47" s="200">
        <f>+D46+D45</f>
        <v>341548.4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3" sqref="C33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-26847</v>
      </c>
      <c r="C5" s="24">
        <v>-26700</v>
      </c>
      <c r="D5" s="24">
        <f>+C5-B5</f>
        <v>147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-25036</v>
      </c>
      <c r="C6" s="51">
        <v>-25000</v>
      </c>
      <c r="D6" s="24">
        <f t="shared" ref="D6:D36" si="0">+C6-B6</f>
        <v>36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-30383</v>
      </c>
      <c r="C7" s="51">
        <v>-30000</v>
      </c>
      <c r="D7" s="24">
        <f t="shared" si="0"/>
        <v>383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-25426</v>
      </c>
      <c r="C8" s="51">
        <v>-25000</v>
      </c>
      <c r="D8" s="24">
        <f t="shared" si="0"/>
        <v>426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-29173</v>
      </c>
      <c r="C9" s="24">
        <v>-28993</v>
      </c>
      <c r="D9" s="24">
        <f t="shared" si="0"/>
        <v>180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-105729</v>
      </c>
      <c r="C10" s="24">
        <v>-105327</v>
      </c>
      <c r="D10" s="24">
        <f t="shared" si="0"/>
        <v>402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5">
      <c r="A36" s="12"/>
      <c r="B36" s="24">
        <f>SUM(B5:B35)</f>
        <v>-242594</v>
      </c>
      <c r="C36" s="24">
        <f>SUM(C5:C35)</f>
        <v>-241020</v>
      </c>
      <c r="D36" s="24">
        <f t="shared" si="0"/>
        <v>1574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5">
      <c r="A37" s="26"/>
      <c r="B37"/>
      <c r="C37" s="14"/>
      <c r="D37" s="326">
        <f>+summary!G5</f>
        <v>2.39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5">
      <c r="B38"/>
      <c r="C38"/>
      <c r="D38" s="138">
        <f>+D37*D36</f>
        <v>3761.86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5">
      <c r="A39" s="57">
        <v>37315</v>
      </c>
      <c r="B39"/>
      <c r="C39" s="15"/>
      <c r="D39" s="490">
        <v>16991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5">
      <c r="A40" s="57">
        <v>37321</v>
      </c>
      <c r="B40"/>
      <c r="C40" s="48"/>
      <c r="D40" s="138">
        <f>+D39+D38</f>
        <v>20752.86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5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5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5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5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5">
      <c r="A45" s="49">
        <f>+A39</f>
        <v>37315</v>
      </c>
      <c r="B45" s="32"/>
      <c r="C45" s="32"/>
      <c r="D45" s="485">
        <v>6099</v>
      </c>
    </row>
    <row r="46" spans="1:65" x14ac:dyDescent="0.25">
      <c r="A46" s="49">
        <f>+A40</f>
        <v>37321</v>
      </c>
      <c r="B46" s="32"/>
      <c r="C46" s="32"/>
      <c r="D46" s="349">
        <f>+D36</f>
        <v>1574</v>
      </c>
    </row>
    <row r="47" spans="1:65" x14ac:dyDescent="0.25">
      <c r="A47" s="32"/>
      <c r="B47" s="32"/>
      <c r="C47" s="32"/>
      <c r="D47" s="14">
        <f>+D46+D45</f>
        <v>7673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16" workbookViewId="0">
      <selection activeCell="C32" sqref="C32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f>158542+31247</f>
        <v>189789</v>
      </c>
      <c r="C5" s="90">
        <v>202751</v>
      </c>
      <c r="D5" s="90">
        <f t="shared" ref="D5:D18" si="0">+C5-B5</f>
        <v>12962</v>
      </c>
      <c r="E5" s="275"/>
      <c r="F5" s="273"/>
    </row>
    <row r="6" spans="1:13" x14ac:dyDescent="0.25">
      <c r="A6" s="87">
        <v>78311</v>
      </c>
      <c r="B6" s="90">
        <f>112107+26994</f>
        <v>139101</v>
      </c>
      <c r="C6" s="90">
        <v>136000</v>
      </c>
      <c r="D6" s="90">
        <f t="shared" si="0"/>
        <v>-3101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78308</v>
      </c>
      <c r="B7" s="90">
        <f>2354+93</f>
        <v>2447</v>
      </c>
      <c r="C7" s="90"/>
      <c r="D7" s="90">
        <f t="shared" si="0"/>
        <v>-2447</v>
      </c>
      <c r="E7" s="275"/>
      <c r="F7" s="273"/>
      <c r="L7" t="s">
        <v>25</v>
      </c>
      <c r="M7">
        <v>7.6</v>
      </c>
    </row>
    <row r="8" spans="1:13" x14ac:dyDescent="0.25">
      <c r="A8" s="87">
        <v>500238</v>
      </c>
      <c r="B8" s="90">
        <f>146482+32635</f>
        <v>179117</v>
      </c>
      <c r="C8" s="90">
        <v>203752</v>
      </c>
      <c r="D8" s="90">
        <f t="shared" si="0"/>
        <v>24635</v>
      </c>
      <c r="E8" s="455"/>
      <c r="F8" s="273"/>
    </row>
    <row r="9" spans="1:13" x14ac:dyDescent="0.25">
      <c r="A9" s="87">
        <v>500239</v>
      </c>
      <c r="B9" s="90">
        <f>152252+39863+38239</f>
        <v>230354</v>
      </c>
      <c r="C9" s="90">
        <v>202246</v>
      </c>
      <c r="D9" s="90">
        <f t="shared" si="0"/>
        <v>-28108</v>
      </c>
      <c r="E9" s="275"/>
      <c r="F9" s="273"/>
    </row>
    <row r="10" spans="1:13" x14ac:dyDescent="0.25">
      <c r="A10" s="87">
        <v>500293</v>
      </c>
      <c r="B10" s="90">
        <f>76176+15824</f>
        <v>92000</v>
      </c>
      <c r="C10" s="90">
        <v>121590</v>
      </c>
      <c r="D10" s="90">
        <f t="shared" si="0"/>
        <v>29590</v>
      </c>
      <c r="E10" s="275"/>
      <c r="F10" s="273"/>
    </row>
    <row r="11" spans="1:13" x14ac:dyDescent="0.25">
      <c r="A11" s="87">
        <v>500302</v>
      </c>
      <c r="B11" s="90"/>
      <c r="C11" s="305">
        <v>1878</v>
      </c>
      <c r="D11" s="90">
        <f t="shared" si="0"/>
        <v>1878</v>
      </c>
      <c r="E11" s="275"/>
      <c r="F11" s="273"/>
    </row>
    <row r="12" spans="1:13" x14ac:dyDescent="0.25">
      <c r="A12" s="87">
        <v>500303</v>
      </c>
      <c r="B12" s="90"/>
      <c r="C12" s="305">
        <v>5814</v>
      </c>
      <c r="D12" s="90">
        <f t="shared" si="0"/>
        <v>5814</v>
      </c>
      <c r="E12" s="276"/>
      <c r="F12" s="465"/>
      <c r="G12" s="90"/>
    </row>
    <row r="13" spans="1:13" x14ac:dyDescent="0.25">
      <c r="A13" s="91">
        <v>500305</v>
      </c>
      <c r="B13" s="90">
        <f>180806+47693+48614</f>
        <v>277113</v>
      </c>
      <c r="C13" s="90">
        <v>316965</v>
      </c>
      <c r="D13" s="90">
        <f t="shared" si="0"/>
        <v>39852</v>
      </c>
      <c r="E13" s="275"/>
      <c r="F13" s="273"/>
    </row>
    <row r="14" spans="1:13" x14ac:dyDescent="0.25">
      <c r="A14" s="87">
        <v>500307</v>
      </c>
      <c r="B14" s="90">
        <f>11635+2708+2975</f>
        <v>17318</v>
      </c>
      <c r="C14" s="90">
        <v>12768</v>
      </c>
      <c r="D14" s="90">
        <f t="shared" si="0"/>
        <v>-4550</v>
      </c>
      <c r="E14" s="275"/>
      <c r="F14" s="273"/>
    </row>
    <row r="15" spans="1:13" x14ac:dyDescent="0.25">
      <c r="A15" s="87">
        <v>500313</v>
      </c>
      <c r="B15" s="90"/>
      <c r="C15" s="90">
        <v>606</v>
      </c>
      <c r="D15" s="90">
        <f t="shared" si="0"/>
        <v>606</v>
      </c>
      <c r="E15" s="275"/>
      <c r="F15" s="273"/>
    </row>
    <row r="16" spans="1:13" x14ac:dyDescent="0.25">
      <c r="A16" s="87">
        <v>500314</v>
      </c>
      <c r="B16" s="90"/>
      <c r="C16" s="90"/>
      <c r="D16" s="90">
        <f t="shared" si="0"/>
        <v>0</v>
      </c>
      <c r="E16" s="275"/>
      <c r="F16" s="273"/>
    </row>
    <row r="17" spans="1:7" x14ac:dyDescent="0.25">
      <c r="A17" s="87">
        <v>500655</v>
      </c>
      <c r="B17" s="90">
        <f>38888+8000</f>
        <v>46888</v>
      </c>
      <c r="C17" s="90"/>
      <c r="D17" s="90">
        <f t="shared" si="0"/>
        <v>-46888</v>
      </c>
      <c r="E17" s="275"/>
      <c r="F17" s="273"/>
      <c r="G17" s="557"/>
    </row>
    <row r="18" spans="1:7" x14ac:dyDescent="0.25">
      <c r="A18" s="87">
        <v>500657</v>
      </c>
      <c r="B18" s="88">
        <f>21116+3780</f>
        <v>24896</v>
      </c>
      <c r="C18" s="88">
        <v>23750</v>
      </c>
      <c r="D18" s="94">
        <f t="shared" si="0"/>
        <v>-1146</v>
      </c>
      <c r="E18" s="275"/>
      <c r="F18" s="465"/>
    </row>
    <row r="19" spans="1:7" x14ac:dyDescent="0.25">
      <c r="A19" s="87"/>
      <c r="B19" s="88"/>
      <c r="C19" s="88"/>
      <c r="D19" s="88">
        <f>SUM(D5:D18)</f>
        <v>29097</v>
      </c>
      <c r="E19" s="277"/>
      <c r="F19" s="465"/>
    </row>
    <row r="20" spans="1:7" x14ac:dyDescent="0.25">
      <c r="A20" s="87" t="s">
        <v>81</v>
      </c>
      <c r="B20" s="88"/>
      <c r="C20" s="88"/>
      <c r="D20" s="95">
        <f>+summary!G5</f>
        <v>2.39</v>
      </c>
      <c r="E20" s="207"/>
      <c r="F20" s="465"/>
    </row>
    <row r="21" spans="1:7" x14ac:dyDescent="0.25">
      <c r="A21" s="87"/>
      <c r="B21" s="88"/>
      <c r="C21" s="88"/>
      <c r="D21" s="96">
        <f>+D20*D19</f>
        <v>69541.83</v>
      </c>
      <c r="E21" s="207"/>
      <c r="F21" s="201"/>
    </row>
    <row r="22" spans="1:7" x14ac:dyDescent="0.25">
      <c r="A22" s="87"/>
      <c r="B22" s="88"/>
      <c r="C22" s="88"/>
      <c r="D22" s="96"/>
      <c r="E22" s="207"/>
      <c r="F22" s="466"/>
    </row>
    <row r="23" spans="1:7" x14ac:dyDescent="0.25">
      <c r="A23" s="99">
        <v>37315</v>
      </c>
      <c r="B23" s="88"/>
      <c r="C23" s="88"/>
      <c r="D23" s="582">
        <v>94952.06</v>
      </c>
      <c r="E23" s="207"/>
      <c r="F23" s="466"/>
    </row>
    <row r="24" spans="1:7" x14ac:dyDescent="0.25">
      <c r="A24" s="87"/>
      <c r="B24" s="88"/>
      <c r="C24" s="88"/>
      <c r="D24" s="308"/>
      <c r="E24" s="207"/>
      <c r="F24" s="466"/>
    </row>
    <row r="25" spans="1:7" ht="13.8" thickBot="1" x14ac:dyDescent="0.3">
      <c r="A25" s="99">
        <v>37321</v>
      </c>
      <c r="B25" s="88"/>
      <c r="C25" s="88"/>
      <c r="D25" s="318">
        <f>+D23+D21</f>
        <v>164493.89000000001</v>
      </c>
      <c r="E25" s="278"/>
    </row>
    <row r="26" spans="1:7" ht="13.8" thickTop="1" x14ac:dyDescent="0.25"/>
    <row r="28" spans="1:7" x14ac:dyDescent="0.25">
      <c r="A28" s="32" t="s">
        <v>148</v>
      </c>
      <c r="B28" s="32"/>
      <c r="C28" s="32"/>
      <c r="D28" s="32"/>
      <c r="E28" s="344"/>
    </row>
    <row r="29" spans="1:7" x14ac:dyDescent="0.25">
      <c r="A29" s="49">
        <f>+A23</f>
        <v>37315</v>
      </c>
      <c r="B29" s="32"/>
      <c r="C29" s="32"/>
      <c r="D29" s="567">
        <v>57851</v>
      </c>
    </row>
    <row r="30" spans="1:7" x14ac:dyDescent="0.25">
      <c r="A30" s="49">
        <f>+A25</f>
        <v>37321</v>
      </c>
      <c r="B30" s="32"/>
      <c r="C30" s="32"/>
      <c r="D30" s="349">
        <f>+D19</f>
        <v>29097</v>
      </c>
    </row>
    <row r="31" spans="1:7" x14ac:dyDescent="0.25">
      <c r="A31" s="32"/>
      <c r="B31" s="32"/>
      <c r="C31" s="32"/>
      <c r="D31" s="14">
        <f>+D30+D29</f>
        <v>86948</v>
      </c>
    </row>
    <row r="32" spans="1:7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201">
        <f>+D25/D31</f>
        <v>1.891865137783503</v>
      </c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C38" sqref="C38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26410</v>
      </c>
      <c r="C4" s="11">
        <v>25458</v>
      </c>
      <c r="D4" s="11">
        <v>24462</v>
      </c>
      <c r="E4" s="11">
        <v>29000</v>
      </c>
      <c r="F4" s="25">
        <f>+E4+C4-D4-B4</f>
        <v>3586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25541</v>
      </c>
      <c r="C5" s="11">
        <v>22355</v>
      </c>
      <c r="D5" s="11">
        <v>22978</v>
      </c>
      <c r="E5" s="11">
        <v>27000</v>
      </c>
      <c r="F5" s="25">
        <f t="shared" ref="F5:F34" si="2">+E5+C5-D5-B5</f>
        <v>836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28508</v>
      </c>
      <c r="C6" s="11">
        <v>22355</v>
      </c>
      <c r="D6" s="11">
        <v>24466</v>
      </c>
      <c r="E6" s="11">
        <v>27000</v>
      </c>
      <c r="F6" s="25">
        <f t="shared" si="2"/>
        <v>-3619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24090</v>
      </c>
      <c r="C7" s="11">
        <v>22355</v>
      </c>
      <c r="D7" s="11">
        <v>25907</v>
      </c>
      <c r="E7" s="11">
        <v>26998</v>
      </c>
      <c r="F7" s="25">
        <f t="shared" si="2"/>
        <v>-644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28040</v>
      </c>
      <c r="C8" s="11">
        <v>24754</v>
      </c>
      <c r="D8" s="11">
        <v>27188</v>
      </c>
      <c r="E8" s="11">
        <v>22620</v>
      </c>
      <c r="F8" s="25">
        <f t="shared" si="2"/>
        <v>-7854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26434</v>
      </c>
      <c r="C9" s="11">
        <v>24755</v>
      </c>
      <c r="D9" s="11">
        <v>27891</v>
      </c>
      <c r="E9" s="11">
        <v>22620</v>
      </c>
      <c r="F9" s="25">
        <f t="shared" si="2"/>
        <v>-6950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31240</v>
      </c>
      <c r="C10" s="11">
        <v>26838</v>
      </c>
      <c r="D10" s="129">
        <v>27614</v>
      </c>
      <c r="E10" s="11">
        <v>25121</v>
      </c>
      <c r="F10" s="25">
        <f t="shared" si="2"/>
        <v>-6895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190263</v>
      </c>
      <c r="C35" s="11">
        <f>SUM(C4:C34)</f>
        <v>168870</v>
      </c>
      <c r="D35" s="11">
        <f>SUM(D4:D34)</f>
        <v>180506</v>
      </c>
      <c r="E35" s="11">
        <f>SUM(E4:E34)</f>
        <v>180359</v>
      </c>
      <c r="F35" s="11">
        <f>+E35-D35+C35-B35</f>
        <v>-21540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9">
        <f>+summary!G4</f>
        <v>2.38</v>
      </c>
    </row>
    <row r="38" spans="1:7" x14ac:dyDescent="0.2">
      <c r="C38" s="48"/>
      <c r="D38" s="47"/>
      <c r="E38" s="48"/>
      <c r="F38" s="46">
        <f>+F37*F35</f>
        <v>-51265.2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4">
        <v>494169.59</v>
      </c>
      <c r="G40" s="25"/>
    </row>
    <row r="41" spans="1:7" x14ac:dyDescent="0.2">
      <c r="A41" s="57">
        <v>37322</v>
      </c>
      <c r="C41" s="106"/>
      <c r="D41" s="106"/>
      <c r="E41" s="106"/>
      <c r="F41" s="106">
        <f>+F38+F40</f>
        <v>442904.39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37287</v>
      </c>
      <c r="D46" s="488">
        <v>33898</v>
      </c>
      <c r="E46" s="11"/>
      <c r="F46" s="11"/>
      <c r="G46" s="25"/>
    </row>
    <row r="47" spans="1:7" x14ac:dyDescent="0.2">
      <c r="A47" s="49">
        <f>+A41</f>
        <v>37322</v>
      </c>
      <c r="D47" s="349">
        <f>+F35</f>
        <v>-21540</v>
      </c>
      <c r="E47" s="11"/>
      <c r="F47" s="11"/>
      <c r="G47" s="25"/>
    </row>
    <row r="48" spans="1:7" x14ac:dyDescent="0.2">
      <c r="D48" s="14">
        <f>+D47+D46</f>
        <v>12358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F33" sqref="F33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154063</v>
      </c>
      <c r="C5" s="11">
        <v>164544</v>
      </c>
      <c r="D5" s="11"/>
      <c r="E5" s="11">
        <v>-3485</v>
      </c>
      <c r="F5" s="11">
        <f>+C5+E5-B5-D5</f>
        <v>6996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160904</v>
      </c>
      <c r="C6" s="11">
        <v>166793</v>
      </c>
      <c r="D6" s="11"/>
      <c r="E6" s="11">
        <v>-6970</v>
      </c>
      <c r="F6" s="11">
        <f t="shared" ref="F6:F35" si="2">+C6+E6-B6-D6</f>
        <v>-1081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157686</v>
      </c>
      <c r="C7" s="11">
        <v>163447</v>
      </c>
      <c r="D7" s="11"/>
      <c r="E7" s="11">
        <v>-6970</v>
      </c>
      <c r="F7" s="11">
        <f t="shared" si="2"/>
        <v>-1209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171436</v>
      </c>
      <c r="C8" s="11">
        <v>177056</v>
      </c>
      <c r="D8" s="11"/>
      <c r="E8" s="11">
        <v>-6970</v>
      </c>
      <c r="F8" s="11">
        <f t="shared" si="2"/>
        <v>-1350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164393</v>
      </c>
      <c r="C9" s="11">
        <v>173525</v>
      </c>
      <c r="D9" s="11"/>
      <c r="E9" s="11">
        <v>-6970</v>
      </c>
      <c r="F9" s="11">
        <f t="shared" si="2"/>
        <v>2162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194251</v>
      </c>
      <c r="C10" s="11">
        <v>204098</v>
      </c>
      <c r="D10" s="11"/>
      <c r="E10" s="11">
        <v>-11515</v>
      </c>
      <c r="F10" s="11">
        <f t="shared" si="2"/>
        <v>-1668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1002733</v>
      </c>
      <c r="C36" s="11">
        <f>SUM(C5:C35)</f>
        <v>1049463</v>
      </c>
      <c r="D36" s="11">
        <f>SUM(D5:D35)</f>
        <v>0</v>
      </c>
      <c r="E36" s="11">
        <f>SUM(E5:E35)</f>
        <v>-42880</v>
      </c>
      <c r="F36" s="11">
        <f>SUM(F5:F35)</f>
        <v>3850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37315</v>
      </c>
      <c r="F39" s="572">
        <v>-16139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37321</v>
      </c>
      <c r="F41" s="332">
        <f>+F39+F36</f>
        <v>-12289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37315</v>
      </c>
      <c r="C47" s="32"/>
      <c r="D47" s="32"/>
      <c r="E47" s="574">
        <v>-493766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37321</v>
      </c>
      <c r="C48" s="32"/>
      <c r="D48" s="32"/>
      <c r="E48" s="374">
        <f>+F36*'by type_area'!G3</f>
        <v>9086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-484680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8" workbookViewId="0">
      <selection activeCell="C36" sqref="C36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94079</v>
      </c>
      <c r="C8" s="11">
        <v>94300</v>
      </c>
      <c r="D8" s="11">
        <f>+C8-B8</f>
        <v>221</v>
      </c>
      <c r="E8" s="10"/>
      <c r="F8" s="11"/>
      <c r="G8" s="11"/>
      <c r="H8" s="11"/>
    </row>
    <row r="9" spans="1:8" x14ac:dyDescent="0.25">
      <c r="A9" s="10">
        <v>2</v>
      </c>
      <c r="B9" s="11">
        <v>93999</v>
      </c>
      <c r="C9" s="11">
        <v>93800</v>
      </c>
      <c r="D9" s="11">
        <f t="shared" ref="D9:D38" si="0">+C9-B9</f>
        <v>-199</v>
      </c>
      <c r="E9" s="10"/>
      <c r="F9" s="11"/>
      <c r="G9" s="11"/>
      <c r="H9" s="11"/>
    </row>
    <row r="10" spans="1:8" x14ac:dyDescent="0.25">
      <c r="A10" s="10">
        <v>3</v>
      </c>
      <c r="B10" s="11">
        <v>94001</v>
      </c>
      <c r="C10" s="11">
        <v>93800</v>
      </c>
      <c r="D10" s="11">
        <f t="shared" si="0"/>
        <v>-201</v>
      </c>
      <c r="E10" s="10"/>
      <c r="F10" s="11"/>
      <c r="G10" s="11"/>
      <c r="H10" s="11"/>
    </row>
    <row r="11" spans="1:8" x14ac:dyDescent="0.25">
      <c r="A11" s="10">
        <v>4</v>
      </c>
      <c r="B11" s="11">
        <v>78477</v>
      </c>
      <c r="C11" s="11">
        <v>78052</v>
      </c>
      <c r="D11" s="11">
        <f t="shared" si="0"/>
        <v>-425</v>
      </c>
      <c r="E11" s="10"/>
      <c r="F11" s="11"/>
      <c r="G11" s="11"/>
      <c r="H11" s="11"/>
    </row>
    <row r="12" spans="1:8" x14ac:dyDescent="0.25">
      <c r="A12" s="10">
        <v>5</v>
      </c>
      <c r="B12" s="11">
        <v>87448</v>
      </c>
      <c r="C12" s="11">
        <v>87521</v>
      </c>
      <c r="D12" s="11">
        <f t="shared" si="0"/>
        <v>73</v>
      </c>
      <c r="E12" s="10"/>
      <c r="F12" s="11"/>
      <c r="G12" s="11"/>
      <c r="H12" s="11"/>
    </row>
    <row r="13" spans="1:8" x14ac:dyDescent="0.25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5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5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5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448004</v>
      </c>
      <c r="C39" s="11">
        <f>SUM(C8:C38)</f>
        <v>447473</v>
      </c>
      <c r="D39" s="11">
        <f>SUM(D8:D38)</f>
        <v>-531</v>
      </c>
      <c r="E39" s="10"/>
      <c r="F39" s="11"/>
      <c r="G39" s="11"/>
      <c r="H39" s="11"/>
    </row>
    <row r="40" spans="1:8" x14ac:dyDescent="0.25">
      <c r="A40" s="26"/>
      <c r="D40" s="75">
        <f>+summary!G4</f>
        <v>2.38</v>
      </c>
      <c r="E40" s="26"/>
      <c r="H40" s="75"/>
    </row>
    <row r="41" spans="1:8" x14ac:dyDescent="0.25">
      <c r="D41" s="195">
        <f>+D40*D39</f>
        <v>-1263.78</v>
      </c>
      <c r="F41" s="247"/>
      <c r="H41" s="195"/>
    </row>
    <row r="42" spans="1:8" x14ac:dyDescent="0.25">
      <c r="A42" s="57">
        <v>37315</v>
      </c>
      <c r="D42" s="596">
        <v>21543</v>
      </c>
      <c r="E42" s="57"/>
      <c r="H42" s="195"/>
    </row>
    <row r="43" spans="1:8" x14ac:dyDescent="0.25">
      <c r="A43" s="57">
        <v>37320</v>
      </c>
      <c r="D43" s="196">
        <f>+D42+D41</f>
        <v>20279.22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148</v>
      </c>
      <c r="B47" s="32"/>
      <c r="C47" s="32"/>
      <c r="D47" s="32"/>
    </row>
    <row r="48" spans="1:8" x14ac:dyDescent="0.25">
      <c r="A48" s="49">
        <f>+A42</f>
        <v>37315</v>
      </c>
      <c r="B48" s="32"/>
      <c r="C48" s="32"/>
      <c r="D48" s="591">
        <v>-45540</v>
      </c>
    </row>
    <row r="49" spans="1:4" x14ac:dyDescent="0.25">
      <c r="A49" s="49">
        <f>+A43</f>
        <v>37320</v>
      </c>
      <c r="B49" s="32"/>
      <c r="C49" s="32"/>
      <c r="D49" s="349">
        <f>+D39</f>
        <v>-531</v>
      </c>
    </row>
    <row r="50" spans="1:4" x14ac:dyDescent="0.25">
      <c r="A50" s="32"/>
      <c r="B50" s="32"/>
      <c r="C50" s="32"/>
      <c r="D50" s="14">
        <f>+D49+D48</f>
        <v>-46071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7" workbookViewId="0">
      <selection activeCell="A8" sqref="A8"/>
    </sheetView>
  </sheetViews>
  <sheetFormatPr defaultRowHeight="13.2" x14ac:dyDescent="0.25"/>
  <cols>
    <col min="1" max="1" width="11" style="32" customWidth="1"/>
    <col min="2" max="2" width="12" style="15" bestFit="1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37315</v>
      </c>
      <c r="C5" s="583">
        <v>1494053.52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248</v>
      </c>
      <c r="J6" s="15"/>
    </row>
    <row r="7" spans="1:14" x14ac:dyDescent="0.25">
      <c r="A7" s="57">
        <v>37321</v>
      </c>
      <c r="I7" s="3" t="s">
        <v>254</v>
      </c>
      <c r="J7" s="15"/>
    </row>
    <row r="8" spans="1:14" x14ac:dyDescent="0.25">
      <c r="A8" s="248">
        <v>50895</v>
      </c>
      <c r="B8" s="339">
        <f>996-975</f>
        <v>21</v>
      </c>
      <c r="J8" s="15"/>
    </row>
    <row r="9" spans="1:14" x14ac:dyDescent="0.25">
      <c r="A9" s="248">
        <v>60874</v>
      </c>
      <c r="B9" s="339">
        <v>612</v>
      </c>
      <c r="J9" s="15"/>
    </row>
    <row r="10" spans="1:14" x14ac:dyDescent="0.25">
      <c r="A10" s="248">
        <v>78169</v>
      </c>
      <c r="B10" s="339">
        <f>135517-65179-29359-31294</f>
        <v>9685</v>
      </c>
      <c r="I10" s="87" t="s">
        <v>249</v>
      </c>
      <c r="J10" s="480" t="s">
        <v>27</v>
      </c>
      <c r="K10" s="87" t="s">
        <v>250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0">
        <f>+C40</f>
        <v>863787.94</v>
      </c>
      <c r="K11" s="87" t="s">
        <v>251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1"/>
      <c r="I12" s="87">
        <v>24693</v>
      </c>
      <c r="J12" s="445">
        <v>275313.71999999997</v>
      </c>
      <c r="K12" s="87" t="s">
        <v>252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6">
        <f>2512-2972</f>
        <v>-460</v>
      </c>
      <c r="I13" s="87">
        <v>21665</v>
      </c>
      <c r="J13" s="445">
        <v>73449.16</v>
      </c>
      <c r="K13" s="87" t="s">
        <v>253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6">
        <f>718-223</f>
        <v>495</v>
      </c>
      <c r="I14" s="87">
        <v>22664</v>
      </c>
      <c r="J14" s="448">
        <v>23612.35</v>
      </c>
      <c r="K14" s="87" t="s">
        <v>255</v>
      </c>
      <c r="L14" s="87"/>
      <c r="M14" s="87"/>
      <c r="N14" s="87"/>
    </row>
    <row r="15" spans="1:14" ht="20.100000000000001" customHeight="1" x14ac:dyDescent="0.25">
      <c r="A15" s="32">
        <v>500255</v>
      </c>
      <c r="B15" s="316">
        <f>2990-2775</f>
        <v>215</v>
      </c>
      <c r="I15" s="87"/>
      <c r="J15" s="445">
        <f>SUM(J11:J14)</f>
        <v>1236163.17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5">
      <c r="A17" s="280">
        <v>500267</v>
      </c>
      <c r="B17" s="340">
        <f>233267-152471-48937-17721</f>
        <v>14138</v>
      </c>
      <c r="I17" s="87"/>
      <c r="J17" s="445"/>
      <c r="K17" s="87"/>
      <c r="L17" s="87"/>
      <c r="M17" s="87"/>
      <c r="N17" s="87"/>
    </row>
    <row r="18" spans="1:14" x14ac:dyDescent="0.25">
      <c r="B18" s="14">
        <f>SUM(B8:B17)</f>
        <v>24705</v>
      </c>
      <c r="I18" s="87"/>
      <c r="J18" s="445"/>
      <c r="K18" s="87"/>
      <c r="L18" s="87"/>
      <c r="M18" s="87"/>
      <c r="N18" s="87"/>
    </row>
    <row r="19" spans="1:14" x14ac:dyDescent="0.25">
      <c r="B19" s="15">
        <f>+summary!G5</f>
        <v>2.39</v>
      </c>
      <c r="C19" s="199">
        <f>+B19*B18</f>
        <v>59044.950000000004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5">
      <c r="C20" s="321">
        <f>+C19+C5</f>
        <v>1553098.47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5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5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5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5">
      <c r="G24" s="32"/>
      <c r="H24" s="379"/>
      <c r="I24" s="327"/>
      <c r="J24" s="445"/>
      <c r="K24" s="87"/>
      <c r="L24" s="87"/>
      <c r="M24" s="87"/>
      <c r="N24" s="87"/>
    </row>
    <row r="25" spans="1:14" x14ac:dyDescent="0.25">
      <c r="G25" s="32"/>
      <c r="H25" s="379"/>
      <c r="I25" s="327"/>
      <c r="J25" s="445"/>
      <c r="K25" s="87"/>
      <c r="L25" s="87"/>
      <c r="M25" s="87"/>
      <c r="N25" s="87"/>
    </row>
    <row r="26" spans="1:14" x14ac:dyDescent="0.25">
      <c r="A26" s="198">
        <v>37315</v>
      </c>
      <c r="C26" s="602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5">
      <c r="A28" s="57">
        <v>37315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5">
      <c r="B32" s="15">
        <f>+summary!G4</f>
        <v>2.38</v>
      </c>
      <c r="C32" s="199">
        <f>+B32*B31</f>
        <v>0</v>
      </c>
    </row>
    <row r="33" spans="1:9" x14ac:dyDescent="0.25">
      <c r="C33" s="321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148</v>
      </c>
      <c r="F37" s="351">
        <v>24268</v>
      </c>
      <c r="G37" s="351">
        <v>24693</v>
      </c>
      <c r="H37" s="351">
        <v>24361</v>
      </c>
    </row>
    <row r="38" spans="1:9" x14ac:dyDescent="0.25">
      <c r="A38" s="32" t="s">
        <v>74</v>
      </c>
      <c r="E38" s="49">
        <f>+A5</f>
        <v>37315</v>
      </c>
      <c r="F38" s="591">
        <v>360991</v>
      </c>
      <c r="G38" s="443">
        <v>117857</v>
      </c>
      <c r="H38" s="591">
        <v>197167</v>
      </c>
      <c r="I38" s="14"/>
    </row>
    <row r="39" spans="1:9" x14ac:dyDescent="0.25">
      <c r="E39" s="49">
        <f>+A7</f>
        <v>37321</v>
      </c>
      <c r="F39" s="349">
        <f>+B18</f>
        <v>24705</v>
      </c>
      <c r="G39" s="349">
        <f>+B31</f>
        <v>0</v>
      </c>
      <c r="H39" s="349">
        <f>+B46</f>
        <v>538</v>
      </c>
      <c r="I39" s="14"/>
    </row>
    <row r="40" spans="1:9" x14ac:dyDescent="0.25">
      <c r="A40" s="49">
        <v>37315</v>
      </c>
      <c r="C40" s="602">
        <v>863787.94</v>
      </c>
      <c r="F40" s="14">
        <f>+F39+F38</f>
        <v>385696</v>
      </c>
      <c r="G40" s="14">
        <f>+G39+G38</f>
        <v>117857</v>
      </c>
      <c r="H40" s="14">
        <f>+H39+H38</f>
        <v>197705</v>
      </c>
      <c r="I40" s="14">
        <f>+H40+G40+F40</f>
        <v>701258</v>
      </c>
    </row>
    <row r="41" spans="1:9" x14ac:dyDescent="0.25">
      <c r="G41" s="32"/>
      <c r="H41" s="15"/>
      <c r="I41" s="32"/>
    </row>
    <row r="42" spans="1:9" x14ac:dyDescent="0.25">
      <c r="A42" s="245">
        <v>37321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/>
      <c r="G44" s="32"/>
      <c r="H44" s="380"/>
      <c r="I44" s="14"/>
    </row>
    <row r="45" spans="1:9" x14ac:dyDescent="0.25">
      <c r="A45" s="32">
        <v>500392</v>
      </c>
      <c r="B45" s="250">
        <v>538</v>
      </c>
      <c r="G45" s="32"/>
      <c r="H45" s="380"/>
      <c r="I45" s="14"/>
    </row>
    <row r="46" spans="1:9" x14ac:dyDescent="0.25">
      <c r="B46" s="14">
        <f>SUM(B43:B45)</f>
        <v>538</v>
      </c>
      <c r="G46" s="32"/>
      <c r="H46" s="380"/>
      <c r="I46" s="14"/>
    </row>
    <row r="47" spans="1:9" x14ac:dyDescent="0.25">
      <c r="B47" s="199">
        <f>+summary!G5</f>
        <v>2.39</v>
      </c>
      <c r="C47" s="199">
        <f>+B47*B46</f>
        <v>1285.8200000000002</v>
      </c>
      <c r="H47" s="380"/>
      <c r="I47" s="14"/>
    </row>
    <row r="48" spans="1:9" x14ac:dyDescent="0.25">
      <c r="C48" s="321">
        <f>+C47+C40</f>
        <v>865073.75999999989</v>
      </c>
      <c r="E48" s="204"/>
      <c r="H48" s="380"/>
      <c r="I48" s="14"/>
    </row>
    <row r="49" spans="1:9" x14ac:dyDescent="0.25">
      <c r="E49" s="213"/>
      <c r="H49" s="380"/>
      <c r="I49" s="14"/>
    </row>
    <row r="50" spans="1:9" x14ac:dyDescent="0.25">
      <c r="E50" s="204"/>
      <c r="H50" s="380"/>
      <c r="I50" s="14"/>
    </row>
    <row r="51" spans="1:9" x14ac:dyDescent="0.25">
      <c r="C51" s="310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603">
        <v>73445.08</v>
      </c>
      <c r="D53" s="32" t="s">
        <v>119</v>
      </c>
      <c r="E53" s="50"/>
      <c r="H53" s="380">
        <v>21665</v>
      </c>
      <c r="I53" s="600">
        <v>36401</v>
      </c>
    </row>
    <row r="54" spans="1:9" x14ac:dyDescent="0.25">
      <c r="A54" s="32">
        <v>22664</v>
      </c>
      <c r="B54" s="15" t="s">
        <v>137</v>
      </c>
      <c r="C54" s="604">
        <v>23612.35</v>
      </c>
      <c r="D54" s="32" t="s">
        <v>120</v>
      </c>
      <c r="H54" s="380">
        <v>22664</v>
      </c>
      <c r="I54" s="601">
        <v>18932</v>
      </c>
    </row>
    <row r="55" spans="1:9" x14ac:dyDescent="0.25">
      <c r="H55" s="381"/>
      <c r="I55" s="16"/>
    </row>
    <row r="56" spans="1:9" x14ac:dyDescent="0.25">
      <c r="C56" s="420"/>
    </row>
    <row r="57" spans="1:9" x14ac:dyDescent="0.25">
      <c r="C57" s="315">
        <f>+C54+C53+C48+C33+C20</f>
        <v>2790543.38</v>
      </c>
      <c r="I57" s="14">
        <f>SUM(I40:I54)</f>
        <v>756591</v>
      </c>
    </row>
    <row r="61" spans="1:9" x14ac:dyDescent="0.25">
      <c r="C61" s="15">
        <f>+DEFS!F49</f>
        <v>-2876101.64</v>
      </c>
    </row>
    <row r="62" spans="1:9" x14ac:dyDescent="0.25">
      <c r="C62" s="15">
        <f>+C61+C57</f>
        <v>-85558.260000000242</v>
      </c>
      <c r="I62" s="31">
        <f>+I57+DEFS!K49</f>
        <v>286033</v>
      </c>
    </row>
    <row r="70" spans="1:4" x14ac:dyDescent="0.25">
      <c r="C70" s="14"/>
    </row>
    <row r="71" spans="1:4" x14ac:dyDescent="0.25">
      <c r="C71" s="14"/>
    </row>
    <row r="72" spans="1:4" x14ac:dyDescent="0.25">
      <c r="A72" s="32">
        <v>24268</v>
      </c>
      <c r="B72" s="15">
        <f>+C20</f>
        <v>1553098.47</v>
      </c>
      <c r="C72" s="14">
        <f>+F40</f>
        <v>385696</v>
      </c>
    </row>
    <row r="73" spans="1:4" x14ac:dyDescent="0.25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5">
      <c r="A74" s="32">
        <v>24361</v>
      </c>
      <c r="B74" s="15">
        <f>+C48</f>
        <v>865073.75999999989</v>
      </c>
      <c r="C74" s="14">
        <f>+H40</f>
        <v>197705</v>
      </c>
    </row>
    <row r="75" spans="1:4" x14ac:dyDescent="0.25">
      <c r="A75" s="32">
        <v>21665</v>
      </c>
      <c r="B75" s="15">
        <f>+C53</f>
        <v>73445.08</v>
      </c>
      <c r="C75" s="14">
        <f>+I53</f>
        <v>36401</v>
      </c>
    </row>
    <row r="76" spans="1:4" x14ac:dyDescent="0.25">
      <c r="A76" s="32">
        <v>22664</v>
      </c>
      <c r="B76" s="15">
        <f>+C54</f>
        <v>23612.35</v>
      </c>
      <c r="C76" s="14">
        <f>+I54</f>
        <v>18932</v>
      </c>
    </row>
    <row r="77" spans="1:4" x14ac:dyDescent="0.25">
      <c r="A77" s="32">
        <v>23995</v>
      </c>
      <c r="B77" s="15">
        <f>+DEFS!C40</f>
        <v>-1043741.0499999999</v>
      </c>
      <c r="C77" s="14">
        <f>+DEFS!I36</f>
        <v>-187463</v>
      </c>
      <c r="D77" s="16"/>
    </row>
    <row r="78" spans="1:4" x14ac:dyDescent="0.25">
      <c r="A78" s="32">
        <v>22051</v>
      </c>
      <c r="B78" s="15">
        <f>+DEFS!E40</f>
        <v>-659990.06000000006</v>
      </c>
      <c r="C78" s="14">
        <f>+DEFS!J36</f>
        <v>-169893</v>
      </c>
    </row>
    <row r="79" spans="1:4" x14ac:dyDescent="0.25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5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5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5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5">
      <c r="B83" s="15">
        <f>SUM(B72:B82)</f>
        <v>-85558.260000000009</v>
      </c>
      <c r="C83" s="16">
        <f>SUM(C72:C82)</f>
        <v>286033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47" workbookViewId="0">
      <selection activeCell="B56" sqref="B56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2">
        <v>23995</v>
      </c>
      <c r="C1" s="231"/>
      <c r="D1" s="311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5">
      <c r="A4" s="10">
        <v>1</v>
      </c>
      <c r="B4" s="11">
        <v>674</v>
      </c>
      <c r="C4" s="11"/>
      <c r="D4" s="11">
        <v>34705</v>
      </c>
      <c r="E4" s="11">
        <v>34133</v>
      </c>
      <c r="F4" s="11">
        <f>+E4+C4-D4-B4</f>
        <v>-1246</v>
      </c>
      <c r="G4" s="11"/>
      <c r="I4" s="11"/>
      <c r="J4" s="24"/>
    </row>
    <row r="5" spans="1:10" x14ac:dyDescent="0.25">
      <c r="A5" s="10">
        <v>2</v>
      </c>
      <c r="B5" s="11">
        <v>318</v>
      </c>
      <c r="C5" s="11"/>
      <c r="D5" s="11">
        <v>34620</v>
      </c>
      <c r="E5" s="11">
        <v>34133</v>
      </c>
      <c r="F5" s="11">
        <f t="shared" ref="F5:F34" si="0">+E5+C5-D5-B5</f>
        <v>-805</v>
      </c>
      <c r="G5" s="11"/>
      <c r="I5" s="11"/>
      <c r="J5" s="24"/>
    </row>
    <row r="6" spans="1:10" x14ac:dyDescent="0.25">
      <c r="A6" s="10">
        <v>3</v>
      </c>
      <c r="B6" s="11">
        <v>423</v>
      </c>
      <c r="C6" s="11"/>
      <c r="D6" s="129">
        <v>34786</v>
      </c>
      <c r="E6" s="11">
        <v>34133</v>
      </c>
      <c r="F6" s="11">
        <f t="shared" si="0"/>
        <v>-1076</v>
      </c>
      <c r="G6" s="11"/>
      <c r="I6" s="11"/>
      <c r="J6" s="24"/>
    </row>
    <row r="7" spans="1:10" x14ac:dyDescent="0.25">
      <c r="A7" s="10">
        <v>4</v>
      </c>
      <c r="B7" s="11">
        <v>713</v>
      </c>
      <c r="C7" s="11"/>
      <c r="D7" s="129">
        <v>34587</v>
      </c>
      <c r="E7" s="11">
        <v>34133</v>
      </c>
      <c r="F7" s="11">
        <f t="shared" si="0"/>
        <v>-1167</v>
      </c>
      <c r="G7" s="11"/>
      <c r="I7" s="11"/>
      <c r="J7" s="24"/>
    </row>
    <row r="8" spans="1:10" x14ac:dyDescent="0.25">
      <c r="A8" s="10">
        <v>5</v>
      </c>
      <c r="B8" s="11">
        <v>772</v>
      </c>
      <c r="C8" s="11"/>
      <c r="D8" s="11">
        <v>34764</v>
      </c>
      <c r="E8" s="11">
        <v>33120</v>
      </c>
      <c r="F8" s="11">
        <f t="shared" si="0"/>
        <v>-2416</v>
      </c>
      <c r="G8" s="11"/>
      <c r="I8" s="11"/>
      <c r="J8" s="24"/>
    </row>
    <row r="9" spans="1:10" x14ac:dyDescent="0.25">
      <c r="A9" s="10">
        <v>6</v>
      </c>
      <c r="B9" s="11">
        <v>596</v>
      </c>
      <c r="C9" s="11"/>
      <c r="D9" s="11">
        <v>34664</v>
      </c>
      <c r="E9" s="11">
        <v>33120</v>
      </c>
      <c r="F9" s="11">
        <f t="shared" si="0"/>
        <v>-2140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1">
        <v>23995</v>
      </c>
      <c r="J33" s="351">
        <v>22051</v>
      </c>
      <c r="K33" s="351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37315</v>
      </c>
      <c r="I34" s="567">
        <v>-183967</v>
      </c>
      <c r="J34" s="567">
        <v>-164539</v>
      </c>
      <c r="K34" s="14"/>
      <c r="L34" s="14"/>
    </row>
    <row r="35" spans="1:13" x14ac:dyDescent="0.25">
      <c r="A35" s="10"/>
      <c r="B35" s="11">
        <f>SUM(B4:B34)</f>
        <v>3496</v>
      </c>
      <c r="C35" s="11">
        <f>SUM(C4:C34)</f>
        <v>0</v>
      </c>
      <c r="D35" s="11">
        <f>SUM(D4:D34)</f>
        <v>208126</v>
      </c>
      <c r="E35" s="11">
        <f>SUM(E4:E34)</f>
        <v>202772</v>
      </c>
      <c r="F35" s="11">
        <f>SUM(F4:F34)</f>
        <v>-8850</v>
      </c>
      <c r="G35" s="11"/>
      <c r="H35" s="49">
        <f>+A40</f>
        <v>37321</v>
      </c>
      <c r="I35" s="349">
        <f>+C36</f>
        <v>-3496</v>
      </c>
      <c r="J35" s="349">
        <f>+E36</f>
        <v>-5354</v>
      </c>
      <c r="K35" s="206"/>
      <c r="L35" s="14"/>
    </row>
    <row r="36" spans="1:13" x14ac:dyDescent="0.25">
      <c r="C36" s="25">
        <f>+C35-B35</f>
        <v>-3496</v>
      </c>
      <c r="E36" s="25">
        <f>+E35-D35</f>
        <v>-5354</v>
      </c>
      <c r="F36" s="25">
        <f>+E36+C36</f>
        <v>-8850</v>
      </c>
      <c r="H36" s="32"/>
      <c r="I36" s="14">
        <f>+I35+I34</f>
        <v>-187463</v>
      </c>
      <c r="J36" s="14">
        <f>+J35+J34</f>
        <v>-169893</v>
      </c>
      <c r="K36" s="14">
        <f>+J36+I36</f>
        <v>-357356</v>
      </c>
      <c r="L36" s="14"/>
    </row>
    <row r="37" spans="1:13" x14ac:dyDescent="0.25">
      <c r="C37" s="313">
        <f>+summary!G5</f>
        <v>2.39</v>
      </c>
      <c r="E37" s="104">
        <f>+C37</f>
        <v>2.39</v>
      </c>
      <c r="F37" s="138">
        <f>+F36*E37</f>
        <v>-21151.5</v>
      </c>
    </row>
    <row r="38" spans="1:13" x14ac:dyDescent="0.25">
      <c r="C38" s="138">
        <f>+C37*C36</f>
        <v>-8355.44</v>
      </c>
      <c r="E38" s="136">
        <f>+E37*E36</f>
        <v>-12796.060000000001</v>
      </c>
      <c r="F38" s="138">
        <f>+E38+C38</f>
        <v>-21151.5</v>
      </c>
    </row>
    <row r="39" spans="1:13" x14ac:dyDescent="0.25">
      <c r="A39" s="57">
        <v>37315</v>
      </c>
      <c r="B39" s="2" t="s">
        <v>45</v>
      </c>
      <c r="C39" s="586">
        <v>-1035385.61</v>
      </c>
      <c r="D39" s="320"/>
      <c r="E39" s="573">
        <v>-647194</v>
      </c>
      <c r="F39" s="319">
        <f>+E39+C39</f>
        <v>-1682579.6099999999</v>
      </c>
    </row>
    <row r="40" spans="1:13" x14ac:dyDescent="0.25">
      <c r="A40" s="57">
        <v>37321</v>
      </c>
      <c r="B40" s="2" t="s">
        <v>45</v>
      </c>
      <c r="C40" s="314">
        <f>+C39+C38</f>
        <v>-1043741.0499999999</v>
      </c>
      <c r="D40" s="252"/>
      <c r="E40" s="314">
        <f>+E39+E38</f>
        <v>-659990.06000000006</v>
      </c>
      <c r="F40" s="314">
        <f>+E40+C40</f>
        <v>-1703731.1099999999</v>
      </c>
      <c r="H40" s="131"/>
    </row>
    <row r="41" spans="1:13" x14ac:dyDescent="0.25">
      <c r="C41" s="329"/>
      <c r="D41" s="246"/>
      <c r="E41" s="246"/>
      <c r="H41" s="31">
        <f>+C39+E39+F45+F46+F47+F48</f>
        <v>-2854950.14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  <c r="F43" s="584"/>
    </row>
    <row r="44" spans="1:13" x14ac:dyDescent="0.25">
      <c r="C44" s="246"/>
      <c r="D44" s="246"/>
      <c r="E44" s="12">
        <v>22864</v>
      </c>
      <c r="F44" s="583">
        <v>0</v>
      </c>
      <c r="G44" s="249" t="s">
        <v>47</v>
      </c>
      <c r="J44" s="12">
        <v>22864</v>
      </c>
      <c r="K44" s="443"/>
    </row>
    <row r="45" spans="1:13" x14ac:dyDescent="0.25">
      <c r="C45" s="246"/>
      <c r="D45" s="246"/>
      <c r="E45" s="12">
        <v>20379</v>
      </c>
      <c r="F45" s="583">
        <v>-51695.87</v>
      </c>
      <c r="G45" s="249" t="s">
        <v>122</v>
      </c>
      <c r="J45" s="12">
        <v>20379</v>
      </c>
      <c r="K45" s="585">
        <v>2979</v>
      </c>
      <c r="M45" s="14"/>
    </row>
    <row r="46" spans="1:13" x14ac:dyDescent="0.25">
      <c r="C46" s="246"/>
      <c r="D46" s="246"/>
      <c r="E46" s="12">
        <v>26357</v>
      </c>
      <c r="F46" s="588">
        <f>44144.84-58339.66</f>
        <v>-14194.820000000007</v>
      </c>
      <c r="G46" s="249" t="s">
        <v>123</v>
      </c>
      <c r="J46" s="12">
        <v>26357</v>
      </c>
      <c r="K46" s="585">
        <f>26521-24566</f>
        <v>1955</v>
      </c>
    </row>
    <row r="47" spans="1:13" x14ac:dyDescent="0.25">
      <c r="C47" s="246"/>
      <c r="D47" s="246"/>
      <c r="E47" s="12">
        <v>21544</v>
      </c>
      <c r="F47" s="583">
        <v>61340.160000000003</v>
      </c>
      <c r="G47" s="249" t="s">
        <v>124</v>
      </c>
      <c r="J47" s="12">
        <v>21544</v>
      </c>
      <c r="K47" s="585">
        <v>36108</v>
      </c>
    </row>
    <row r="48" spans="1:13" x14ac:dyDescent="0.25">
      <c r="C48" s="246"/>
      <c r="D48" s="246"/>
      <c r="E48" s="12">
        <v>24532</v>
      </c>
      <c r="F48" s="587">
        <v>-1167820</v>
      </c>
      <c r="G48" s="249" t="s">
        <v>121</v>
      </c>
      <c r="J48" s="12">
        <v>24532</v>
      </c>
      <c r="K48" s="567">
        <v>-154244</v>
      </c>
    </row>
    <row r="49" spans="3:13" x14ac:dyDescent="0.25">
      <c r="C49" s="246"/>
      <c r="D49" s="246"/>
      <c r="F49" s="330">
        <f>SUM(F40:F48)</f>
        <v>-2876101.64</v>
      </c>
      <c r="G49" s="246"/>
      <c r="K49" s="14">
        <f>SUM(K36:K48)</f>
        <v>-470558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2790543.38</v>
      </c>
      <c r="M51" s="14">
        <f>+Duke!I57</f>
        <v>756591</v>
      </c>
    </row>
    <row r="53" spans="3:13" x14ac:dyDescent="0.25">
      <c r="F53" s="104">
        <f>+F51+F49</f>
        <v>-85558.260000000242</v>
      </c>
      <c r="M53" s="16">
        <f>+M51+K49</f>
        <v>286033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4"/>
    </row>
    <row r="63" spans="3:13" x14ac:dyDescent="0.25">
      <c r="F63" s="344"/>
    </row>
    <row r="64" spans="3:13" x14ac:dyDescent="0.25">
      <c r="F64" s="344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-154244</v>
      </c>
      <c r="C69" s="247">
        <f>+F48</f>
        <v>-1167820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-187463</v>
      </c>
      <c r="C73" s="247">
        <f>+C40</f>
        <v>-1043741.0499999999</v>
      </c>
    </row>
    <row r="74" spans="1:3" x14ac:dyDescent="0.25">
      <c r="A74">
        <v>22051</v>
      </c>
      <c r="B74" s="31">
        <f>+J36</f>
        <v>-169893</v>
      </c>
      <c r="C74" s="247">
        <f>+E40</f>
        <v>-659990.06000000006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197705</v>
      </c>
      <c r="C77" s="259">
        <f>+Duke!C48</f>
        <v>865073.75999999989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385696</v>
      </c>
      <c r="C79" s="259">
        <f>+Duke!C20</f>
        <v>1553098.47</v>
      </c>
    </row>
    <row r="81" spans="2:3" x14ac:dyDescent="0.25">
      <c r="B81" s="31">
        <f>SUM(B68:B80)</f>
        <v>286033</v>
      </c>
      <c r="C81" s="259">
        <f>SUM(C68:C80)</f>
        <v>-85558.260000000242</v>
      </c>
    </row>
    <row r="82" spans="2:3" x14ac:dyDescent="0.25">
      <c r="C82">
        <f>+C81/B81</f>
        <v>-0.29912024137075177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C35" sqref="C35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5107</v>
      </c>
      <c r="C8" s="11">
        <v>4944</v>
      </c>
      <c r="D8" s="11"/>
      <c r="E8" s="11"/>
      <c r="F8" s="129">
        <v>824</v>
      </c>
      <c r="G8" s="11">
        <v>901</v>
      </c>
      <c r="H8" s="11">
        <v>1351</v>
      </c>
      <c r="I8" s="11">
        <v>1247</v>
      </c>
      <c r="J8" s="25">
        <f t="shared" ref="J8:J38" si="0">+C8-B8+E8-D8+G8-F8+I8-H8</f>
        <v>-190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4736</v>
      </c>
      <c r="C9" s="11">
        <v>4944</v>
      </c>
      <c r="D9" s="11"/>
      <c r="E9" s="11"/>
      <c r="F9" s="129">
        <v>171</v>
      </c>
      <c r="G9" s="11">
        <v>901</v>
      </c>
      <c r="H9" s="11">
        <v>1282</v>
      </c>
      <c r="I9" s="11">
        <v>1247</v>
      </c>
      <c r="J9" s="25">
        <f t="shared" si="0"/>
        <v>903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4732</v>
      </c>
      <c r="C10" s="11">
        <v>4944</v>
      </c>
      <c r="D10" s="11">
        <v>1</v>
      </c>
      <c r="E10" s="11"/>
      <c r="F10" s="129">
        <v>1065</v>
      </c>
      <c r="G10" s="11">
        <v>901</v>
      </c>
      <c r="H10" s="11">
        <v>1359</v>
      </c>
      <c r="I10" s="11">
        <v>1247</v>
      </c>
      <c r="J10" s="25">
        <f t="shared" si="0"/>
        <v>-65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5539</v>
      </c>
      <c r="C11" s="11">
        <v>4944</v>
      </c>
      <c r="D11" s="11">
        <v>1</v>
      </c>
      <c r="E11" s="11"/>
      <c r="F11" s="129">
        <v>1138</v>
      </c>
      <c r="G11" s="11">
        <v>901</v>
      </c>
      <c r="H11" s="11">
        <v>1382</v>
      </c>
      <c r="I11" s="11">
        <v>1247</v>
      </c>
      <c r="J11" s="25">
        <f t="shared" si="0"/>
        <v>-968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5536</v>
      </c>
      <c r="C12" s="11">
        <v>6484</v>
      </c>
      <c r="D12" s="11"/>
      <c r="E12" s="11"/>
      <c r="F12" s="129">
        <v>896</v>
      </c>
      <c r="G12" s="11">
        <v>901</v>
      </c>
      <c r="H12" s="11">
        <v>1409</v>
      </c>
      <c r="I12" s="11">
        <v>1247</v>
      </c>
      <c r="J12" s="25">
        <f t="shared" si="0"/>
        <v>791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5611</v>
      </c>
      <c r="C13" s="11">
        <v>5714</v>
      </c>
      <c r="D13" s="11"/>
      <c r="E13" s="11"/>
      <c r="F13" s="129">
        <v>811</v>
      </c>
      <c r="G13" s="11">
        <v>901</v>
      </c>
      <c r="H13" s="11">
        <v>1387</v>
      </c>
      <c r="I13" s="11">
        <v>1247</v>
      </c>
      <c r="J13" s="25">
        <f t="shared" si="0"/>
        <v>53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31261</v>
      </c>
      <c r="C39" s="11">
        <f t="shared" si="1"/>
        <v>31974</v>
      </c>
      <c r="D39" s="11">
        <f t="shared" si="1"/>
        <v>2</v>
      </c>
      <c r="E39" s="11">
        <f t="shared" si="1"/>
        <v>0</v>
      </c>
      <c r="F39" s="129">
        <f t="shared" si="1"/>
        <v>4905</v>
      </c>
      <c r="G39" s="11">
        <f t="shared" si="1"/>
        <v>5406</v>
      </c>
      <c r="H39" s="11">
        <f t="shared" si="1"/>
        <v>8170</v>
      </c>
      <c r="I39" s="11">
        <f t="shared" si="1"/>
        <v>7482</v>
      </c>
      <c r="J39" s="25">
        <f t="shared" si="1"/>
        <v>524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2.38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1247.1199999999999</v>
      </c>
      <c r="L41"/>
      <c r="R41" s="138"/>
      <c r="X41" s="138"/>
    </row>
    <row r="42" spans="1:24" x14ac:dyDescent="0.25">
      <c r="A42" s="57">
        <v>37315</v>
      </c>
      <c r="C42" s="15"/>
      <c r="J42" s="570">
        <v>318091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37321</v>
      </c>
      <c r="C43" s="48"/>
      <c r="J43" s="138">
        <f>+J42+J41</f>
        <v>319338.12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148</v>
      </c>
      <c r="B46" s="32"/>
      <c r="C46" s="32"/>
      <c r="D46" s="32"/>
      <c r="L46"/>
    </row>
    <row r="47" spans="1:24" x14ac:dyDescent="0.25">
      <c r="A47" s="49">
        <f>+A42</f>
        <v>37315</v>
      </c>
      <c r="B47" s="32"/>
      <c r="C47" s="32"/>
      <c r="D47" s="567">
        <v>124430</v>
      </c>
      <c r="L47"/>
    </row>
    <row r="48" spans="1:24" x14ac:dyDescent="0.25">
      <c r="A48" s="49">
        <f>+A43</f>
        <v>37321</v>
      </c>
      <c r="B48" s="32"/>
      <c r="C48" s="32"/>
      <c r="D48" s="349">
        <f>+J39</f>
        <v>524</v>
      </c>
      <c r="L48"/>
    </row>
    <row r="49" spans="1:12" x14ac:dyDescent="0.25">
      <c r="A49" s="32"/>
      <c r="B49" s="32"/>
      <c r="C49" s="32"/>
      <c r="D49" s="14">
        <f>+D48+D47</f>
        <v>124954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9" workbookViewId="0">
      <selection activeCell="A44" sqref="A44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29">
        <v>1</v>
      </c>
      <c r="B8" s="410">
        <v>13</v>
      </c>
      <c r="C8" s="410"/>
      <c r="D8" s="410">
        <v>-666</v>
      </c>
      <c r="E8" s="410"/>
      <c r="F8" s="307">
        <f>+C8-B8+E8-D8</f>
        <v>653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29">
        <v>2</v>
      </c>
      <c r="B9" s="410">
        <v>12</v>
      </c>
      <c r="C9" s="410"/>
      <c r="D9" s="410">
        <v>-3300</v>
      </c>
      <c r="E9" s="410"/>
      <c r="F9" s="307">
        <f t="shared" ref="F9:F38" si="0">+C9-B9+E9-D9</f>
        <v>3288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29">
        <v>3</v>
      </c>
      <c r="B10" s="410"/>
      <c r="C10" s="410"/>
      <c r="D10" s="410">
        <v>-3941</v>
      </c>
      <c r="E10" s="410"/>
      <c r="F10" s="307">
        <f t="shared" si="0"/>
        <v>3941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29">
        <v>4</v>
      </c>
      <c r="B11" s="410"/>
      <c r="C11" s="410"/>
      <c r="D11" s="410">
        <v>-3861</v>
      </c>
      <c r="E11" s="410"/>
      <c r="F11" s="307">
        <f t="shared" si="0"/>
        <v>3861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29">
        <v>5</v>
      </c>
      <c r="B12" s="410"/>
      <c r="C12" s="410"/>
      <c r="D12" s="410">
        <v>-3809</v>
      </c>
      <c r="E12" s="410"/>
      <c r="F12" s="307">
        <f t="shared" si="0"/>
        <v>3809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29">
        <v>6</v>
      </c>
      <c r="B13" s="410"/>
      <c r="C13" s="410"/>
      <c r="D13" s="410">
        <v>-3888</v>
      </c>
      <c r="E13" s="410"/>
      <c r="F13" s="307">
        <f t="shared" si="0"/>
        <v>3888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29">
        <v>7</v>
      </c>
      <c r="B14" s="410"/>
      <c r="C14" s="410"/>
      <c r="D14" s="410"/>
      <c r="E14" s="410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29">
        <v>8</v>
      </c>
      <c r="B15" s="410"/>
      <c r="C15" s="410"/>
      <c r="D15" s="410"/>
      <c r="E15" s="410"/>
      <c r="F15" s="307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29">
        <v>9</v>
      </c>
      <c r="B16" s="410"/>
      <c r="C16" s="410"/>
      <c r="D16" s="410"/>
      <c r="E16" s="410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29">
        <v>10</v>
      </c>
      <c r="B17" s="410"/>
      <c r="C17" s="410"/>
      <c r="D17" s="410"/>
      <c r="E17" s="410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29">
        <v>11</v>
      </c>
      <c r="B18" s="410"/>
      <c r="C18" s="410"/>
      <c r="D18" s="410"/>
      <c r="E18" s="410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29">
        <v>12</v>
      </c>
      <c r="B19" s="410"/>
      <c r="C19" s="410"/>
      <c r="D19" s="410"/>
      <c r="E19" s="410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29">
        <v>13</v>
      </c>
      <c r="B20" s="410"/>
      <c r="C20" s="410"/>
      <c r="D20" s="410"/>
      <c r="E20" s="410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29">
        <v>14</v>
      </c>
      <c r="B21" s="410"/>
      <c r="C21" s="410"/>
      <c r="D21" s="410"/>
      <c r="E21" s="410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29">
        <v>15</v>
      </c>
      <c r="B22" s="410"/>
      <c r="C22" s="410"/>
      <c r="D22" s="410"/>
      <c r="E22" s="410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29">
        <v>16</v>
      </c>
      <c r="B23" s="410"/>
      <c r="C23" s="410"/>
      <c r="D23" s="410"/>
      <c r="E23" s="410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29">
        <v>17</v>
      </c>
      <c r="B24" s="410"/>
      <c r="C24" s="410"/>
      <c r="D24" s="410"/>
      <c r="E24" s="410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29">
        <v>18</v>
      </c>
      <c r="B25" s="410"/>
      <c r="C25" s="410"/>
      <c r="D25" s="410"/>
      <c r="E25" s="410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29">
        <v>19</v>
      </c>
      <c r="B26" s="410"/>
      <c r="C26" s="410"/>
      <c r="D26" s="410"/>
      <c r="E26" s="410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29">
        <v>20</v>
      </c>
      <c r="B27" s="436"/>
      <c r="C27" s="410"/>
      <c r="D27" s="410"/>
      <c r="E27" s="410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29">
        <v>21</v>
      </c>
      <c r="B28" s="410"/>
      <c r="C28" s="410"/>
      <c r="D28" s="410"/>
      <c r="E28" s="410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29">
        <v>22</v>
      </c>
      <c r="B29" s="410"/>
      <c r="C29" s="410"/>
      <c r="D29" s="410"/>
      <c r="E29" s="410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29">
        <v>23</v>
      </c>
      <c r="B30" s="410"/>
      <c r="C30" s="410"/>
      <c r="D30" s="410"/>
      <c r="E30" s="410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29"/>
      <c r="B39" s="410">
        <f>SUM(B8:B38)</f>
        <v>25</v>
      </c>
      <c r="C39" s="410">
        <f>SUM(C8:C38)</f>
        <v>0</v>
      </c>
      <c r="D39" s="410">
        <f>SUM(D8:D38)</f>
        <v>-19465</v>
      </c>
      <c r="E39" s="410">
        <f>SUM(E8:E38)</f>
        <v>0</v>
      </c>
      <c r="F39" s="410">
        <f>SUM(F8:F38)</f>
        <v>19440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0"/>
      <c r="B40" s="285"/>
      <c r="C40" s="431"/>
      <c r="D40" s="431"/>
      <c r="E40" s="431"/>
      <c r="F40" s="432">
        <f>+summary!G4</f>
        <v>2.38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3">
        <f>+F40*F39</f>
        <v>46267.199999999997</v>
      </c>
      <c r="J41" s="138"/>
      <c r="N41" s="138"/>
      <c r="R41" s="138"/>
      <c r="V41" s="138"/>
      <c r="Z41" s="138"/>
    </row>
    <row r="42" spans="1:26" ht="15" customHeight="1" x14ac:dyDescent="0.25">
      <c r="A42" s="56">
        <v>37315</v>
      </c>
      <c r="B42" s="285"/>
      <c r="C42" s="434"/>
      <c r="D42" s="434"/>
      <c r="E42" s="434"/>
      <c r="F42" s="563">
        <v>178356.43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37321</v>
      </c>
      <c r="B43" s="285"/>
      <c r="C43" s="435"/>
      <c r="D43" s="435"/>
      <c r="E43" s="435"/>
      <c r="F43" s="416">
        <f>+F42+F41</f>
        <v>224623.63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148</v>
      </c>
      <c r="B46" s="32"/>
      <c r="C46" s="32"/>
      <c r="D46" s="32"/>
      <c r="E46" s="11"/>
    </row>
    <row r="47" spans="1:26" x14ac:dyDescent="0.25">
      <c r="A47" s="49">
        <f>+A42</f>
        <v>37315</v>
      </c>
      <c r="B47" s="32"/>
      <c r="C47" s="32"/>
      <c r="D47" s="485">
        <v>-355979</v>
      </c>
      <c r="E47" s="11"/>
    </row>
    <row r="48" spans="1:26" x14ac:dyDescent="0.25">
      <c r="A48" s="49">
        <f>+A43</f>
        <v>37321</v>
      </c>
      <c r="B48" s="32"/>
      <c r="C48" s="32"/>
      <c r="D48" s="349">
        <f>+F39</f>
        <v>19440</v>
      </c>
      <c r="E48" s="11"/>
    </row>
    <row r="49" spans="1:5" x14ac:dyDescent="0.25">
      <c r="A49" s="32"/>
      <c r="B49" s="32"/>
      <c r="C49" s="32"/>
      <c r="D49" s="14">
        <f>+D48+D47</f>
        <v>-336539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workbookViewId="0">
      <selection activeCell="G11" sqref="G11"/>
    </sheetView>
  </sheetViews>
  <sheetFormatPr defaultColWidth="9.109375" defaultRowHeight="13.2" x14ac:dyDescent="0.25"/>
  <cols>
    <col min="1" max="1" width="25.88671875" style="285" customWidth="1"/>
    <col min="2" max="2" width="11.109375" style="543" bestFit="1" customWidth="1"/>
    <col min="3" max="3" width="9.6640625" style="544" customWidth="1"/>
    <col min="4" max="4" width="5.109375" style="545" customWidth="1"/>
    <col min="5" max="5" width="11.109375" style="285" bestFit="1" customWidth="1"/>
    <col min="6" max="7" width="12.88671875" style="285" bestFit="1" customWidth="1"/>
    <col min="8" max="8" width="9.109375" style="285"/>
    <col min="9" max="9" width="9.33203125" style="285" bestFit="1" customWidth="1"/>
    <col min="10" max="10" width="11.33203125" style="285" bestFit="1" customWidth="1"/>
    <col min="11" max="11" width="8.44140625" style="285" customWidth="1"/>
    <col min="12" max="12" width="5.109375" style="285" customWidth="1"/>
    <col min="13" max="13" width="9.109375" style="285"/>
    <col min="14" max="14" width="9.88671875" style="547" bestFit="1" customWidth="1"/>
    <col min="15" max="15" width="9" style="548" bestFit="1" customWidth="1"/>
    <col min="16" max="16384" width="9.109375" style="285"/>
  </cols>
  <sheetData>
    <row r="2" spans="1:33" ht="17.100000000000001" customHeight="1" x14ac:dyDescent="0.25">
      <c r="A2" s="34" t="s">
        <v>140</v>
      </c>
      <c r="F2" s="362" t="s">
        <v>78</v>
      </c>
      <c r="G2" s="546"/>
    </row>
    <row r="3" spans="1:33" ht="15" customHeight="1" x14ac:dyDescent="0.25">
      <c r="F3" s="549" t="s">
        <v>29</v>
      </c>
      <c r="G3" s="550">
        <f>+'[3]1001'!$K$39</f>
        <v>2.36</v>
      </c>
      <c r="J3" s="373">
        <f ca="1">NOW()</f>
        <v>37323.701721064812</v>
      </c>
    </row>
    <row r="4" spans="1:33" ht="15" customHeight="1" x14ac:dyDescent="0.25">
      <c r="A4" s="34" t="s">
        <v>144</v>
      </c>
      <c r="C4" s="34" t="s">
        <v>5</v>
      </c>
      <c r="F4" s="551" t="s">
        <v>30</v>
      </c>
      <c r="G4" s="552">
        <f>+'[3]1001'!$M$39</f>
        <v>2.38</v>
      </c>
      <c r="H4" s="551"/>
      <c r="I4" s="617"/>
    </row>
    <row r="5" spans="1:33" ht="15" customHeight="1" x14ac:dyDescent="0.25">
      <c r="B5" s="553"/>
      <c r="F5" s="549" t="s">
        <v>117</v>
      </c>
      <c r="G5" s="550">
        <f>+'[3]1001'!$E$39</f>
        <v>2.39</v>
      </c>
      <c r="H5" s="549" t="s">
        <v>314</v>
      </c>
      <c r="I5" s="550">
        <v>2.2999999999999998</v>
      </c>
    </row>
    <row r="6" spans="1:33" ht="12" customHeight="1" x14ac:dyDescent="0.25">
      <c r="C6" s="439"/>
    </row>
    <row r="7" spans="1:33" ht="15" customHeight="1" x14ac:dyDescent="0.25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297</v>
      </c>
      <c r="G7" s="337" t="s">
        <v>101</v>
      </c>
      <c r="H7" s="334" t="s">
        <v>98</v>
      </c>
    </row>
    <row r="8" spans="1:33" ht="15" customHeight="1" x14ac:dyDescent="0.25">
      <c r="A8" s="32" t="s">
        <v>82</v>
      </c>
      <c r="B8" s="345">
        <f>+PNM!$D$23</f>
        <v>791886.01</v>
      </c>
      <c r="C8" s="275">
        <f t="shared" ref="C8:C14" si="0">+B8/$G$4</f>
        <v>332725.21428571432</v>
      </c>
      <c r="D8" s="364">
        <f>+PNM!A23</f>
        <v>37321</v>
      </c>
      <c r="E8" s="32" t="s">
        <v>85</v>
      </c>
      <c r="F8" s="32" t="s">
        <v>298</v>
      </c>
      <c r="G8" s="32" t="s">
        <v>289</v>
      </c>
      <c r="H8" s="32" t="s">
        <v>317</v>
      </c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32" t="s">
        <v>80</v>
      </c>
      <c r="B9" s="614">
        <f>+Conoco!$F$41</f>
        <v>442904.39</v>
      </c>
      <c r="C9" s="275">
        <f t="shared" si="0"/>
        <v>186094.28151260506</v>
      </c>
      <c r="D9" s="363">
        <f>+Conoco!A41</f>
        <v>37322</v>
      </c>
      <c r="E9" s="32" t="s">
        <v>85</v>
      </c>
      <c r="F9" s="32" t="s">
        <v>299</v>
      </c>
      <c r="G9" s="32" t="s">
        <v>113</v>
      </c>
      <c r="H9" s="32" t="s">
        <v>311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32" t="s">
        <v>107</v>
      </c>
      <c r="B10" s="614">
        <f>+KN_Westar!F41</f>
        <v>328750.86</v>
      </c>
      <c r="C10" s="275">
        <f t="shared" si="0"/>
        <v>138130.61344537814</v>
      </c>
      <c r="D10" s="364">
        <f>+KN_Westar!A41</f>
        <v>37317</v>
      </c>
      <c r="E10" s="32" t="s">
        <v>85</v>
      </c>
      <c r="F10" s="32" t="s">
        <v>153</v>
      </c>
      <c r="G10" s="32" t="s">
        <v>289</v>
      </c>
      <c r="H10" s="32"/>
      <c r="I10" s="32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32" t="s">
        <v>2</v>
      </c>
      <c r="B11" s="345">
        <f>+mewborne!$J$43</f>
        <v>319338.12</v>
      </c>
      <c r="C11" s="275">
        <f t="shared" si="0"/>
        <v>134175.68067226891</v>
      </c>
      <c r="D11" s="364">
        <f>+mewborne!A43</f>
        <v>37321</v>
      </c>
      <c r="E11" s="32" t="s">
        <v>85</v>
      </c>
      <c r="F11" s="32" t="s">
        <v>298</v>
      </c>
      <c r="G11" s="32" t="s">
        <v>99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32" t="s">
        <v>3</v>
      </c>
      <c r="B12" s="614">
        <f>+'Amoco Abo'!$F$43</f>
        <v>224623.63</v>
      </c>
      <c r="C12" s="275">
        <f t="shared" si="0"/>
        <v>94379.676470588238</v>
      </c>
      <c r="D12" s="364">
        <f>+'Amoco Abo'!A43</f>
        <v>37321</v>
      </c>
      <c r="E12" s="32" t="s">
        <v>85</v>
      </c>
      <c r="F12" s="32" t="s">
        <v>152</v>
      </c>
      <c r="G12" s="32" t="s">
        <v>115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5">
      <c r="A13" s="32" t="s">
        <v>206</v>
      </c>
      <c r="B13" s="345">
        <f>+Dominion!D41</f>
        <v>171110.45</v>
      </c>
      <c r="C13" s="275">
        <f>+B13/$G$5</f>
        <v>71594.330543933058</v>
      </c>
      <c r="D13" s="364">
        <f>+Dominion!A41</f>
        <v>37321</v>
      </c>
      <c r="E13" s="32" t="s">
        <v>85</v>
      </c>
      <c r="F13" s="32" t="s">
        <v>298</v>
      </c>
      <c r="G13" s="32" t="s">
        <v>99</v>
      </c>
      <c r="H13" s="32"/>
      <c r="I13" s="32"/>
      <c r="J13" s="32"/>
      <c r="K13" s="32"/>
      <c r="L13" s="32"/>
      <c r="M13" s="32"/>
      <c r="N13" s="379" t="e">
        <f>+#REF!+#REF!+B42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5">
      <c r="A14" s="442" t="s">
        <v>79</v>
      </c>
      <c r="B14" s="501">
        <f>+Agave!$D$25</f>
        <v>164493.89000000001</v>
      </c>
      <c r="C14" s="462">
        <f t="shared" si="0"/>
        <v>69115.079831932788</v>
      </c>
      <c r="D14" s="461">
        <f>+Agave!A25</f>
        <v>37321</v>
      </c>
      <c r="E14" s="442" t="s">
        <v>85</v>
      </c>
      <c r="F14" s="442" t="s">
        <v>299</v>
      </c>
      <c r="G14" s="442" t="s">
        <v>102</v>
      </c>
      <c r="H14" s="44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32" t="s">
        <v>217</v>
      </c>
      <c r="B15" s="345">
        <f>+Amarillo!P41</f>
        <v>151725.76000000001</v>
      </c>
      <c r="C15" s="275">
        <f>+B15/$G$4</f>
        <v>63750.3193277311</v>
      </c>
      <c r="D15" s="364">
        <f>+Amarillo!A41</f>
        <v>37321</v>
      </c>
      <c r="E15" s="32" t="s">
        <v>85</v>
      </c>
      <c r="F15" s="32" t="s">
        <v>299</v>
      </c>
      <c r="G15" s="32" t="s">
        <v>113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32" t="s">
        <v>23</v>
      </c>
      <c r="B16" s="345">
        <f>+C16*$G$3</f>
        <v>120706.92</v>
      </c>
      <c r="C16" s="347">
        <f>+'Red C'!$F$45</f>
        <v>51147</v>
      </c>
      <c r="D16" s="363">
        <f>+'Red C'!A45</f>
        <v>37322</v>
      </c>
      <c r="E16" s="204" t="s">
        <v>84</v>
      </c>
      <c r="F16" s="32" t="s">
        <v>152</v>
      </c>
      <c r="G16" s="32" t="s">
        <v>115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32" t="s">
        <v>129</v>
      </c>
      <c r="B17" s="345">
        <f>+EPFS!D41</f>
        <v>78316.160000000003</v>
      </c>
      <c r="C17" s="206">
        <f>+B17/$G$5</f>
        <v>32768.267782426781</v>
      </c>
      <c r="D17" s="363">
        <f>+EPFS!A41</f>
        <v>37321</v>
      </c>
      <c r="E17" s="32" t="s">
        <v>85</v>
      </c>
      <c r="F17" s="32" t="s">
        <v>153</v>
      </c>
      <c r="G17" s="32" t="s">
        <v>102</v>
      </c>
      <c r="H17" s="32"/>
      <c r="I17" s="15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204" t="s">
        <v>33</v>
      </c>
      <c r="B18" s="345">
        <f>+'El Paso'!C39*summary!G4+'El Paso'!E39*summary!G3</f>
        <v>77218.38</v>
      </c>
      <c r="C18" s="275">
        <f>+'El Paso'!H39</f>
        <v>32175</v>
      </c>
      <c r="D18" s="363">
        <f>+'El Paso'!A39</f>
        <v>37321</v>
      </c>
      <c r="E18" s="204" t="s">
        <v>84</v>
      </c>
      <c r="F18" s="204" t="s">
        <v>153</v>
      </c>
      <c r="G18" s="204" t="s">
        <v>100</v>
      </c>
      <c r="H18" s="204"/>
      <c r="I18" s="613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32" t="s">
        <v>31</v>
      </c>
      <c r="B19" s="345">
        <f>+C19*$G$5</f>
        <v>75880.11</v>
      </c>
      <c r="C19" s="275">
        <f>+Lonestar!F43</f>
        <v>31749</v>
      </c>
      <c r="D19" s="363">
        <f>+Lonestar!A43</f>
        <v>37321</v>
      </c>
      <c r="E19" s="32" t="s">
        <v>84</v>
      </c>
      <c r="F19" s="32" t="s">
        <v>299</v>
      </c>
      <c r="G19" s="32" t="s">
        <v>102</v>
      </c>
      <c r="H19" s="3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32" t="s">
        <v>296</v>
      </c>
      <c r="B20" s="345">
        <f>+Stratland!$D$41</f>
        <v>69866</v>
      </c>
      <c r="C20" s="275">
        <f>+B20/$G$4</f>
        <v>29355.462184873952</v>
      </c>
      <c r="D20" s="363">
        <f>+Stratland!A41</f>
        <v>37315</v>
      </c>
      <c r="E20" s="32" t="s">
        <v>85</v>
      </c>
      <c r="F20" s="32" t="s">
        <v>298</v>
      </c>
      <c r="G20" s="32" t="s">
        <v>102</v>
      </c>
      <c r="H20" s="32"/>
      <c r="I20" s="204"/>
      <c r="J20" s="32"/>
      <c r="K20" s="32"/>
      <c r="L20" s="32"/>
      <c r="M20" s="32" t="s">
        <v>242</v>
      </c>
      <c r="N20" s="379">
        <v>22864</v>
      </c>
      <c r="O20" s="70">
        <v>-58339.66</v>
      </c>
      <c r="P20" s="32" t="s">
        <v>245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" customHeight="1" x14ac:dyDescent="0.25">
      <c r="A21" s="204" t="s">
        <v>305</v>
      </c>
      <c r="B21" s="345">
        <f>+Plains!$N$43</f>
        <v>68162</v>
      </c>
      <c r="C21" s="206">
        <f>+B21/$G$4</f>
        <v>28639.495798319331</v>
      </c>
      <c r="D21" s="363">
        <f>+Plains!A43</f>
        <v>37315</v>
      </c>
      <c r="E21" s="204" t="s">
        <v>85</v>
      </c>
      <c r="F21" s="204"/>
      <c r="G21" s="204" t="s">
        <v>100</v>
      </c>
      <c r="H21" s="204"/>
      <c r="I21" s="204"/>
      <c r="J21" s="32"/>
      <c r="K21" s="32"/>
      <c r="L21" s="32"/>
      <c r="M21" s="32" t="s">
        <v>242</v>
      </c>
      <c r="N21" s="379">
        <v>20379</v>
      </c>
      <c r="O21" s="70">
        <v>-51695.87</v>
      </c>
      <c r="P21" s="32" t="s">
        <v>245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204" t="s">
        <v>109</v>
      </c>
      <c r="B22" s="345">
        <f>+Continental!F43</f>
        <v>51607.56</v>
      </c>
      <c r="C22" s="206">
        <f>+B22/$G$4</f>
        <v>21683.848739495799</v>
      </c>
      <c r="D22" s="363">
        <f>+Continental!A43</f>
        <v>37322</v>
      </c>
      <c r="E22" s="204" t="s">
        <v>85</v>
      </c>
      <c r="F22" s="204" t="s">
        <v>153</v>
      </c>
      <c r="G22" s="204" t="s">
        <v>115</v>
      </c>
      <c r="H22" s="204"/>
      <c r="I22" s="442"/>
      <c r="J22" s="32"/>
      <c r="K22" s="32"/>
      <c r="L22" s="32"/>
      <c r="M22" s="32" t="s">
        <v>242</v>
      </c>
      <c r="N22" s="379">
        <v>26357</v>
      </c>
      <c r="O22" s="70">
        <v>44144.84</v>
      </c>
      <c r="P22" s="32" t="s">
        <v>245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204" t="s">
        <v>142</v>
      </c>
      <c r="B23" s="346">
        <f>+C23*$G$4</f>
        <v>51155.72</v>
      </c>
      <c r="C23" s="347">
        <f>+PEPL!D41</f>
        <v>21494</v>
      </c>
      <c r="D23" s="363">
        <f>+PEPL!A41</f>
        <v>37321</v>
      </c>
      <c r="E23" s="204" t="s">
        <v>84</v>
      </c>
      <c r="F23" s="204" t="s">
        <v>299</v>
      </c>
      <c r="G23" s="204" t="s">
        <v>100</v>
      </c>
      <c r="H23" s="32"/>
      <c r="I23" s="32"/>
      <c r="J23" s="32"/>
      <c r="K23" s="32"/>
      <c r="L23" s="32"/>
      <c r="M23" s="32" t="s">
        <v>242</v>
      </c>
      <c r="N23" s="379">
        <v>21544</v>
      </c>
      <c r="O23" s="70">
        <v>61340.160000000003</v>
      </c>
      <c r="P23" s="32" t="s">
        <v>245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4" customFormat="1" ht="13.5" customHeight="1" x14ac:dyDescent="0.25">
      <c r="A24" s="204" t="s">
        <v>139</v>
      </c>
      <c r="B24" s="345">
        <f>+'Citizens-Griffith'!D41</f>
        <v>50304.28</v>
      </c>
      <c r="C24" s="275">
        <f>+B24/$G$4</f>
        <v>21136.252100840338</v>
      </c>
      <c r="D24" s="363">
        <f>+'Citizens-Griffith'!A41</f>
        <v>37321</v>
      </c>
      <c r="E24" s="204" t="s">
        <v>85</v>
      </c>
      <c r="F24" s="204" t="s">
        <v>299</v>
      </c>
      <c r="G24" s="204" t="s">
        <v>99</v>
      </c>
      <c r="H24" s="204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4" customFormat="1" ht="13.5" customHeight="1" x14ac:dyDescent="0.25">
      <c r="A25" s="32" t="s">
        <v>88</v>
      </c>
      <c r="B25" s="345">
        <f>+C25*$G$5</f>
        <v>50237.8</v>
      </c>
      <c r="C25" s="275">
        <f>+NGPL!H38</f>
        <v>21020</v>
      </c>
      <c r="D25" s="364">
        <f>+NGPL!A38</f>
        <v>37322</v>
      </c>
      <c r="E25" s="204" t="s">
        <v>84</v>
      </c>
      <c r="F25" s="32" t="s">
        <v>152</v>
      </c>
      <c r="G25" s="32" t="s">
        <v>115</v>
      </c>
      <c r="H25" s="32"/>
      <c r="I25" s="32"/>
      <c r="J25" s="204"/>
      <c r="K25" s="204"/>
      <c r="L25" s="204"/>
      <c r="M25" s="204" t="s">
        <v>243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ht="13.5" customHeight="1" x14ac:dyDescent="0.25">
      <c r="A26" s="204" t="s">
        <v>146</v>
      </c>
      <c r="B26" s="345">
        <f>+PGETX!$H$39</f>
        <v>47856.06</v>
      </c>
      <c r="C26" s="275">
        <f>+B26/$G$4</f>
        <v>20107.588235294119</v>
      </c>
      <c r="D26" s="363">
        <f>+PGETX!E39</f>
        <v>37321</v>
      </c>
      <c r="E26" s="204" t="s">
        <v>85</v>
      </c>
      <c r="F26" s="204" t="s">
        <v>153</v>
      </c>
      <c r="G26" s="204" t="s">
        <v>102</v>
      </c>
      <c r="H26" s="204"/>
      <c r="I26" s="32"/>
      <c r="J26" s="32"/>
      <c r="K26" s="32"/>
      <c r="L26" s="32"/>
      <c r="M26" s="32" t="s">
        <v>242</v>
      </c>
      <c r="N26" s="379">
        <v>26357</v>
      </c>
      <c r="O26" s="70">
        <v>44144.84</v>
      </c>
      <c r="P26" s="32" t="s">
        <v>245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54" customFormat="1" ht="13.5" customHeight="1" x14ac:dyDescent="0.25">
      <c r="A27" s="204" t="s">
        <v>87</v>
      </c>
      <c r="B27" s="614">
        <f>+NNG!$D$24</f>
        <v>45184.38</v>
      </c>
      <c r="C27" s="275">
        <f>+B27/$G$4</f>
        <v>18985.033613445379</v>
      </c>
      <c r="D27" s="363">
        <f>+NNG!A24</f>
        <v>37320</v>
      </c>
      <c r="E27" s="204" t="s">
        <v>85</v>
      </c>
      <c r="F27" s="204" t="s">
        <v>298</v>
      </c>
      <c r="G27" s="204" t="s">
        <v>100</v>
      </c>
      <c r="H27" s="204"/>
      <c r="I27" s="613"/>
      <c r="J27" s="204"/>
      <c r="K27" s="204"/>
      <c r="L27" s="204"/>
      <c r="M27" s="204"/>
      <c r="N27" s="469"/>
      <c r="O27" s="273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54" customFormat="1" ht="13.5" customHeight="1" x14ac:dyDescent="0.25">
      <c r="A28" s="32" t="s">
        <v>110</v>
      </c>
      <c r="B28" s="345">
        <f>+C28*$G$4</f>
        <v>41857.06</v>
      </c>
      <c r="C28" s="275">
        <f>+CIG!D42</f>
        <v>17587</v>
      </c>
      <c r="D28" s="364">
        <f>+CIG!A42</f>
        <v>37318</v>
      </c>
      <c r="E28" s="204" t="s">
        <v>84</v>
      </c>
      <c r="F28" s="32" t="s">
        <v>153</v>
      </c>
      <c r="G28" s="32" t="s">
        <v>113</v>
      </c>
      <c r="H28" s="609" t="s">
        <v>313</v>
      </c>
      <c r="I28" s="616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5">
      <c r="A29" s="204" t="s">
        <v>28</v>
      </c>
      <c r="B29" s="345">
        <f>+C29*$G$3</f>
        <v>27090.44</v>
      </c>
      <c r="C29" s="275">
        <f>+williams!J40</f>
        <v>11479</v>
      </c>
      <c r="D29" s="363">
        <f>+williams!A40</f>
        <v>37321</v>
      </c>
      <c r="E29" s="204" t="s">
        <v>85</v>
      </c>
      <c r="F29" s="204" t="s">
        <v>153</v>
      </c>
      <c r="G29" s="204" t="s">
        <v>289</v>
      </c>
      <c r="H29" s="616" t="s">
        <v>316</v>
      </c>
      <c r="I29" s="609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5">
      <c r="A30" s="32" t="s">
        <v>131</v>
      </c>
      <c r="B30" s="614">
        <f>+SidR!D41</f>
        <v>23161.360000000001</v>
      </c>
      <c r="C30" s="275">
        <f>+B30/$G$5</f>
        <v>9690.9456066945604</v>
      </c>
      <c r="D30" s="364">
        <f>+SidR!A41</f>
        <v>37321</v>
      </c>
      <c r="E30" s="32" t="s">
        <v>85</v>
      </c>
      <c r="F30" s="32" t="s">
        <v>151</v>
      </c>
      <c r="G30" s="32" t="s">
        <v>102</v>
      </c>
      <c r="H30" s="32"/>
      <c r="I30" s="204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4" customFormat="1" ht="13.5" customHeight="1" x14ac:dyDescent="0.25">
      <c r="A31" s="32" t="s">
        <v>6</v>
      </c>
      <c r="B31" s="614">
        <f>+Oasis!$D$40</f>
        <v>20752.86</v>
      </c>
      <c r="C31" s="206">
        <f>+B31/$G$5</f>
        <v>8683.2050209205026</v>
      </c>
      <c r="D31" s="364">
        <f>+Oasis!A40</f>
        <v>37321</v>
      </c>
      <c r="E31" s="32" t="s">
        <v>85</v>
      </c>
      <c r="F31" s="32" t="s">
        <v>153</v>
      </c>
      <c r="G31" s="32" t="s">
        <v>102</v>
      </c>
      <c r="H31" s="32"/>
      <c r="I31" s="32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5">
      <c r="A32" s="204" t="s">
        <v>71</v>
      </c>
      <c r="B32" s="346">
        <f>+transcol!$D$43</f>
        <v>20279.22</v>
      </c>
      <c r="C32" s="347">
        <f>+B32/$G$4</f>
        <v>8520.6806722689089</v>
      </c>
      <c r="D32" s="363">
        <f>+transcol!A43</f>
        <v>37320</v>
      </c>
      <c r="E32" s="204" t="s">
        <v>85</v>
      </c>
      <c r="F32" s="204" t="s">
        <v>152</v>
      </c>
      <c r="G32" s="204" t="s">
        <v>115</v>
      </c>
      <c r="H32" s="204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5">
      <c r="A33" s="32" t="s">
        <v>279</v>
      </c>
      <c r="B33" s="345">
        <f>+'WTG inc'!N43</f>
        <v>19485.84</v>
      </c>
      <c r="C33" s="275">
        <f>+B33/$G$4</f>
        <v>8187.3277310924377</v>
      </c>
      <c r="D33" s="364">
        <f>+'WTG inc'!A43</f>
        <v>37320</v>
      </c>
      <c r="E33" s="32" t="s">
        <v>85</v>
      </c>
      <c r="F33" s="32" t="s">
        <v>152</v>
      </c>
      <c r="G33" s="32" t="s">
        <v>115</v>
      </c>
      <c r="H33" s="204"/>
      <c r="I33" s="204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5">
      <c r="A34" s="32" t="s">
        <v>114</v>
      </c>
      <c r="B34" s="345">
        <f>+C34*$G$4</f>
        <v>17473.96</v>
      </c>
      <c r="C34" s="206">
        <f>+'PG&amp;E'!D40</f>
        <v>7342</v>
      </c>
      <c r="D34" s="364">
        <f>+'PG&amp;E'!A40</f>
        <v>37321</v>
      </c>
      <c r="E34" s="32" t="s">
        <v>84</v>
      </c>
      <c r="F34" s="32" t="s">
        <v>153</v>
      </c>
      <c r="G34" s="32" t="s">
        <v>102</v>
      </c>
      <c r="H34" s="32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3.5" customHeight="1" x14ac:dyDescent="0.25">
      <c r="A35" s="32" t="s">
        <v>209</v>
      </c>
      <c r="B35" s="345">
        <f>+Devon!D41</f>
        <v>6517.05</v>
      </c>
      <c r="C35" s="275">
        <f>+B35/$G$5</f>
        <v>2726.7991631799164</v>
      </c>
      <c r="D35" s="364">
        <f>+Devon!A41</f>
        <v>37321</v>
      </c>
      <c r="E35" s="32" t="s">
        <v>85</v>
      </c>
      <c r="F35" s="32" t="s">
        <v>299</v>
      </c>
      <c r="G35" s="32" t="s">
        <v>99</v>
      </c>
      <c r="H35" s="609" t="s">
        <v>310</v>
      </c>
      <c r="I35" s="616"/>
      <c r="J35" s="32"/>
      <c r="K35" s="32"/>
      <c r="L35" s="32"/>
      <c r="M35" s="32"/>
      <c r="N35" s="379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s="554" customFormat="1" ht="13.5" customHeight="1" x14ac:dyDescent="0.25">
      <c r="A36" s="32" t="s">
        <v>287</v>
      </c>
      <c r="B36" s="345">
        <f>+C36*$G$3</f>
        <v>6442.7999999999993</v>
      </c>
      <c r="C36" s="275">
        <f>+Amoco!D40</f>
        <v>2730</v>
      </c>
      <c r="D36" s="364">
        <f>+Amoco!A40</f>
        <v>37320</v>
      </c>
      <c r="E36" s="32" t="s">
        <v>84</v>
      </c>
      <c r="F36" s="32" t="s">
        <v>152</v>
      </c>
      <c r="G36" s="32" t="s">
        <v>115</v>
      </c>
      <c r="H36" s="204"/>
      <c r="I36" s="204"/>
      <c r="J36" s="204"/>
      <c r="K36" s="204"/>
      <c r="L36" s="204"/>
      <c r="M36" s="204"/>
      <c r="N36" s="469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s="554" customFormat="1" ht="13.5" customHeight="1" x14ac:dyDescent="0.25">
      <c r="A37" s="32" t="s">
        <v>103</v>
      </c>
      <c r="B37" s="614">
        <f>+EOG!$J$41</f>
        <v>2147.0800000000017</v>
      </c>
      <c r="C37" s="275">
        <f>+B37/$G$4</f>
        <v>902.13445378151334</v>
      </c>
      <c r="D37" s="363">
        <f>+EOG!A41</f>
        <v>37320</v>
      </c>
      <c r="E37" s="32" t="s">
        <v>85</v>
      </c>
      <c r="F37" s="32" t="s">
        <v>298</v>
      </c>
      <c r="G37" s="32" t="s">
        <v>102</v>
      </c>
      <c r="H37" s="32"/>
      <c r="I37" s="249"/>
      <c r="J37" s="204"/>
      <c r="K37" s="204"/>
      <c r="L37" s="204"/>
      <c r="M37" s="204"/>
      <c r="N37" s="469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s="554" customFormat="1" ht="13.5" customHeight="1" x14ac:dyDescent="0.25">
      <c r="A38" s="32" t="s">
        <v>94</v>
      </c>
      <c r="B38" s="348">
        <f>+C38*$I$5</f>
        <v>1311</v>
      </c>
      <c r="C38" s="71">
        <f>+Mojave!D40</f>
        <v>570</v>
      </c>
      <c r="D38" s="364">
        <f>+Mojave!A40</f>
        <v>37321</v>
      </c>
      <c r="E38" s="32" t="s">
        <v>85</v>
      </c>
      <c r="F38" s="32" t="s">
        <v>153</v>
      </c>
      <c r="G38" s="32" t="s">
        <v>100</v>
      </c>
      <c r="H38" s="609" t="s">
        <v>315</v>
      </c>
      <c r="I38" s="609"/>
      <c r="J38" s="204"/>
      <c r="K38" s="204"/>
      <c r="L38" s="204"/>
      <c r="M38" s="204"/>
      <c r="N38" s="469"/>
      <c r="O38" s="273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</row>
    <row r="39" spans="1:33" ht="18" customHeight="1" x14ac:dyDescent="0.25">
      <c r="A39" s="32" t="s">
        <v>96</v>
      </c>
      <c r="B39" s="47">
        <f>SUM(B8:B38)</f>
        <v>3567847.1499999994</v>
      </c>
      <c r="C39" s="69">
        <f>SUM(C8:C38)</f>
        <v>1498645.2371927851</v>
      </c>
      <c r="D39" s="203"/>
      <c r="E39" s="32"/>
      <c r="F39" s="32"/>
      <c r="G39" s="32"/>
      <c r="H39" s="32"/>
      <c r="I39" s="32"/>
      <c r="J39" s="32"/>
      <c r="K39" s="32"/>
      <c r="L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5">
      <c r="A40" s="32"/>
      <c r="B40" s="47"/>
      <c r="C40" s="69"/>
      <c r="D40" s="203"/>
      <c r="E40" s="32"/>
      <c r="F40" s="350"/>
      <c r="G40" s="350"/>
      <c r="H40" s="32"/>
      <c r="I40" s="32"/>
      <c r="J40" s="32"/>
      <c r="K40" s="32"/>
      <c r="L40" s="32"/>
      <c r="M40" s="32"/>
      <c r="N40" s="379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5">
      <c r="A41" s="334" t="s">
        <v>89</v>
      </c>
      <c r="B41" s="335" t="s">
        <v>16</v>
      </c>
      <c r="C41" s="336" t="s">
        <v>0</v>
      </c>
      <c r="D41" s="343" t="s">
        <v>145</v>
      </c>
      <c r="E41" s="334" t="s">
        <v>90</v>
      </c>
      <c r="F41" s="337" t="s">
        <v>101</v>
      </c>
      <c r="G41" s="337" t="s">
        <v>101</v>
      </c>
      <c r="H41" s="334" t="s">
        <v>98</v>
      </c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5">
      <c r="A42" s="204" t="s">
        <v>135</v>
      </c>
      <c r="B42" s="345">
        <f>+Citizens!D18</f>
        <v>-580667.57999999996</v>
      </c>
      <c r="C42" s="206">
        <f>+B42/$G$4</f>
        <v>-243977.97478991596</v>
      </c>
      <c r="D42" s="363">
        <f>+Citizens!A18</f>
        <v>37321</v>
      </c>
      <c r="E42" s="204" t="s">
        <v>85</v>
      </c>
      <c r="F42" s="204" t="s">
        <v>299</v>
      </c>
      <c r="G42" s="204" t="s">
        <v>99</v>
      </c>
      <c r="H42" s="351"/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" customHeight="1" x14ac:dyDescent="0.25">
      <c r="A43" s="32" t="s">
        <v>133</v>
      </c>
      <c r="B43" s="345">
        <f>+'NS Steel'!D41</f>
        <v>-251172.06</v>
      </c>
      <c r="C43" s="206">
        <f>+B43/$G$4</f>
        <v>-105534.47899159664</v>
      </c>
      <c r="D43" s="364">
        <f>+'NS Steel'!A41</f>
        <v>37322</v>
      </c>
      <c r="E43" s="32" t="s">
        <v>85</v>
      </c>
      <c r="F43" s="32" t="s">
        <v>153</v>
      </c>
      <c r="G43" s="32" t="s">
        <v>100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" customHeight="1" x14ac:dyDescent="0.25">
      <c r="A44" s="204" t="s">
        <v>256</v>
      </c>
      <c r="B44" s="345">
        <f>+MiVida_Rich!D41</f>
        <v>-191635</v>
      </c>
      <c r="C44" s="206">
        <f>+B44/$G$5</f>
        <v>-80182.008368200826</v>
      </c>
      <c r="D44" s="363">
        <f>+MiVida_Rich!A41</f>
        <v>37315</v>
      </c>
      <c r="E44" s="204" t="s">
        <v>85</v>
      </c>
      <c r="F44" s="204" t="s">
        <v>151</v>
      </c>
      <c r="G44" s="204" t="s">
        <v>102</v>
      </c>
      <c r="H44" s="351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" customHeight="1" x14ac:dyDescent="0.25">
      <c r="A45" s="32" t="s">
        <v>215</v>
      </c>
      <c r="B45" s="345">
        <f>+crosstex!F41</f>
        <v>-122402.58</v>
      </c>
      <c r="C45" s="206">
        <f>+B45/$G$4</f>
        <v>-51429.655462184877</v>
      </c>
      <c r="D45" s="364">
        <f>+crosstex!A41</f>
        <v>37321</v>
      </c>
      <c r="E45" s="32" t="s">
        <v>85</v>
      </c>
      <c r="F45" s="32" t="s">
        <v>151</v>
      </c>
      <c r="G45" s="32" t="s">
        <v>100</v>
      </c>
      <c r="H45" s="351"/>
      <c r="I45" s="249"/>
      <c r="J45" s="32"/>
      <c r="K45" s="32"/>
      <c r="L45" s="32"/>
      <c r="M45" s="32"/>
      <c r="N45" s="379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s="555" customFormat="1" ht="13.5" customHeight="1" x14ac:dyDescent="0.25">
      <c r="A46" s="204" t="s">
        <v>309</v>
      </c>
      <c r="B46" s="346">
        <f>+Duke!B83</f>
        <v>-85558.260000000009</v>
      </c>
      <c r="C46" s="347">
        <f>+B46/$G$5</f>
        <v>-35798.435146443517</v>
      </c>
      <c r="D46" s="363">
        <f>+DEFS!A40</f>
        <v>37321</v>
      </c>
      <c r="E46" s="204" t="s">
        <v>85</v>
      </c>
      <c r="F46" s="32" t="s">
        <v>152</v>
      </c>
      <c r="G46" s="32" t="s">
        <v>100</v>
      </c>
      <c r="H46" s="32"/>
      <c r="I46" s="32"/>
      <c r="J46" s="249"/>
      <c r="K46" s="249"/>
      <c r="L46" s="249"/>
      <c r="M46" s="32"/>
      <c r="N46" s="469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s="555" customFormat="1" ht="13.5" customHeight="1" x14ac:dyDescent="0.25">
      <c r="A47" s="32" t="s">
        <v>1</v>
      </c>
      <c r="B47" s="345">
        <f>+C47*$G$3</f>
        <v>-29002.039999999997</v>
      </c>
      <c r="C47" s="206">
        <f>+NW!$F$41</f>
        <v>-12289</v>
      </c>
      <c r="D47" s="363">
        <f>+NW!B41</f>
        <v>37321</v>
      </c>
      <c r="E47" s="32" t="s">
        <v>84</v>
      </c>
      <c r="F47" s="32" t="s">
        <v>152</v>
      </c>
      <c r="G47" s="32" t="s">
        <v>115</v>
      </c>
      <c r="H47" s="351"/>
      <c r="I47" s="32"/>
      <c r="J47" s="249"/>
      <c r="K47" s="249"/>
      <c r="L47" s="249"/>
      <c r="M47" s="32"/>
      <c r="N47" s="469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ht="13.5" customHeight="1" x14ac:dyDescent="0.25">
      <c r="A48" s="204" t="s">
        <v>32</v>
      </c>
      <c r="B48" s="345">
        <f>+C48*$G$4</f>
        <v>-26782.14</v>
      </c>
      <c r="C48" s="206">
        <f>+SoCal!F40</f>
        <v>-11253</v>
      </c>
      <c r="D48" s="363">
        <f>+SoCal!A40</f>
        <v>37322</v>
      </c>
      <c r="E48" s="204" t="s">
        <v>84</v>
      </c>
      <c r="F48" s="204" t="s">
        <v>152</v>
      </c>
      <c r="G48" s="204" t="s">
        <v>102</v>
      </c>
      <c r="H48" s="32"/>
      <c r="I48" s="32"/>
      <c r="J48" s="32"/>
      <c r="K48" s="32"/>
      <c r="L48" s="32"/>
      <c r="M48" s="32"/>
      <c r="N48" s="379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554" customFormat="1" ht="13.5" customHeight="1" x14ac:dyDescent="0.25">
      <c r="A49" s="204" t="s">
        <v>203</v>
      </c>
      <c r="B49" s="346">
        <f>+WTGmktg!J43</f>
        <v>-19693.54</v>
      </c>
      <c r="C49" s="206">
        <f>+B49/$G$4</f>
        <v>-8274.5966386554628</v>
      </c>
      <c r="D49" s="363">
        <f>+WTGmktg!A43</f>
        <v>37320</v>
      </c>
      <c r="E49" s="32" t="s">
        <v>85</v>
      </c>
      <c r="F49" s="204" t="s">
        <v>152</v>
      </c>
      <c r="G49" s="204" t="s">
        <v>115</v>
      </c>
      <c r="H49" s="204"/>
      <c r="I49" s="204"/>
      <c r="J49" s="204"/>
      <c r="K49" s="204"/>
      <c r="L49" s="204"/>
      <c r="M49" s="204"/>
      <c r="N49" s="469"/>
      <c r="O49" s="273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s="554" customFormat="1" ht="13.5" customHeight="1" x14ac:dyDescent="0.25">
      <c r="A50" s="204" t="s">
        <v>95</v>
      </c>
      <c r="B50" s="345">
        <f>+burlington!D42</f>
        <v>-16942.2</v>
      </c>
      <c r="C50" s="275">
        <f>+B50/$G$3</f>
        <v>-7178.8983050847464</v>
      </c>
      <c r="D50" s="363">
        <f>+burlington!A42</f>
        <v>37322</v>
      </c>
      <c r="E50" s="204" t="s">
        <v>85</v>
      </c>
      <c r="F50" s="32" t="s">
        <v>153</v>
      </c>
      <c r="G50" s="32" t="s">
        <v>113</v>
      </c>
      <c r="H50" s="32"/>
      <c r="I50" s="204"/>
      <c r="J50" s="204"/>
      <c r="K50" s="204"/>
      <c r="L50" s="204"/>
      <c r="M50" s="204"/>
      <c r="N50" s="469"/>
      <c r="O50" s="273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ht="13.5" customHeight="1" x14ac:dyDescent="0.25">
      <c r="A51" s="32" t="s">
        <v>276</v>
      </c>
      <c r="B51" s="345">
        <f>+SWGasTrans!$D$41</f>
        <v>-8827.56</v>
      </c>
      <c r="C51" s="275">
        <f>+B51/$G$4</f>
        <v>-3709.0588235294117</v>
      </c>
      <c r="D51" s="363">
        <f>+SWGasTrans!A41</f>
        <v>37321</v>
      </c>
      <c r="E51" s="32" t="s">
        <v>85</v>
      </c>
      <c r="F51" s="32" t="s">
        <v>152</v>
      </c>
      <c r="G51" s="32" t="s">
        <v>99</v>
      </c>
      <c r="H51" s="32"/>
      <c r="I51" s="32"/>
      <c r="J51" s="32"/>
      <c r="K51" s="32"/>
      <c r="L51" s="32"/>
      <c r="M51" s="32" t="s">
        <v>242</v>
      </c>
      <c r="N51" s="379">
        <v>23995</v>
      </c>
      <c r="O51" s="70">
        <v>-1023166</v>
      </c>
      <c r="P51" s="32" t="s">
        <v>244</v>
      </c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ht="13.5" customHeight="1" x14ac:dyDescent="0.25">
      <c r="A52" s="204" t="s">
        <v>127</v>
      </c>
      <c r="B52" s="348">
        <f>+Calpine!D41</f>
        <v>-7539.3</v>
      </c>
      <c r="C52" s="349">
        <f>+B52/$G$4</f>
        <v>-3167.7731092436975</v>
      </c>
      <c r="D52" s="363">
        <f>+Calpine!A41</f>
        <v>37321</v>
      </c>
      <c r="E52" s="204" t="s">
        <v>85</v>
      </c>
      <c r="F52" s="204" t="s">
        <v>152</v>
      </c>
      <c r="G52" s="204" t="s">
        <v>99</v>
      </c>
      <c r="H52" s="204"/>
      <c r="I52" s="32"/>
      <c r="J52" s="32"/>
      <c r="K52" s="32"/>
      <c r="L52" s="32"/>
      <c r="M52" s="32"/>
      <c r="N52" s="379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5" customHeight="1" x14ac:dyDescent="0.25">
      <c r="A53" s="32" t="s">
        <v>97</v>
      </c>
      <c r="B53" s="387">
        <f>SUM(B42:B52)</f>
        <v>-1340222.26</v>
      </c>
      <c r="C53" s="393">
        <f>SUM(C42:C52)</f>
        <v>-562794.87963485508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5" customHeight="1" x14ac:dyDescent="0.25">
      <c r="A54" s="32"/>
      <c r="B54" s="345"/>
      <c r="C54" s="206"/>
      <c r="D54" s="352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8" thickBot="1" x14ac:dyDescent="0.3">
      <c r="A55" s="2" t="s">
        <v>91</v>
      </c>
      <c r="B55" s="353">
        <f>+B53+B39</f>
        <v>2227624.8899999997</v>
      </c>
      <c r="C55" s="354">
        <f>+C53+C39</f>
        <v>935850.35755793005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5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5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A70" s="2" t="s">
        <v>259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A71" s="32" t="s">
        <v>257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A72" s="32" t="s">
        <v>258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A74" s="2" t="s">
        <v>260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A75" s="32" t="s">
        <v>261</v>
      </c>
      <c r="B75" s="589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A76" s="32" t="s">
        <v>263</v>
      </c>
      <c r="B76" s="589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A77" s="32" t="s">
        <v>264</v>
      </c>
      <c r="B77" s="589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A78" s="32" t="s">
        <v>265</v>
      </c>
      <c r="B78" s="589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A79" s="32" t="s">
        <v>266</v>
      </c>
      <c r="B79" s="589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A80" s="32" t="s">
        <v>267</v>
      </c>
      <c r="B80" s="589">
        <v>7679.44</v>
      </c>
      <c r="C80" s="491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5">
      <c r="A81" s="32" t="s">
        <v>269</v>
      </c>
      <c r="B81" s="594">
        <v>-1851.26</v>
      </c>
      <c r="C81" s="491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5">
      <c r="A82" s="32" t="s">
        <v>271</v>
      </c>
      <c r="B82" s="569">
        <v>-27278.52</v>
      </c>
      <c r="C82" s="491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5">
      <c r="A83" s="32" t="s">
        <v>272</v>
      </c>
      <c r="B83" s="514">
        <v>8356.0499999999993</v>
      </c>
      <c r="C83" s="556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5">
      <c r="A84" s="32" t="s">
        <v>273</v>
      </c>
      <c r="B84" s="595">
        <f>775*2.08</f>
        <v>1612</v>
      </c>
      <c r="C84" s="556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5">
      <c r="A85" s="32" t="s">
        <v>270</v>
      </c>
      <c r="B85" s="15">
        <f>44144.84-58339.66</f>
        <v>-14194.820000000007</v>
      </c>
      <c r="C85" s="556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5">
      <c r="A86" s="32" t="s">
        <v>270</v>
      </c>
      <c r="B86" s="15">
        <v>-51695.87</v>
      </c>
      <c r="C86" s="556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5">
      <c r="A87" s="32" t="s">
        <v>270</v>
      </c>
      <c r="B87" s="15">
        <v>61340.160000000003</v>
      </c>
      <c r="C87" s="556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5">
      <c r="A88" s="32" t="s">
        <v>291</v>
      </c>
      <c r="B88" s="569">
        <v>-1702.75</v>
      </c>
      <c r="C88" s="556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5">
      <c r="A89" s="32" t="s">
        <v>277</v>
      </c>
      <c r="B89" s="569">
        <v>-1664.28</v>
      </c>
      <c r="C89" s="556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5">
      <c r="A90" s="32" t="s">
        <v>262</v>
      </c>
      <c r="B90" s="516">
        <v>-35893</v>
      </c>
      <c r="C90" s="491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5">
      <c r="A91" s="32" t="s">
        <v>268</v>
      </c>
      <c r="B91" s="15">
        <v>3338.45</v>
      </c>
      <c r="C91" s="491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5">
      <c r="A92" s="32" t="s">
        <v>292</v>
      </c>
      <c r="B92" s="593">
        <v>4589.1400000000003</v>
      </c>
      <c r="C92" s="491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5">
      <c r="A93" s="32" t="s">
        <v>293</v>
      </c>
      <c r="B93" s="515">
        <v>-725.46</v>
      </c>
      <c r="C93" s="491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5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5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5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2" workbookViewId="0">
      <selection activeCell="A25" sqref="A25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-89724</v>
      </c>
      <c r="C6" s="80"/>
      <c r="D6" s="80">
        <f t="shared" ref="D6:D14" si="0">+C6-B6</f>
        <v>89724</v>
      </c>
    </row>
    <row r="7" spans="1:4" x14ac:dyDescent="0.2">
      <c r="A7" s="32">
        <v>3531</v>
      </c>
      <c r="B7" s="309">
        <v>-158756</v>
      </c>
      <c r="C7" s="80">
        <v>-56650</v>
      </c>
      <c r="D7" s="80">
        <f t="shared" si="0"/>
        <v>102106</v>
      </c>
    </row>
    <row r="8" spans="1:4" x14ac:dyDescent="0.2">
      <c r="A8" s="32">
        <v>60667</v>
      </c>
      <c r="B8" s="309">
        <v>-160744</v>
      </c>
      <c r="C8" s="80">
        <v>-470492</v>
      </c>
      <c r="D8" s="80">
        <f t="shared" si="0"/>
        <v>-309748</v>
      </c>
    </row>
    <row r="9" spans="1:4" x14ac:dyDescent="0.2">
      <c r="A9" s="32">
        <v>60749</v>
      </c>
      <c r="B9" s="309">
        <v>9058</v>
      </c>
      <c r="C9" s="80">
        <v>131663</v>
      </c>
      <c r="D9" s="80">
        <f t="shared" si="0"/>
        <v>122605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-214</v>
      </c>
      <c r="C11" s="80"/>
      <c r="D11" s="80">
        <f t="shared" si="0"/>
        <v>214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4901</v>
      </c>
    </row>
    <row r="19" spans="1:5" x14ac:dyDescent="0.2">
      <c r="A19" s="32" t="s">
        <v>81</v>
      </c>
      <c r="B19" s="69"/>
      <c r="C19" s="69"/>
      <c r="D19" s="73">
        <f>+summary!G4</f>
        <v>2.38</v>
      </c>
    </row>
    <row r="20" spans="1:5" x14ac:dyDescent="0.2">
      <c r="B20" s="69"/>
      <c r="C20" s="69"/>
      <c r="D20" s="75">
        <f>+D19*D18</f>
        <v>11664.38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37315</v>
      </c>
      <c r="B22" s="69"/>
      <c r="C22" s="80"/>
      <c r="D22" s="598">
        <v>33520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37320</v>
      </c>
      <c r="B24" s="69"/>
      <c r="C24" s="69"/>
      <c r="D24" s="331">
        <f>+D22+D20</f>
        <v>45184.38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f>+A22</f>
        <v>37315</v>
      </c>
      <c r="D32" s="585">
        <v>15258</v>
      </c>
    </row>
    <row r="33" spans="1:4" x14ac:dyDescent="0.2">
      <c r="A33" s="49">
        <f>+A24</f>
        <v>37320</v>
      </c>
      <c r="D33" s="349">
        <f>+D18</f>
        <v>4901</v>
      </c>
    </row>
    <row r="34" spans="1:4" x14ac:dyDescent="0.2">
      <c r="D34" s="14">
        <f>+D33+D32</f>
        <v>20159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2" workbookViewId="0">
      <selection activeCell="A24" sqref="A24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4" customWidth="1"/>
  </cols>
  <sheetData>
    <row r="3" spans="1:11" x14ac:dyDescent="0.25">
      <c r="A3" s="3" t="s">
        <v>83</v>
      </c>
      <c r="B3" s="88"/>
      <c r="C3" s="257"/>
      <c r="D3" s="88"/>
    </row>
    <row r="4" spans="1:11" x14ac:dyDescent="0.25">
      <c r="A4" s="87"/>
      <c r="B4" s="254" t="s">
        <v>19</v>
      </c>
      <c r="C4" s="254" t="s">
        <v>20</v>
      </c>
      <c r="D4" s="255" t="s">
        <v>49</v>
      </c>
    </row>
    <row r="5" spans="1:11" x14ac:dyDescent="0.25">
      <c r="A5" s="87">
        <v>9236</v>
      </c>
      <c r="B5" s="90">
        <f>-32153-3759</f>
        <v>-35912</v>
      </c>
      <c r="C5" s="90">
        <v>-29232</v>
      </c>
      <c r="D5" s="90">
        <f t="shared" ref="D5:D13" si="0">+C5-B5</f>
        <v>6680</v>
      </c>
      <c r="E5" s="69"/>
      <c r="F5" s="201"/>
    </row>
    <row r="6" spans="1:11" x14ac:dyDescent="0.25">
      <c r="A6" s="87">
        <v>9238</v>
      </c>
      <c r="B6" s="90">
        <f>-2908-213</f>
        <v>-3121</v>
      </c>
      <c r="C6" s="90">
        <v>-6000</v>
      </c>
      <c r="D6" s="90">
        <f t="shared" si="0"/>
        <v>-2879</v>
      </c>
      <c r="E6" s="275"/>
      <c r="F6" s="201"/>
      <c r="K6" s="65"/>
    </row>
    <row r="7" spans="1:11" x14ac:dyDescent="0.25">
      <c r="A7" s="87">
        <v>56422</v>
      </c>
      <c r="B7" s="90">
        <f>-463953-79565</f>
        <v>-543518</v>
      </c>
      <c r="C7" s="90">
        <v>-576174</v>
      </c>
      <c r="D7" s="90">
        <f t="shared" si="0"/>
        <v>-32656</v>
      </c>
      <c r="E7" s="275"/>
      <c r="F7" s="201"/>
    </row>
    <row r="8" spans="1:11" x14ac:dyDescent="0.25">
      <c r="A8" s="87">
        <v>58710</v>
      </c>
      <c r="B8" s="90"/>
      <c r="C8" s="90">
        <v>-408</v>
      </c>
      <c r="D8" s="90">
        <f t="shared" si="0"/>
        <v>-408</v>
      </c>
      <c r="E8" s="275"/>
      <c r="F8" s="201"/>
    </row>
    <row r="9" spans="1:11" x14ac:dyDescent="0.25">
      <c r="A9" s="87">
        <v>60921</v>
      </c>
      <c r="B9" s="90">
        <f>-327462-5222</f>
        <v>-332684</v>
      </c>
      <c r="C9" s="90">
        <v>-326680</v>
      </c>
      <c r="D9" s="90">
        <f t="shared" si="0"/>
        <v>6004</v>
      </c>
      <c r="E9" s="275"/>
      <c r="F9" s="201"/>
    </row>
    <row r="10" spans="1:11" x14ac:dyDescent="0.25">
      <c r="A10" s="87">
        <v>78026</v>
      </c>
      <c r="B10" s="90"/>
      <c r="C10" s="90"/>
      <c r="D10" s="90">
        <f t="shared" si="0"/>
        <v>0</v>
      </c>
      <c r="E10" s="275"/>
      <c r="F10" s="465"/>
    </row>
    <row r="11" spans="1:11" x14ac:dyDescent="0.25">
      <c r="A11" s="87">
        <v>500084</v>
      </c>
      <c r="B11" s="90">
        <f>-11672-2329</f>
        <v>-14001</v>
      </c>
      <c r="C11" s="90">
        <v>-6000</v>
      </c>
      <c r="D11" s="90">
        <f t="shared" si="0"/>
        <v>8001</v>
      </c>
      <c r="E11" s="276"/>
      <c r="F11" s="465"/>
    </row>
    <row r="12" spans="1:11" x14ac:dyDescent="0.25">
      <c r="A12" s="317">
        <v>500085</v>
      </c>
      <c r="B12" s="90"/>
      <c r="C12" s="90"/>
      <c r="D12" s="90">
        <f t="shared" si="0"/>
        <v>0</v>
      </c>
      <c r="E12" s="275"/>
      <c r="F12" s="465"/>
    </row>
    <row r="13" spans="1:11" x14ac:dyDescent="0.25">
      <c r="A13" s="87">
        <v>500097</v>
      </c>
      <c r="B13" s="90">
        <v>-11368</v>
      </c>
      <c r="C13" s="90">
        <v>-12000</v>
      </c>
      <c r="D13" s="90">
        <f t="shared" si="0"/>
        <v>-632</v>
      </c>
      <c r="E13" s="275"/>
      <c r="F13" s="465"/>
    </row>
    <row r="14" spans="1:11" x14ac:dyDescent="0.25">
      <c r="A14" s="87"/>
      <c r="B14" s="90"/>
      <c r="C14" s="90"/>
      <c r="D14" s="90"/>
      <c r="E14" s="275"/>
      <c r="F14" s="465"/>
    </row>
    <row r="15" spans="1:11" x14ac:dyDescent="0.25">
      <c r="A15" s="87"/>
      <c r="B15" s="90"/>
      <c r="C15" s="90"/>
      <c r="D15" s="90"/>
      <c r="E15" s="275"/>
      <c r="F15" s="465"/>
    </row>
    <row r="16" spans="1:11" x14ac:dyDescent="0.25">
      <c r="A16" s="87"/>
      <c r="B16" s="88"/>
      <c r="C16" s="88"/>
      <c r="D16" s="94"/>
      <c r="E16" s="275"/>
      <c r="F16" s="465"/>
    </row>
    <row r="17" spans="1:7" x14ac:dyDescent="0.25">
      <c r="A17" s="87"/>
      <c r="B17" s="88"/>
      <c r="C17" s="88"/>
      <c r="D17" s="88">
        <f>SUM(D5:D16)</f>
        <v>-15890</v>
      </c>
      <c r="E17" s="275"/>
      <c r="F17" s="465"/>
    </row>
    <row r="18" spans="1:7" x14ac:dyDescent="0.25">
      <c r="A18" s="87" t="s">
        <v>81</v>
      </c>
      <c r="B18" s="88"/>
      <c r="C18" s="88"/>
      <c r="D18" s="95">
        <f>+summary!G4</f>
        <v>2.38</v>
      </c>
      <c r="E18" s="277"/>
      <c r="F18" s="465"/>
    </row>
    <row r="19" spans="1:7" x14ac:dyDescent="0.25">
      <c r="A19" s="87"/>
      <c r="B19" s="88"/>
      <c r="C19" s="88"/>
      <c r="D19" s="96">
        <f>+D18*D17</f>
        <v>-37818.199999999997</v>
      </c>
      <c r="E19" s="207"/>
      <c r="F19" s="465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37315</v>
      </c>
      <c r="B21" s="88"/>
      <c r="C21" s="88"/>
      <c r="D21" s="562">
        <v>829704.21</v>
      </c>
      <c r="E21" s="207"/>
      <c r="F21" s="466"/>
    </row>
    <row r="22" spans="1:7" x14ac:dyDescent="0.25">
      <c r="A22" s="87"/>
      <c r="B22" s="88"/>
      <c r="C22" s="88"/>
      <c r="D22" s="308"/>
      <c r="E22" s="207"/>
      <c r="F22" s="466"/>
    </row>
    <row r="23" spans="1:7" ht="13.8" thickBot="1" x14ac:dyDescent="0.3">
      <c r="A23" s="99">
        <v>37321</v>
      </c>
      <c r="B23" s="88"/>
      <c r="C23" s="88"/>
      <c r="D23" s="318">
        <f>+D21+D19</f>
        <v>791886.01</v>
      </c>
      <c r="E23" s="207"/>
      <c r="F23" s="466"/>
    </row>
    <row r="24" spans="1:7" ht="13.8" thickTop="1" x14ac:dyDescent="0.25">
      <c r="E24" s="278"/>
    </row>
    <row r="25" spans="1:7" x14ac:dyDescent="0.25">
      <c r="E25" s="498"/>
    </row>
    <row r="27" spans="1:7" x14ac:dyDescent="0.25">
      <c r="A27" s="32" t="s">
        <v>148</v>
      </c>
      <c r="B27" s="32"/>
      <c r="C27" s="32"/>
      <c r="D27" s="32"/>
    </row>
    <row r="28" spans="1:7" x14ac:dyDescent="0.25">
      <c r="A28" s="49">
        <f>+A21</f>
        <v>37315</v>
      </c>
      <c r="B28" s="32"/>
      <c r="C28" s="32"/>
      <c r="D28" s="485">
        <v>337548</v>
      </c>
    </row>
    <row r="29" spans="1:7" x14ac:dyDescent="0.25">
      <c r="A29" s="49">
        <f>+A23</f>
        <v>37321</v>
      </c>
      <c r="B29" s="32"/>
      <c r="C29" s="32"/>
      <c r="D29" s="349">
        <f>+D17</f>
        <v>-15890</v>
      </c>
    </row>
    <row r="30" spans="1:7" x14ac:dyDescent="0.25">
      <c r="A30" s="32"/>
      <c r="B30" s="32"/>
      <c r="C30" s="32"/>
      <c r="D30" s="14">
        <f>+D29+D28</f>
        <v>321658</v>
      </c>
      <c r="E30" s="344"/>
    </row>
    <row r="31" spans="1:7" x14ac:dyDescent="0.25">
      <c r="A31" s="139"/>
      <c r="B31" s="119"/>
      <c r="C31" s="140"/>
      <c r="D31" s="518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>
        <f>+D23/D30</f>
        <v>2.4618881234105792</v>
      </c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1"/>
      <c r="E36" s="69"/>
      <c r="F36" s="201"/>
      <c r="G36" s="32"/>
    </row>
    <row r="37" spans="1:7" x14ac:dyDescent="0.25">
      <c r="B37" s="69"/>
      <c r="C37" s="69"/>
      <c r="D37" s="291"/>
      <c r="E37" s="69"/>
      <c r="F37" s="201"/>
      <c r="G37" s="32"/>
    </row>
    <row r="38" spans="1:7" x14ac:dyDescent="0.25">
      <c r="B38" s="69"/>
      <c r="C38" s="69"/>
      <c r="D38" s="291"/>
      <c r="E38" s="69"/>
      <c r="F38" s="201"/>
      <c r="G38" s="32"/>
    </row>
    <row r="39" spans="1:7" x14ac:dyDescent="0.25">
      <c r="B39" s="69"/>
      <c r="C39" s="69"/>
      <c r="D39" s="291"/>
      <c r="E39" s="69"/>
      <c r="F39" s="201"/>
      <c r="G39" s="32"/>
    </row>
    <row r="40" spans="1:7" x14ac:dyDescent="0.25">
      <c r="B40" s="69"/>
      <c r="C40" s="69"/>
      <c r="D40" s="291"/>
      <c r="E40" s="69"/>
      <c r="F40" s="201"/>
      <c r="G40" s="32"/>
    </row>
    <row r="41" spans="1:7" x14ac:dyDescent="0.25">
      <c r="B41" s="69"/>
      <c r="C41" s="69"/>
      <c r="D41" s="291"/>
      <c r="E41" s="69"/>
      <c r="F41" s="201"/>
      <c r="G41" s="32"/>
    </row>
    <row r="42" spans="1:7" x14ac:dyDescent="0.25">
      <c r="B42" s="69"/>
      <c r="C42" s="69"/>
      <c r="D42" s="291"/>
      <c r="E42" s="69"/>
      <c r="F42" s="201"/>
      <c r="G42" s="32"/>
    </row>
    <row r="43" spans="1:7" x14ac:dyDescent="0.25">
      <c r="B43" s="69"/>
      <c r="C43" s="69"/>
      <c r="D43" s="291"/>
      <c r="E43" s="69"/>
      <c r="F43" s="201"/>
      <c r="G43" s="32"/>
    </row>
    <row r="44" spans="1:7" x14ac:dyDescent="0.25">
      <c r="B44" s="69"/>
      <c r="C44" s="69"/>
      <c r="D44" s="292"/>
      <c r="E44" s="275"/>
      <c r="F44" s="465"/>
      <c r="G44" s="204"/>
    </row>
    <row r="45" spans="1:7" x14ac:dyDescent="0.25">
      <c r="B45" s="69"/>
      <c r="C45" s="69"/>
      <c r="D45" s="292"/>
      <c r="E45" s="275"/>
      <c r="F45" s="465"/>
      <c r="G45" s="204"/>
    </row>
    <row r="46" spans="1:7" x14ac:dyDescent="0.25">
      <c r="A46" s="32"/>
      <c r="B46" s="69"/>
      <c r="C46" s="69"/>
      <c r="D46" s="275"/>
      <c r="E46" s="275"/>
      <c r="F46" s="465"/>
      <c r="G46" s="204"/>
    </row>
    <row r="47" spans="1:7" x14ac:dyDescent="0.25">
      <c r="A47" s="32"/>
      <c r="B47" s="69"/>
      <c r="C47" s="69"/>
      <c r="D47" s="277"/>
      <c r="E47" s="277"/>
      <c r="F47" s="465"/>
      <c r="G47" s="204"/>
    </row>
    <row r="48" spans="1:7" x14ac:dyDescent="0.25">
      <c r="B48" s="69"/>
      <c r="C48" s="69"/>
      <c r="D48" s="275"/>
      <c r="E48" s="275"/>
      <c r="F48" s="465"/>
      <c r="G48" s="204"/>
    </row>
    <row r="49" spans="1:7" x14ac:dyDescent="0.25">
      <c r="B49" s="69"/>
      <c r="C49" s="69"/>
      <c r="D49" s="275"/>
      <c r="E49" s="275"/>
      <c r="F49" s="465"/>
      <c r="G49" s="204"/>
    </row>
    <row r="50" spans="1:7" x14ac:dyDescent="0.25">
      <c r="C50" s="289"/>
      <c r="D50" s="289"/>
      <c r="E50" s="289"/>
      <c r="F50" s="467"/>
      <c r="G50" s="290"/>
    </row>
    <row r="51" spans="1:7" x14ac:dyDescent="0.25">
      <c r="A51" s="32"/>
      <c r="C51" s="289"/>
      <c r="D51" s="289"/>
      <c r="E51" s="289"/>
      <c r="F51" s="467"/>
    </row>
    <row r="52" spans="1:7" x14ac:dyDescent="0.25">
      <c r="A52" s="32"/>
      <c r="C52" s="289"/>
      <c r="D52" s="289"/>
      <c r="E52" s="289"/>
      <c r="F52" s="467"/>
    </row>
    <row r="53" spans="1:7" x14ac:dyDescent="0.25">
      <c r="A53" s="32"/>
      <c r="C53" s="289"/>
      <c r="D53" s="289"/>
      <c r="E53" s="289"/>
      <c r="F53" s="467"/>
    </row>
    <row r="54" spans="1:7" x14ac:dyDescent="0.25">
      <c r="A54" s="32"/>
      <c r="C54" s="289"/>
      <c r="D54" s="289"/>
      <c r="E54" s="289"/>
      <c r="F54" s="467"/>
    </row>
    <row r="55" spans="1:7" x14ac:dyDescent="0.25">
      <c r="A55" s="32"/>
      <c r="C55" s="289"/>
      <c r="D55" s="289"/>
      <c r="E55" s="278"/>
      <c r="F55" s="421"/>
    </row>
    <row r="56" spans="1:7" x14ac:dyDescent="0.25">
      <c r="C56" s="289"/>
      <c r="D56" s="289"/>
      <c r="E56" s="278"/>
      <c r="F56" s="421"/>
    </row>
    <row r="57" spans="1:7" x14ac:dyDescent="0.25">
      <c r="C57" s="289"/>
      <c r="D57" s="289"/>
      <c r="E57" s="278"/>
      <c r="F57" s="421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68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66"/>
    </row>
    <row r="101" spans="1:6" x14ac:dyDescent="0.25">
      <c r="A101" s="32"/>
      <c r="E101" s="63"/>
      <c r="F101" s="466"/>
    </row>
    <row r="102" spans="1:6" ht="13.8" thickBot="1" x14ac:dyDescent="0.3">
      <c r="A102" s="32"/>
      <c r="D102" s="68"/>
      <c r="E102" s="68"/>
      <c r="F102" s="4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68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66"/>
    </row>
    <row r="127" spans="1:6" x14ac:dyDescent="0.25">
      <c r="A127" s="32"/>
      <c r="D127" s="75"/>
      <c r="E127" s="75"/>
      <c r="F127" s="466"/>
    </row>
    <row r="128" spans="1:6" ht="13.8" thickBot="1" x14ac:dyDescent="0.3">
      <c r="A128" s="32"/>
      <c r="D128" s="77"/>
      <c r="E128" s="77"/>
      <c r="F128" s="466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68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66"/>
    </row>
    <row r="152" spans="1:6" x14ac:dyDescent="0.25">
      <c r="A152" s="32"/>
      <c r="D152" s="75"/>
      <c r="E152" s="75"/>
      <c r="F152" s="466"/>
    </row>
    <row r="153" spans="1:6" ht="13.8" thickBot="1" x14ac:dyDescent="0.3">
      <c r="A153" s="32"/>
      <c r="D153" s="77"/>
      <c r="E153" s="77"/>
      <c r="F153" s="466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68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66"/>
    </row>
    <row r="177" spans="1:6" x14ac:dyDescent="0.25">
      <c r="A177" s="32"/>
      <c r="D177" s="75"/>
      <c r="E177" s="75"/>
      <c r="F177" s="466"/>
    </row>
    <row r="178" spans="1:6" ht="13.8" thickBot="1" x14ac:dyDescent="0.3">
      <c r="A178" s="32"/>
      <c r="D178" s="77"/>
      <c r="E178" s="77"/>
      <c r="F178" s="466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68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66"/>
    </row>
    <row r="201" spans="1:6" x14ac:dyDescent="0.25">
      <c r="A201" s="32"/>
      <c r="D201" s="75"/>
      <c r="E201" s="75"/>
      <c r="F201" s="466"/>
    </row>
    <row r="202" spans="1:6" ht="13.8" thickBot="1" x14ac:dyDescent="0.3">
      <c r="A202" s="32"/>
      <c r="D202" s="83"/>
      <c r="E202" s="77"/>
      <c r="F202" s="466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68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66"/>
    </row>
    <row r="227" spans="1:6" x14ac:dyDescent="0.25">
      <c r="A227" s="32"/>
      <c r="D227" s="75"/>
      <c r="E227" s="75"/>
      <c r="F227" s="466"/>
    </row>
    <row r="228" spans="1:6" ht="13.8" thickBot="1" x14ac:dyDescent="0.3">
      <c r="A228" s="32"/>
      <c r="D228" s="83"/>
      <c r="E228" s="77"/>
      <c r="F228" s="466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68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66"/>
    </row>
    <row r="251" spans="1:6" x14ac:dyDescent="0.25">
      <c r="A251" s="32"/>
      <c r="D251" s="75"/>
      <c r="E251" s="75"/>
      <c r="F251" s="466"/>
    </row>
    <row r="252" spans="1:6" ht="13.8" thickBot="1" x14ac:dyDescent="0.3">
      <c r="A252" s="32"/>
      <c r="D252" s="86"/>
      <c r="E252" s="77"/>
      <c r="F252" s="4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68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66"/>
    </row>
    <row r="275" spans="1:6" x14ac:dyDescent="0.25">
      <c r="A275" s="87"/>
      <c r="B275" s="88"/>
      <c r="C275" s="88"/>
      <c r="D275" s="96"/>
      <c r="E275" s="75"/>
      <c r="F275" s="466"/>
    </row>
    <row r="276" spans="1:6" ht="13.8" thickBot="1" x14ac:dyDescent="0.3">
      <c r="A276" s="87"/>
      <c r="B276" s="88"/>
      <c r="C276" s="88"/>
      <c r="D276" s="98"/>
      <c r="E276" s="77"/>
      <c r="F276" s="4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68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66"/>
    </row>
    <row r="300" spans="1:6" x14ac:dyDescent="0.25">
      <c r="A300" s="87"/>
      <c r="B300" s="88"/>
      <c r="C300" s="88"/>
      <c r="D300" s="96"/>
      <c r="E300" s="75"/>
      <c r="F300" s="466"/>
    </row>
    <row r="301" spans="1:6" ht="13.8" thickBot="1" x14ac:dyDescent="0.3">
      <c r="A301" s="87"/>
      <c r="B301" s="88"/>
      <c r="C301" s="88"/>
      <c r="D301" s="98"/>
      <c r="E301" s="77"/>
      <c r="F301" s="4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68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66"/>
    </row>
    <row r="327" spans="1:6" x14ac:dyDescent="0.25">
      <c r="A327" s="87"/>
      <c r="B327" s="88"/>
      <c r="C327" s="88"/>
      <c r="D327" s="96"/>
      <c r="E327" s="75"/>
      <c r="F327" s="466"/>
    </row>
    <row r="328" spans="1:6" ht="13.8" thickBot="1" x14ac:dyDescent="0.3">
      <c r="A328" s="87"/>
      <c r="B328" s="88"/>
      <c r="C328" s="88"/>
      <c r="D328" s="98"/>
      <c r="E328" s="77"/>
      <c r="F328" s="4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4" workbookViewId="0">
      <selection activeCell="G34" sqref="G34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5" width="9.5546875" bestFit="1" customWidth="1"/>
    <col min="6" max="6" width="9.88671875" bestFit="1" customWidth="1"/>
    <col min="7" max="8" width="9.5546875" bestFit="1" customWidth="1"/>
    <col min="11" max="11" width="11.88671875" bestFit="1" customWidth="1"/>
    <col min="12" max="13" width="10" bestFit="1" customWidth="1"/>
    <col min="14" max="14" width="9.44140625" bestFit="1" customWidth="1"/>
    <col min="16" max="16" width="12" bestFit="1" customWidth="1"/>
    <col min="19" max="20" width="10.5546875" bestFit="1" customWidth="1"/>
    <col min="21" max="21" width="9.33203125" bestFit="1" customWidth="1"/>
    <col min="23" max="23" width="11.44140625" bestFit="1" customWidth="1"/>
  </cols>
  <sheetData>
    <row r="1" spans="1:26" x14ac:dyDescent="0.25">
      <c r="B1">
        <v>52862</v>
      </c>
      <c r="D1">
        <v>6828</v>
      </c>
      <c r="F1">
        <v>6838</v>
      </c>
    </row>
    <row r="2" spans="1:26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5">
      <c r="A3">
        <v>1</v>
      </c>
      <c r="B3" s="90">
        <v>36628</v>
      </c>
      <c r="C3" s="90">
        <v>36611</v>
      </c>
      <c r="D3" s="90">
        <v>-62566</v>
      </c>
      <c r="E3" s="90">
        <v>-64614</v>
      </c>
      <c r="F3" s="90">
        <v>26856</v>
      </c>
      <c r="G3" s="90">
        <v>27482</v>
      </c>
      <c r="H3" s="90">
        <f>+E3-D3+C3-B3+G3-F3</f>
        <v>-1439</v>
      </c>
    </row>
    <row r="4" spans="1:26" x14ac:dyDescent="0.25">
      <c r="A4">
        <v>2</v>
      </c>
      <c r="B4" s="90">
        <v>36686</v>
      </c>
      <c r="C4" s="90">
        <v>36611</v>
      </c>
      <c r="D4" s="90"/>
      <c r="E4" s="90"/>
      <c r="F4" s="90">
        <v>27507</v>
      </c>
      <c r="G4" s="90">
        <v>27482</v>
      </c>
      <c r="H4" s="90">
        <f t="shared" ref="H4:H33" si="0">+E4-D4+C4-B4+G4-F4</f>
        <v>-100</v>
      </c>
    </row>
    <row r="5" spans="1:26" x14ac:dyDescent="0.25">
      <c r="A5">
        <v>3</v>
      </c>
      <c r="B5" s="90">
        <v>36629</v>
      </c>
      <c r="C5" s="90">
        <v>36611</v>
      </c>
      <c r="D5" s="90"/>
      <c r="E5" s="90"/>
      <c r="F5" s="90">
        <v>27519</v>
      </c>
      <c r="G5" s="90">
        <v>27482</v>
      </c>
      <c r="H5" s="90">
        <f t="shared" si="0"/>
        <v>-55</v>
      </c>
    </row>
    <row r="6" spans="1:26" x14ac:dyDescent="0.25">
      <c r="A6">
        <v>4</v>
      </c>
      <c r="B6" s="90">
        <v>36620</v>
      </c>
      <c r="C6" s="90">
        <v>36611</v>
      </c>
      <c r="D6" s="90"/>
      <c r="E6" s="90"/>
      <c r="F6" s="90">
        <v>27475</v>
      </c>
      <c r="G6" s="90">
        <v>27482</v>
      </c>
      <c r="H6" s="90">
        <f t="shared" si="0"/>
        <v>-2</v>
      </c>
      <c r="K6" t="s">
        <v>234</v>
      </c>
      <c r="R6" t="s">
        <v>235</v>
      </c>
    </row>
    <row r="7" spans="1:26" x14ac:dyDescent="0.25">
      <c r="A7">
        <v>5</v>
      </c>
      <c r="B7" s="90">
        <v>20050</v>
      </c>
      <c r="C7" s="90">
        <v>19611</v>
      </c>
      <c r="D7" s="90">
        <v>-316</v>
      </c>
      <c r="E7" s="90">
        <v>-21181</v>
      </c>
      <c r="F7" s="90">
        <v>27352</v>
      </c>
      <c r="G7" s="90">
        <v>27482</v>
      </c>
      <c r="H7" s="90">
        <f t="shared" si="0"/>
        <v>-21174</v>
      </c>
    </row>
    <row r="8" spans="1:26" x14ac:dyDescent="0.25">
      <c r="A8">
        <v>6</v>
      </c>
      <c r="B8" s="90">
        <v>26429</v>
      </c>
      <c r="C8" s="90">
        <v>23911</v>
      </c>
      <c r="D8" s="90">
        <v>-42793</v>
      </c>
      <c r="E8" s="90">
        <v>-41764</v>
      </c>
      <c r="F8" s="90">
        <v>27354</v>
      </c>
      <c r="G8" s="90">
        <v>27482</v>
      </c>
      <c r="H8" s="90">
        <f t="shared" si="0"/>
        <v>-1361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5">
      <c r="A9">
        <v>7</v>
      </c>
      <c r="B9" s="90">
        <v>20665</v>
      </c>
      <c r="C9" s="90">
        <v>20611</v>
      </c>
      <c r="D9" s="90">
        <v>-57780</v>
      </c>
      <c r="E9" s="90">
        <v>-58347</v>
      </c>
      <c r="F9" s="90">
        <v>27331</v>
      </c>
      <c r="G9" s="90">
        <v>27482</v>
      </c>
      <c r="H9" s="90">
        <f t="shared" si="0"/>
        <v>-470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5">
      <c r="A10">
        <v>8</v>
      </c>
      <c r="B10" s="90"/>
      <c r="C10" s="90"/>
      <c r="D10" s="90"/>
      <c r="E10" s="90"/>
      <c r="F10" s="90"/>
      <c r="G10" s="90"/>
      <c r="H10" s="90">
        <f t="shared" si="0"/>
        <v>0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5">
      <c r="A11">
        <v>9</v>
      </c>
      <c r="B11" s="90"/>
      <c r="C11" s="90"/>
      <c r="D11" s="90"/>
      <c r="E11" s="90"/>
      <c r="F11" s="90"/>
      <c r="G11" s="90"/>
      <c r="H11" s="90">
        <f t="shared" si="0"/>
        <v>0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5">
      <c r="A12">
        <v>10</v>
      </c>
      <c r="B12" s="90"/>
      <c r="C12" s="90"/>
      <c r="D12" s="90"/>
      <c r="E12" s="90"/>
      <c r="F12" s="90"/>
      <c r="G12" s="90"/>
      <c r="H12" s="90">
        <f t="shared" si="0"/>
        <v>0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5">
      <c r="A13">
        <v>11</v>
      </c>
      <c r="B13" s="90"/>
      <c r="C13" s="90"/>
      <c r="D13" s="90"/>
      <c r="E13" s="90"/>
      <c r="F13" s="90"/>
      <c r="G13" s="90"/>
      <c r="H13" s="90">
        <f t="shared" si="0"/>
        <v>0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5">
      <c r="A14">
        <v>12</v>
      </c>
      <c r="B14" s="88"/>
      <c r="C14" s="90"/>
      <c r="D14" s="88"/>
      <c r="E14" s="88"/>
      <c r="F14" s="88"/>
      <c r="G14" s="88"/>
      <c r="H14" s="90">
        <f t="shared" si="0"/>
        <v>0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5">
      <c r="A15">
        <v>13</v>
      </c>
      <c r="B15" s="88"/>
      <c r="C15" s="88"/>
      <c r="D15" s="88"/>
      <c r="E15" s="88"/>
      <c r="F15" s="88"/>
      <c r="G15" s="88"/>
      <c r="H15" s="90">
        <f t="shared" si="0"/>
        <v>0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5">
      <c r="A16">
        <v>14</v>
      </c>
      <c r="B16" s="88"/>
      <c r="C16" s="88"/>
      <c r="D16" s="88"/>
      <c r="E16" s="88"/>
      <c r="F16" s="88"/>
      <c r="G16" s="88"/>
      <c r="H16" s="90">
        <f t="shared" si="0"/>
        <v>0</v>
      </c>
      <c r="K16" s="446" t="s">
        <v>236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236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5">
      <c r="A17">
        <v>15</v>
      </c>
      <c r="B17" s="88"/>
      <c r="C17" s="88"/>
      <c r="D17" s="327"/>
      <c r="E17" s="327"/>
      <c r="F17" s="327"/>
      <c r="G17" s="327"/>
      <c r="H17" s="90">
        <f t="shared" si="0"/>
        <v>0</v>
      </c>
    </row>
    <row r="18" spans="1:23" x14ac:dyDescent="0.25">
      <c r="A18">
        <v>16</v>
      </c>
      <c r="B18" s="88"/>
      <c r="C18" s="88"/>
      <c r="D18" s="327"/>
      <c r="E18" s="327"/>
      <c r="F18" s="327"/>
      <c r="G18" s="327"/>
      <c r="H18" s="90">
        <f t="shared" si="0"/>
        <v>0</v>
      </c>
      <c r="K18" s="446" t="s">
        <v>237</v>
      </c>
      <c r="L18" s="327"/>
      <c r="M18" s="327"/>
      <c r="N18" s="327">
        <v>19880</v>
      </c>
      <c r="O18" s="445"/>
      <c r="P18" s="445"/>
      <c r="Q18" s="445"/>
      <c r="R18" s="446" t="s">
        <v>237</v>
      </c>
      <c r="S18" s="327"/>
      <c r="T18" s="327"/>
      <c r="U18" s="327">
        <v>37185</v>
      </c>
      <c r="V18" s="445"/>
      <c r="W18" s="445"/>
    </row>
    <row r="19" spans="1:23" x14ac:dyDescent="0.25">
      <c r="A19">
        <v>17</v>
      </c>
      <c r="B19" s="88"/>
      <c r="C19" s="88"/>
      <c r="D19" s="327"/>
      <c r="E19" s="327"/>
      <c r="F19" s="327"/>
      <c r="G19" s="327"/>
      <c r="H19" s="90">
        <f t="shared" si="0"/>
        <v>0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5">
      <c r="A20">
        <v>18</v>
      </c>
      <c r="B20" s="327"/>
      <c r="C20" s="327"/>
      <c r="D20" s="327"/>
      <c r="E20" s="327"/>
      <c r="F20" s="327"/>
      <c r="G20" s="327"/>
      <c r="H20" s="90">
        <f t="shared" si="0"/>
        <v>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5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5">
      <c r="A22">
        <v>20</v>
      </c>
      <c r="B22" s="427"/>
      <c r="C22" s="327"/>
      <c r="D22" s="327"/>
      <c r="E22" s="327"/>
      <c r="F22" s="327"/>
      <c r="G22" s="327"/>
      <c r="H22" s="90">
        <f t="shared" si="0"/>
        <v>0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5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5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5">
      <c r="A25">
        <v>23</v>
      </c>
      <c r="B25" s="427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5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5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5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5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5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5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5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5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5">
      <c r="B34" s="287">
        <f t="shared" ref="B34:H34" si="2">SUM(B3:B33)</f>
        <v>213707</v>
      </c>
      <c r="C34" s="287">
        <f t="shared" si="2"/>
        <v>210577</v>
      </c>
      <c r="D34" s="14">
        <f t="shared" si="2"/>
        <v>-163455</v>
      </c>
      <c r="E34" s="14">
        <f t="shared" si="2"/>
        <v>-185906</v>
      </c>
      <c r="F34" s="14">
        <f t="shared" si="2"/>
        <v>191394</v>
      </c>
      <c r="G34" s="14">
        <f t="shared" si="2"/>
        <v>192374</v>
      </c>
      <c r="H34" s="14">
        <f t="shared" si="2"/>
        <v>-24601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5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5">
      <c r="H36" s="581"/>
      <c r="O36" s="259"/>
      <c r="P36" s="259"/>
      <c r="Q36" s="259"/>
      <c r="V36" s="259"/>
      <c r="W36" s="259"/>
    </row>
    <row r="37" spans="1:23" x14ac:dyDescent="0.25">
      <c r="A37" s="256">
        <v>37315</v>
      </c>
      <c r="B37" s="14"/>
      <c r="C37" s="14"/>
      <c r="D37" s="14"/>
      <c r="E37" s="14"/>
      <c r="F37" s="14"/>
      <c r="G37" s="14"/>
      <c r="H37" s="576">
        <v>45621</v>
      </c>
      <c r="O37" s="259"/>
      <c r="P37" s="259"/>
      <c r="Q37" s="259"/>
      <c r="V37" s="259"/>
      <c r="W37" s="259"/>
    </row>
    <row r="38" spans="1:23" x14ac:dyDescent="0.25">
      <c r="A38" s="542">
        <v>37322</v>
      </c>
      <c r="B38" s="14"/>
      <c r="C38" s="14"/>
      <c r="D38" s="14"/>
      <c r="E38" s="14"/>
      <c r="F38" s="14"/>
      <c r="G38" s="14"/>
      <c r="H38" s="150">
        <f>+H37+H34</f>
        <v>21020</v>
      </c>
      <c r="O38" s="259"/>
      <c r="P38" s="259"/>
      <c r="Q38" s="259"/>
    </row>
    <row r="39" spans="1:23" x14ac:dyDescent="0.25">
      <c r="H39" s="290"/>
      <c r="O39" s="259"/>
      <c r="P39" s="259"/>
      <c r="Q39" s="259"/>
    </row>
    <row r="40" spans="1:23" x14ac:dyDescent="0.25">
      <c r="H40" s="290"/>
      <c r="K40" s="344"/>
      <c r="O40" s="259"/>
      <c r="P40" s="259"/>
      <c r="Q40" s="259"/>
    </row>
    <row r="41" spans="1:23" x14ac:dyDescent="0.25">
      <c r="H41" s="290"/>
      <c r="K41" s="344"/>
      <c r="O41" s="259"/>
      <c r="P41" s="259"/>
      <c r="Q41" s="259"/>
    </row>
    <row r="42" spans="1:23" x14ac:dyDescent="0.25">
      <c r="A42" s="32" t="s">
        <v>149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5">
      <c r="A43" s="49">
        <f>+A37</f>
        <v>37315</v>
      </c>
      <c r="B43" s="32"/>
      <c r="C43" s="32"/>
      <c r="D43" s="573">
        <v>146195</v>
      </c>
      <c r="F43" s="484">
        <v>338741</v>
      </c>
      <c r="H43" s="290"/>
      <c r="I43" s="31"/>
      <c r="K43" s="344"/>
      <c r="O43" s="259"/>
      <c r="P43" s="259"/>
      <c r="Q43" s="259"/>
    </row>
    <row r="44" spans="1:23" x14ac:dyDescent="0.25">
      <c r="A44" s="49">
        <f>+A38</f>
        <v>37322</v>
      </c>
      <c r="B44" s="32"/>
      <c r="C44" s="32"/>
      <c r="D44" s="374">
        <f>+H34*'by type_area'!G4</f>
        <v>-58550.38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5">
      <c r="A45" s="32"/>
      <c r="B45" s="32"/>
      <c r="C45" s="32"/>
      <c r="D45" s="200">
        <f>+D44+D43</f>
        <v>87644.62</v>
      </c>
      <c r="F45" s="200">
        <f>+F44+F43</f>
        <v>338741</v>
      </c>
      <c r="H45" s="290"/>
      <c r="K45" s="497"/>
      <c r="O45" s="259"/>
      <c r="P45" s="259"/>
      <c r="Q45" s="259"/>
    </row>
    <row r="46" spans="1:23" x14ac:dyDescent="0.25">
      <c r="H46" s="290"/>
      <c r="K46" s="344"/>
      <c r="O46" s="259"/>
      <c r="P46" s="259"/>
      <c r="Q46" s="259"/>
    </row>
    <row r="47" spans="1:23" x14ac:dyDescent="0.25">
      <c r="H47" s="290"/>
      <c r="O47" s="259"/>
      <c r="P47" s="259"/>
      <c r="Q47" s="259"/>
    </row>
    <row r="48" spans="1:23" x14ac:dyDescent="0.25">
      <c r="H48" s="290"/>
      <c r="O48" s="259"/>
      <c r="P48" s="259"/>
      <c r="Q48" s="259"/>
    </row>
    <row r="49" spans="15:17" x14ac:dyDescent="0.25">
      <c r="O49" s="259"/>
      <c r="P49" s="259"/>
      <c r="Q49" s="259"/>
    </row>
    <row r="50" spans="15:17" x14ac:dyDescent="0.25">
      <c r="O50" s="259"/>
      <c r="P50" s="259"/>
      <c r="Q50" s="259"/>
    </row>
    <row r="51" spans="15:17" x14ac:dyDescent="0.25">
      <c r="O51" s="259"/>
      <c r="P51" s="259"/>
      <c r="Q51" s="259"/>
    </row>
    <row r="52" spans="15:17" x14ac:dyDescent="0.25">
      <c r="O52" s="259"/>
      <c r="P52" s="259"/>
      <c r="Q52" s="259"/>
    </row>
    <row r="53" spans="15:17" x14ac:dyDescent="0.25">
      <c r="O53" s="259"/>
      <c r="P53" s="259"/>
      <c r="Q53" s="259"/>
    </row>
    <row r="54" spans="15:17" x14ac:dyDescent="0.25">
      <c r="O54" s="259"/>
      <c r="P54" s="259"/>
      <c r="Q54" s="259"/>
    </row>
    <row r="55" spans="15:17" x14ac:dyDescent="0.25">
      <c r="O55" s="259"/>
      <c r="P55" s="259"/>
      <c r="Q55" s="259"/>
    </row>
    <row r="56" spans="15:17" x14ac:dyDescent="0.25">
      <c r="O56" s="259"/>
      <c r="P56" s="259"/>
      <c r="Q56" s="259"/>
    </row>
    <row r="57" spans="15:17" x14ac:dyDescent="0.25">
      <c r="O57" s="259"/>
      <c r="P57" s="259"/>
      <c r="Q57" s="259"/>
    </row>
    <row r="58" spans="15:17" x14ac:dyDescent="0.25">
      <c r="O58" s="259"/>
      <c r="P58" s="259"/>
      <c r="Q58" s="259"/>
    </row>
    <row r="59" spans="15:17" x14ac:dyDescent="0.25">
      <c r="O59" s="259"/>
      <c r="P59" s="259"/>
      <c r="Q59" s="259"/>
    </row>
    <row r="60" spans="15:17" x14ac:dyDescent="0.25">
      <c r="O60" s="259"/>
      <c r="P60" s="259"/>
      <c r="Q60" s="259"/>
    </row>
    <row r="61" spans="15:17" x14ac:dyDescent="0.25">
      <c r="O61" s="259"/>
      <c r="P61" s="259"/>
      <c r="Q61" s="259"/>
    </row>
    <row r="62" spans="15:17" x14ac:dyDescent="0.25">
      <c r="O62" s="259"/>
      <c r="P62" s="259"/>
      <c r="Q62" s="259"/>
    </row>
    <row r="63" spans="15:17" x14ac:dyDescent="0.25">
      <c r="O63" s="259"/>
      <c r="P63" s="259"/>
      <c r="Q63" s="259"/>
    </row>
    <row r="64" spans="15:17" x14ac:dyDescent="0.25">
      <c r="O64" s="259"/>
      <c r="P64" s="259"/>
      <c r="Q64" s="259"/>
    </row>
    <row r="65" spans="15:17" x14ac:dyDescent="0.25">
      <c r="O65" s="259"/>
      <c r="P65" s="259"/>
      <c r="Q65" s="259"/>
    </row>
    <row r="66" spans="15:17" x14ac:dyDescent="0.25">
      <c r="O66" s="259"/>
      <c r="P66" s="259"/>
      <c r="Q66" s="259"/>
    </row>
    <row r="67" spans="15:17" x14ac:dyDescent="0.25">
      <c r="O67" s="259"/>
      <c r="P67" s="259"/>
      <c r="Q67" s="259"/>
    </row>
    <row r="68" spans="15:17" x14ac:dyDescent="0.25">
      <c r="O68" s="259"/>
      <c r="P68" s="259"/>
      <c r="Q68" s="259"/>
    </row>
    <row r="69" spans="15:17" x14ac:dyDescent="0.25">
      <c r="O69" s="259"/>
      <c r="P69" s="259"/>
      <c r="Q69" s="259"/>
    </row>
    <row r="70" spans="15:17" x14ac:dyDescent="0.25">
      <c r="O70" s="259"/>
      <c r="P70" s="259"/>
      <c r="Q70" s="259"/>
    </row>
    <row r="71" spans="15:17" x14ac:dyDescent="0.25">
      <c r="O71" s="259"/>
      <c r="P71" s="259"/>
      <c r="Q71" s="259"/>
    </row>
    <row r="72" spans="15:17" x14ac:dyDescent="0.25">
      <c r="O72" s="259"/>
      <c r="P72" s="259"/>
      <c r="Q72" s="259"/>
    </row>
    <row r="73" spans="15:17" x14ac:dyDescent="0.25">
      <c r="O73" s="259"/>
      <c r="P73" s="259"/>
      <c r="Q73" s="259"/>
    </row>
    <row r="74" spans="15:17" x14ac:dyDescent="0.25">
      <c r="O74" s="259"/>
      <c r="P74" s="259"/>
      <c r="Q74" s="259"/>
    </row>
    <row r="75" spans="15:17" x14ac:dyDescent="0.25">
      <c r="O75" s="259"/>
      <c r="P75" s="259"/>
      <c r="Q75" s="259"/>
    </row>
    <row r="76" spans="15:17" x14ac:dyDescent="0.25">
      <c r="O76" s="259"/>
      <c r="P76" s="259"/>
      <c r="Q76" s="259"/>
    </row>
    <row r="77" spans="15:17" x14ac:dyDescent="0.25">
      <c r="O77" s="259"/>
      <c r="P77" s="259"/>
      <c r="Q77" s="259"/>
    </row>
    <row r="78" spans="15:17" x14ac:dyDescent="0.25">
      <c r="O78" s="259"/>
      <c r="P78" s="259"/>
      <c r="Q78" s="259"/>
    </row>
    <row r="79" spans="15:17" x14ac:dyDescent="0.25">
      <c r="O79" s="259"/>
      <c r="P79" s="259"/>
      <c r="Q79" s="259"/>
    </row>
    <row r="80" spans="15:17" x14ac:dyDescent="0.25">
      <c r="O80" s="259"/>
      <c r="P80" s="259"/>
      <c r="Q80" s="259"/>
    </row>
    <row r="81" spans="15:17" x14ac:dyDescent="0.25">
      <c r="O81" s="259"/>
      <c r="P81" s="259"/>
      <c r="Q81" s="259"/>
    </row>
    <row r="82" spans="15:17" x14ac:dyDescent="0.25">
      <c r="O82" s="259"/>
      <c r="P82" s="259"/>
      <c r="Q82" s="259"/>
    </row>
    <row r="83" spans="15:17" x14ac:dyDescent="0.25">
      <c r="O83" s="259"/>
      <c r="P83" s="259"/>
      <c r="Q83" s="259"/>
    </row>
    <row r="84" spans="15:17" x14ac:dyDescent="0.25">
      <c r="O84" s="259"/>
      <c r="P84" s="259"/>
      <c r="Q84" s="259"/>
    </row>
    <row r="85" spans="15:17" x14ac:dyDescent="0.25">
      <c r="O85" s="259"/>
      <c r="P85" s="259"/>
      <c r="Q85" s="259"/>
    </row>
    <row r="86" spans="15:17" x14ac:dyDescent="0.25">
      <c r="O86" s="259"/>
      <c r="P86" s="259"/>
      <c r="Q86" s="259"/>
    </row>
    <row r="87" spans="15:17" x14ac:dyDescent="0.25">
      <c r="O87" s="259"/>
      <c r="P87" s="259"/>
      <c r="Q87" s="259"/>
    </row>
    <row r="88" spans="15:17" x14ac:dyDescent="0.25">
      <c r="O88" s="259"/>
      <c r="P88" s="259"/>
      <c r="Q88" s="259"/>
    </row>
    <row r="89" spans="15:17" x14ac:dyDescent="0.25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6" workbookViewId="0">
      <selection activeCell="C10" sqref="C10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-19997</v>
      </c>
      <c r="C4" s="11">
        <v>-19960</v>
      </c>
      <c r="D4" s="25">
        <f>+C4-B4</f>
        <v>37</v>
      </c>
    </row>
    <row r="5" spans="1:4" x14ac:dyDescent="0.25">
      <c r="A5" s="10">
        <v>2</v>
      </c>
      <c r="B5" s="11">
        <v>-20003</v>
      </c>
      <c r="C5" s="11">
        <v>-19960</v>
      </c>
      <c r="D5" s="25">
        <f t="shared" ref="D5:D34" si="0">+C5-B5</f>
        <v>43</v>
      </c>
    </row>
    <row r="6" spans="1:4" x14ac:dyDescent="0.25">
      <c r="A6" s="10">
        <v>3</v>
      </c>
      <c r="B6" s="11">
        <v>-19992</v>
      </c>
      <c r="C6" s="11">
        <v>-19793</v>
      </c>
      <c r="D6" s="25">
        <f t="shared" si="0"/>
        <v>199</v>
      </c>
    </row>
    <row r="7" spans="1:4" x14ac:dyDescent="0.25">
      <c r="A7" s="10">
        <v>4</v>
      </c>
      <c r="B7" s="11">
        <v>-20005</v>
      </c>
      <c r="C7" s="11">
        <v>-19793</v>
      </c>
      <c r="D7" s="25">
        <f t="shared" si="0"/>
        <v>212</v>
      </c>
    </row>
    <row r="8" spans="1:4" x14ac:dyDescent="0.25">
      <c r="A8" s="10">
        <v>5</v>
      </c>
      <c r="B8" s="11">
        <v>-20009</v>
      </c>
      <c r="C8" s="11">
        <v>-19960</v>
      </c>
      <c r="D8" s="25">
        <f t="shared" si="0"/>
        <v>49</v>
      </c>
    </row>
    <row r="9" spans="1:4" x14ac:dyDescent="0.25">
      <c r="A9" s="10">
        <v>6</v>
      </c>
      <c r="B9" s="11">
        <v>-19990</v>
      </c>
      <c r="C9" s="11">
        <v>-19960</v>
      </c>
      <c r="D9" s="25">
        <f t="shared" si="0"/>
        <v>30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8" x14ac:dyDescent="0.25">
      <c r="A17" s="10">
        <v>14</v>
      </c>
      <c r="B17" s="11"/>
      <c r="C17" s="11"/>
      <c r="D17" s="25">
        <f t="shared" si="0"/>
        <v>0</v>
      </c>
    </row>
    <row r="18" spans="1:8" x14ac:dyDescent="0.25">
      <c r="A18" s="10">
        <v>15</v>
      </c>
      <c r="B18" s="11"/>
      <c r="C18" s="11"/>
      <c r="D18" s="25">
        <f t="shared" si="0"/>
        <v>0</v>
      </c>
    </row>
    <row r="19" spans="1:8" x14ac:dyDescent="0.25">
      <c r="A19" s="10">
        <v>16</v>
      </c>
      <c r="B19" s="11"/>
      <c r="C19" s="11"/>
      <c r="D19" s="25">
        <f t="shared" si="0"/>
        <v>0</v>
      </c>
    </row>
    <row r="20" spans="1:8" x14ac:dyDescent="0.25">
      <c r="A20" s="10">
        <v>17</v>
      </c>
      <c r="B20" s="11"/>
      <c r="C20" s="11"/>
      <c r="D20" s="25">
        <f t="shared" si="0"/>
        <v>0</v>
      </c>
    </row>
    <row r="21" spans="1:8" x14ac:dyDescent="0.25">
      <c r="A21" s="10">
        <v>18</v>
      </c>
      <c r="B21" s="11"/>
      <c r="C21" s="11"/>
      <c r="D21" s="25">
        <f t="shared" si="0"/>
        <v>0</v>
      </c>
    </row>
    <row r="22" spans="1:8" x14ac:dyDescent="0.25">
      <c r="A22" s="10">
        <v>19</v>
      </c>
      <c r="B22" s="11"/>
      <c r="C22" s="11"/>
      <c r="D22" s="25">
        <f t="shared" si="0"/>
        <v>0</v>
      </c>
    </row>
    <row r="23" spans="1:8" x14ac:dyDescent="0.25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5">
      <c r="A24" s="10">
        <v>21</v>
      </c>
      <c r="B24" s="11"/>
      <c r="C24" s="11"/>
      <c r="D24" s="25">
        <f t="shared" si="0"/>
        <v>0</v>
      </c>
      <c r="F24" s="25"/>
    </row>
    <row r="25" spans="1:8" x14ac:dyDescent="0.25">
      <c r="A25" s="10">
        <v>22</v>
      </c>
      <c r="B25" s="11"/>
      <c r="C25" s="11"/>
      <c r="D25" s="25">
        <f t="shared" si="0"/>
        <v>0</v>
      </c>
      <c r="F25" s="25"/>
    </row>
    <row r="26" spans="1:8" x14ac:dyDescent="0.25">
      <c r="A26" s="10">
        <v>23</v>
      </c>
      <c r="B26" s="11"/>
      <c r="C26" s="11"/>
      <c r="D26" s="25">
        <f t="shared" si="0"/>
        <v>0</v>
      </c>
      <c r="F26" s="25"/>
    </row>
    <row r="27" spans="1:8" x14ac:dyDescent="0.25">
      <c r="A27" s="10">
        <v>24</v>
      </c>
      <c r="B27" s="11"/>
      <c r="C27" s="11"/>
      <c r="D27" s="25">
        <f t="shared" si="0"/>
        <v>0</v>
      </c>
    </row>
    <row r="28" spans="1:8" x14ac:dyDescent="0.25">
      <c r="A28" s="10">
        <v>25</v>
      </c>
      <c r="B28" s="11"/>
      <c r="C28" s="11"/>
      <c r="D28" s="25">
        <f t="shared" si="0"/>
        <v>0</v>
      </c>
    </row>
    <row r="29" spans="1:8" x14ac:dyDescent="0.25">
      <c r="A29" s="10">
        <v>26</v>
      </c>
      <c r="B29" s="11"/>
      <c r="C29" s="11"/>
      <c r="D29" s="25">
        <f t="shared" si="0"/>
        <v>0</v>
      </c>
    </row>
    <row r="30" spans="1:8" x14ac:dyDescent="0.25">
      <c r="A30" s="10">
        <v>27</v>
      </c>
      <c r="B30" s="11"/>
      <c r="C30" s="11"/>
      <c r="D30" s="25">
        <f t="shared" si="0"/>
        <v>0</v>
      </c>
    </row>
    <row r="31" spans="1:8" x14ac:dyDescent="0.25">
      <c r="A31" s="10">
        <v>28</v>
      </c>
      <c r="B31" s="11"/>
      <c r="C31" s="11"/>
      <c r="D31" s="25">
        <f t="shared" si="0"/>
        <v>0</v>
      </c>
    </row>
    <row r="32" spans="1:8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-119996</v>
      </c>
      <c r="C35" s="11">
        <f>SUM(C4:C34)</f>
        <v>-119426</v>
      </c>
      <c r="D35" s="11">
        <f>SUM(D4:D34)</f>
        <v>570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37315</v>
      </c>
      <c r="D38" s="488">
        <v>0</v>
      </c>
    </row>
    <row r="39" spans="1:4" x14ac:dyDescent="0.25">
      <c r="A39" s="2"/>
      <c r="D39" s="24"/>
    </row>
    <row r="40" spans="1:4" x14ac:dyDescent="0.25">
      <c r="A40" s="57">
        <v>37321</v>
      </c>
      <c r="D40" s="51">
        <f>+D38+D35</f>
        <v>570</v>
      </c>
    </row>
    <row r="44" spans="1:4" x14ac:dyDescent="0.25">
      <c r="A44" s="32" t="s">
        <v>149</v>
      </c>
      <c r="B44" s="32"/>
      <c r="C44" s="32"/>
      <c r="D44" s="47"/>
    </row>
    <row r="45" spans="1:4" x14ac:dyDescent="0.25">
      <c r="A45" s="49">
        <f>+A38</f>
        <v>37315</v>
      </c>
      <c r="B45" s="32"/>
      <c r="C45" s="32"/>
      <c r="D45" s="487">
        <v>0</v>
      </c>
    </row>
    <row r="46" spans="1:4" x14ac:dyDescent="0.25">
      <c r="A46" s="49">
        <f>+A40</f>
        <v>37321</v>
      </c>
      <c r="B46" s="32"/>
      <c r="C46" s="32"/>
      <c r="D46" s="374">
        <f>+D35*'by type_area'!G4</f>
        <v>1356.6</v>
      </c>
    </row>
    <row r="47" spans="1:4" x14ac:dyDescent="0.25">
      <c r="A47" s="32"/>
      <c r="B47" s="32"/>
      <c r="C47" s="32"/>
      <c r="D47" s="200">
        <f>+D46+D45</f>
        <v>1356.6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0" workbookViewId="0">
      <selection activeCell="C20" sqref="C20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9206</v>
      </c>
      <c r="C4" s="11">
        <v>10000</v>
      </c>
      <c r="D4" s="11">
        <v>6058</v>
      </c>
      <c r="E4" s="11">
        <v>6400</v>
      </c>
      <c r="F4" s="11"/>
      <c r="G4" s="11"/>
      <c r="H4" s="11"/>
      <c r="I4" s="11"/>
      <c r="J4" s="11">
        <f t="shared" ref="J4:J34" si="0">+C4+E4+G4+I4-H4-F4-D4-B4</f>
        <v>1136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10335</v>
      </c>
      <c r="C5" s="11">
        <v>10000</v>
      </c>
      <c r="D5" s="11">
        <v>8049</v>
      </c>
      <c r="E5" s="11">
        <v>6400</v>
      </c>
      <c r="F5" s="11"/>
      <c r="G5" s="11"/>
      <c r="H5" s="11"/>
      <c r="I5" s="11"/>
      <c r="J5" s="11">
        <f t="shared" si="0"/>
        <v>-1984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11989</v>
      </c>
      <c r="C6" s="11">
        <v>10000</v>
      </c>
      <c r="D6" s="11">
        <v>8559</v>
      </c>
      <c r="E6" s="11">
        <v>6400</v>
      </c>
      <c r="F6" s="11"/>
      <c r="G6" s="11"/>
      <c r="H6" s="11"/>
      <c r="I6" s="11"/>
      <c r="J6" s="11">
        <f t="shared" si="0"/>
        <v>-4148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11848</v>
      </c>
      <c r="C7" s="11">
        <v>10000</v>
      </c>
      <c r="D7" s="11">
        <v>8872</v>
      </c>
      <c r="E7" s="11">
        <v>6400</v>
      </c>
      <c r="F7" s="11"/>
      <c r="G7" s="11"/>
      <c r="H7" s="11"/>
      <c r="I7" s="11"/>
      <c r="J7" s="11">
        <f t="shared" si="0"/>
        <v>-4320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11419</v>
      </c>
      <c r="C8" s="11">
        <v>10000</v>
      </c>
      <c r="D8" s="129">
        <v>8399</v>
      </c>
      <c r="E8" s="11">
        <v>6400</v>
      </c>
      <c r="F8" s="11"/>
      <c r="G8" s="11"/>
      <c r="H8" s="11"/>
      <c r="I8" s="11"/>
      <c r="J8" s="11">
        <f t="shared" si="0"/>
        <v>-3418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54797</v>
      </c>
      <c r="C35" s="11">
        <f t="shared" ref="C35:I35" si="1">SUM(C4:C34)</f>
        <v>50000</v>
      </c>
      <c r="D35" s="11">
        <f t="shared" si="1"/>
        <v>39937</v>
      </c>
      <c r="E35" s="11">
        <f t="shared" si="1"/>
        <v>32000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-12734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2.38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-30306.92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37315</v>
      </c>
      <c r="C39" s="25"/>
      <c r="E39" s="25"/>
      <c r="G39" s="25"/>
      <c r="I39" s="25"/>
      <c r="J39" s="484">
        <v>32454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19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37320</v>
      </c>
      <c r="J41" s="319">
        <f>+J39+J37</f>
        <v>2147.0800000000017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37315</v>
      </c>
      <c r="B46" s="32"/>
      <c r="C46" s="32"/>
      <c r="D46" s="485">
        <v>-112209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37320</v>
      </c>
      <c r="B47" s="32"/>
      <c r="C47" s="32"/>
      <c r="D47" s="349">
        <f>+J35</f>
        <v>-12734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-124943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F41" sqref="F41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303</v>
      </c>
      <c r="H4" s="14" t="s">
        <v>302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301</v>
      </c>
      <c r="I5" s="14" t="s">
        <v>304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-29075</v>
      </c>
      <c r="E6" s="24">
        <v>-24972</v>
      </c>
      <c r="F6" s="24">
        <f>+C6+E6-B6-D6</f>
        <v>4103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-26944</v>
      </c>
      <c r="E7" s="24">
        <v>-25347</v>
      </c>
      <c r="F7" s="24">
        <f t="shared" ref="F7:F36" si="0">+C7+E7-B7-D7</f>
        <v>1597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-56019</v>
      </c>
      <c r="E37" s="24">
        <f>SUM(E6:E36)</f>
        <v>-50319</v>
      </c>
      <c r="F37" s="24">
        <f>SUM(F6:F36)</f>
        <v>5700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2.38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13566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615">
        <v>37315</v>
      </c>
      <c r="E40" s="14"/>
      <c r="F40" s="568">
        <v>315184.86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37317</v>
      </c>
      <c r="E41" s="14"/>
      <c r="F41" s="104">
        <f>+F40+F39</f>
        <v>328750.86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7">
        <v>-43776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37317</v>
      </c>
      <c r="B47" s="32"/>
      <c r="C47" s="32"/>
      <c r="D47" s="349">
        <f>+F37</f>
        <v>5700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-38076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A44" sqref="A44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>
        <v>812</v>
      </c>
      <c r="F8" s="25">
        <f>+E8+C8-D8-B8</f>
        <v>812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812</v>
      </c>
      <c r="F39" s="25">
        <f>SUM(F8:F38)</f>
        <v>812</v>
      </c>
    </row>
    <row r="40" spans="1:6" x14ac:dyDescent="0.25">
      <c r="A40" s="26"/>
      <c r="C40" s="14"/>
      <c r="F40" s="253">
        <f>+summary!G4</f>
        <v>2.38</v>
      </c>
    </row>
    <row r="41" spans="1:6" x14ac:dyDescent="0.25">
      <c r="F41" s="138">
        <f>+F40*F39</f>
        <v>1932.56</v>
      </c>
    </row>
    <row r="42" spans="1:6" x14ac:dyDescent="0.25">
      <c r="A42" s="57">
        <v>37315</v>
      </c>
      <c r="C42" s="15"/>
      <c r="F42" s="570">
        <v>49675</v>
      </c>
    </row>
    <row r="43" spans="1:6" x14ac:dyDescent="0.25">
      <c r="A43" s="57">
        <v>37322</v>
      </c>
      <c r="C43" s="48"/>
      <c r="F43" s="138">
        <f>+F42+F41</f>
        <v>51607.56</v>
      </c>
    </row>
    <row r="47" spans="1:6" x14ac:dyDescent="0.25">
      <c r="A47" s="32" t="s">
        <v>148</v>
      </c>
      <c r="B47" s="32"/>
      <c r="C47" s="32"/>
      <c r="D47" s="32"/>
    </row>
    <row r="48" spans="1:6" x14ac:dyDescent="0.25">
      <c r="A48" s="49">
        <f>+A42</f>
        <v>37315</v>
      </c>
      <c r="B48" s="32"/>
      <c r="C48" s="32"/>
      <c r="D48" s="485">
        <v>7844</v>
      </c>
    </row>
    <row r="49" spans="1:4" x14ac:dyDescent="0.25">
      <c r="A49" s="49">
        <f>+A43</f>
        <v>37322</v>
      </c>
      <c r="B49" s="32"/>
      <c r="C49" s="32"/>
      <c r="D49" s="349">
        <f>+F39</f>
        <v>812</v>
      </c>
    </row>
    <row r="50" spans="1:4" x14ac:dyDescent="0.25">
      <c r="A50" s="32"/>
      <c r="B50" s="32"/>
      <c r="C50" s="32"/>
      <c r="D50" s="14">
        <f>+D49+D48</f>
        <v>8656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449"/>
    </row>
    <row r="41" spans="1:4" x14ac:dyDescent="0.25">
      <c r="A41" s="57">
        <v>37315</v>
      </c>
      <c r="C41" s="15"/>
      <c r="D41" s="456">
        <v>17587</v>
      </c>
    </row>
    <row r="42" spans="1:4" x14ac:dyDescent="0.25">
      <c r="A42" s="57">
        <v>37318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149</v>
      </c>
      <c r="B46" s="32"/>
      <c r="C46" s="32"/>
      <c r="D46" s="32"/>
    </row>
    <row r="47" spans="1:4" x14ac:dyDescent="0.25">
      <c r="A47" s="49">
        <f>+A41</f>
        <v>37315</v>
      </c>
      <c r="B47" s="32"/>
      <c r="C47" s="32"/>
      <c r="D47" s="459">
        <v>385897</v>
      </c>
    </row>
    <row r="48" spans="1:4" x14ac:dyDescent="0.25">
      <c r="A48" s="49">
        <f>+A42</f>
        <v>37318</v>
      </c>
      <c r="B48" s="32"/>
      <c r="C48" s="32"/>
      <c r="D48" s="374">
        <f>+D39*summary!G4</f>
        <v>0</v>
      </c>
    </row>
    <row r="49" spans="1:4" x14ac:dyDescent="0.25">
      <c r="A49" s="32"/>
      <c r="B49" s="32"/>
      <c r="C49" s="32"/>
      <c r="D49" s="200">
        <f>+D48+D47</f>
        <v>385897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8" workbookViewId="0">
      <selection activeCell="B32" sqref="B32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-84738</v>
      </c>
      <c r="C6" s="11">
        <v>-85300</v>
      </c>
      <c r="D6" s="25">
        <f>+C6-B6</f>
        <v>-562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5">
      <c r="A7" s="10">
        <v>2</v>
      </c>
      <c r="B7" s="11">
        <v>-84260</v>
      </c>
      <c r="C7" s="11">
        <v>-85300</v>
      </c>
      <c r="D7" s="25">
        <f t="shared" ref="D7:D36" si="0">+C7-B7</f>
        <v>-1040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-85534</v>
      </c>
      <c r="C8" s="11">
        <v>-85300</v>
      </c>
      <c r="D8" s="25">
        <f t="shared" si="0"/>
        <v>234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-77757</v>
      </c>
      <c r="C9" s="11">
        <v>-85300</v>
      </c>
      <c r="D9" s="25">
        <f t="shared" si="0"/>
        <v>-7543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-56653</v>
      </c>
      <c r="C10" s="11">
        <v>-49977</v>
      </c>
      <c r="D10" s="25">
        <f t="shared" si="0"/>
        <v>6676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/>
      <c r="C15" s="11"/>
      <c r="D15" s="25">
        <f t="shared" si="0"/>
        <v>0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5">
      <c r="A16" s="10">
        <v>11</v>
      </c>
      <c r="B16" s="11"/>
      <c r="C16" s="11"/>
      <c r="D16" s="25">
        <f t="shared" si="0"/>
        <v>0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5">
      <c r="A17" s="10">
        <v>12</v>
      </c>
      <c r="B17" s="11"/>
      <c r="C17" s="11"/>
      <c r="D17" s="25">
        <f t="shared" si="0"/>
        <v>0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5">
      <c r="A19" s="10">
        <v>14</v>
      </c>
      <c r="B19" s="11"/>
      <c r="C19" s="11"/>
      <c r="D19" s="25">
        <f t="shared" si="0"/>
        <v>0</v>
      </c>
      <c r="G19" s="118" t="s">
        <v>183</v>
      </c>
      <c r="H19" s="119">
        <f>+B37</f>
        <v>-388942</v>
      </c>
      <c r="I19" s="119">
        <f>+C37</f>
        <v>-391177</v>
      </c>
      <c r="J19" s="119">
        <f>+I19-H19</f>
        <v>-2235</v>
      </c>
      <c r="K19" s="411">
        <f>+D38</f>
        <v>2.38</v>
      </c>
      <c r="L19" s="416">
        <f>+K19*J19</f>
        <v>-5319.3</v>
      </c>
      <c r="M19" s="2"/>
      <c r="N19" s="34"/>
    </row>
    <row r="20" spans="1:14" x14ac:dyDescent="0.25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5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184</v>
      </c>
      <c r="H24" s="24"/>
      <c r="I24" s="24"/>
      <c r="J24" s="24">
        <f>+J19+J17</f>
        <v>128257</v>
      </c>
      <c r="K24" s="407"/>
      <c r="L24" s="110">
        <f>+L19+L17</f>
        <v>76365.799999999828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7"/>
      <c r="L26" s="24">
        <f>+L24/K19</f>
        <v>32086.470588235225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7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7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-388942</v>
      </c>
      <c r="C37" s="11">
        <f>SUM(C6:C36)</f>
        <v>-391177</v>
      </c>
      <c r="D37" s="25">
        <f>SUM(D6:D36)</f>
        <v>-2235</v>
      </c>
    </row>
    <row r="38" spans="1:4" x14ac:dyDescent="0.25">
      <c r="A38" s="26"/>
      <c r="C38" s="14"/>
      <c r="D38" s="326">
        <f>+summary!G4</f>
        <v>2.38</v>
      </c>
    </row>
    <row r="39" spans="1:4" x14ac:dyDescent="0.25">
      <c r="D39" s="138">
        <f>+D38*D37</f>
        <v>-5319.3</v>
      </c>
    </row>
    <row r="40" spans="1:4" x14ac:dyDescent="0.25">
      <c r="A40" s="57">
        <v>37315</v>
      </c>
      <c r="C40" s="15"/>
      <c r="D40" s="590">
        <v>-2220</v>
      </c>
    </row>
    <row r="41" spans="1:4" x14ac:dyDescent="0.25">
      <c r="A41" s="57">
        <v>37321</v>
      </c>
      <c r="C41" s="48"/>
      <c r="D41" s="138">
        <f>+D40+D39</f>
        <v>-7539.3</v>
      </c>
    </row>
    <row r="44" spans="1:4" x14ac:dyDescent="0.25">
      <c r="A44" s="32" t="s">
        <v>148</v>
      </c>
      <c r="B44" s="32"/>
      <c r="C44" s="32"/>
      <c r="D44" s="32"/>
    </row>
    <row r="45" spans="1:4" x14ac:dyDescent="0.25">
      <c r="A45" s="49">
        <f>+A40</f>
        <v>37315</v>
      </c>
      <c r="B45" s="32"/>
      <c r="C45" s="32"/>
      <c r="D45" s="591">
        <v>94419</v>
      </c>
    </row>
    <row r="46" spans="1:4" x14ac:dyDescent="0.25">
      <c r="A46" s="49">
        <f>+A41</f>
        <v>37321</v>
      </c>
      <c r="B46" s="32"/>
      <c r="C46" s="32"/>
      <c r="D46" s="349">
        <f>+D37</f>
        <v>-2235</v>
      </c>
    </row>
    <row r="47" spans="1:4" x14ac:dyDescent="0.25">
      <c r="A47" s="32"/>
      <c r="B47" s="32"/>
      <c r="C47" s="32"/>
      <c r="D47" s="14">
        <f>+D46+D45</f>
        <v>92184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9" workbookViewId="0">
      <selection activeCell="A51" sqref="A51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/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39085</v>
      </c>
      <c r="C6" s="11">
        <v>35000</v>
      </c>
      <c r="D6" s="25">
        <f>+C6-B6</f>
        <v>-4085</v>
      </c>
    </row>
    <row r="7" spans="1:5" x14ac:dyDescent="0.25">
      <c r="A7" s="10">
        <v>2</v>
      </c>
      <c r="B7" s="11">
        <v>38663</v>
      </c>
      <c r="C7" s="11">
        <v>35000</v>
      </c>
      <c r="D7" s="25">
        <f t="shared" ref="D7:D36" si="0">+C7-B7</f>
        <v>-3663</v>
      </c>
    </row>
    <row r="8" spans="1:5" x14ac:dyDescent="0.25">
      <c r="A8" s="10">
        <v>3</v>
      </c>
      <c r="B8" s="11">
        <v>38140</v>
      </c>
      <c r="C8" s="11">
        <v>35000</v>
      </c>
      <c r="D8" s="25">
        <f t="shared" si="0"/>
        <v>-3140</v>
      </c>
    </row>
    <row r="9" spans="1:5" x14ac:dyDescent="0.25">
      <c r="A9" s="10">
        <v>4</v>
      </c>
      <c r="B9" s="11">
        <v>37343</v>
      </c>
      <c r="C9" s="11">
        <v>35000</v>
      </c>
      <c r="D9" s="25">
        <f t="shared" si="0"/>
        <v>-2343</v>
      </c>
    </row>
    <row r="10" spans="1:5" x14ac:dyDescent="0.25">
      <c r="A10" s="10">
        <v>5</v>
      </c>
      <c r="B10" s="11">
        <v>26604</v>
      </c>
      <c r="C10" s="11">
        <v>35000</v>
      </c>
      <c r="D10" s="25">
        <f t="shared" si="0"/>
        <v>8396</v>
      </c>
    </row>
    <row r="11" spans="1:5" x14ac:dyDescent="0.25">
      <c r="A11" s="10">
        <v>6</v>
      </c>
      <c r="B11" s="129">
        <v>39621</v>
      </c>
      <c r="C11" s="11">
        <v>35000</v>
      </c>
      <c r="D11" s="25">
        <f t="shared" si="0"/>
        <v>-4621</v>
      </c>
    </row>
    <row r="12" spans="1:5" x14ac:dyDescent="0.25">
      <c r="A12" s="10">
        <v>7</v>
      </c>
      <c r="B12" s="129"/>
      <c r="C12" s="11"/>
      <c r="D12" s="25">
        <f t="shared" si="0"/>
        <v>0</v>
      </c>
    </row>
    <row r="13" spans="1:5" x14ac:dyDescent="0.25">
      <c r="A13" s="10">
        <v>8</v>
      </c>
      <c r="B13" s="129"/>
      <c r="C13" s="11"/>
      <c r="D13" s="25">
        <f t="shared" si="0"/>
        <v>0</v>
      </c>
    </row>
    <row r="14" spans="1:5" x14ac:dyDescent="0.25">
      <c r="A14" s="10">
        <v>9</v>
      </c>
      <c r="B14" s="129"/>
      <c r="C14" s="11"/>
      <c r="D14" s="25">
        <f t="shared" si="0"/>
        <v>0</v>
      </c>
    </row>
    <row r="15" spans="1:5" x14ac:dyDescent="0.25">
      <c r="A15" s="10">
        <v>10</v>
      </c>
      <c r="B15" s="129"/>
      <c r="C15" s="11"/>
      <c r="D15" s="25">
        <f t="shared" si="0"/>
        <v>0</v>
      </c>
    </row>
    <row r="16" spans="1:5" x14ac:dyDescent="0.25">
      <c r="A16" s="10">
        <v>11</v>
      </c>
      <c r="B16" s="129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219456</v>
      </c>
      <c r="C37" s="11">
        <f>SUM(C6:C36)</f>
        <v>210000</v>
      </c>
      <c r="D37" s="25">
        <f>SUM(D6:D36)</f>
        <v>-9456</v>
      </c>
    </row>
    <row r="38" spans="1:4" x14ac:dyDescent="0.25">
      <c r="A38" s="26"/>
      <c r="B38" s="31"/>
      <c r="C38" s="14"/>
      <c r="D38" s="326">
        <f>+summary!G5</f>
        <v>2.39</v>
      </c>
    </row>
    <row r="39" spans="1:4" x14ac:dyDescent="0.25">
      <c r="D39" s="138">
        <f>+D38*D37</f>
        <v>-22599.84</v>
      </c>
    </row>
    <row r="40" spans="1:4" x14ac:dyDescent="0.25">
      <c r="A40" s="57">
        <v>37315</v>
      </c>
      <c r="C40" s="15"/>
      <c r="D40" s="590">
        <v>100916</v>
      </c>
    </row>
    <row r="41" spans="1:4" x14ac:dyDescent="0.25">
      <c r="A41" s="57">
        <v>37321</v>
      </c>
      <c r="C41" s="48"/>
      <c r="D41" s="138">
        <f>+D40+D39</f>
        <v>78316.160000000003</v>
      </c>
    </row>
    <row r="44" spans="1:4" x14ac:dyDescent="0.25">
      <c r="A44" s="32" t="s">
        <v>148</v>
      </c>
      <c r="B44" s="32"/>
      <c r="C44" s="32"/>
      <c r="D44" s="32"/>
    </row>
    <row r="45" spans="1:4" x14ac:dyDescent="0.25">
      <c r="A45" s="49">
        <f>+A40</f>
        <v>37315</v>
      </c>
      <c r="B45" s="32"/>
      <c r="C45" s="32"/>
      <c r="D45" s="591">
        <v>93375</v>
      </c>
    </row>
    <row r="46" spans="1:4" x14ac:dyDescent="0.25">
      <c r="A46" s="49">
        <f>+A41</f>
        <v>37321</v>
      </c>
      <c r="B46" s="32"/>
      <c r="C46" s="32"/>
      <c r="D46" s="349">
        <f>+D37</f>
        <v>-9456</v>
      </c>
    </row>
    <row r="47" spans="1:4" x14ac:dyDescent="0.25">
      <c r="A47" s="32"/>
      <c r="B47" s="32"/>
      <c r="C47" s="32"/>
      <c r="D47" s="14">
        <f>+D46+D45</f>
        <v>83919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C33" sqref="C33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06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341465</v>
      </c>
      <c r="C4" s="11">
        <v>329748</v>
      </c>
      <c r="D4" s="11"/>
      <c r="E4" s="11">
        <v>15605</v>
      </c>
      <c r="F4" s="11">
        <v>36925</v>
      </c>
      <c r="G4" s="11">
        <v>36557</v>
      </c>
      <c r="H4" s="11">
        <v>171258</v>
      </c>
      <c r="I4" s="11">
        <v>176277</v>
      </c>
      <c r="J4" s="11">
        <f t="shared" ref="J4:J34" si="0">+C4+E4+G4+I4-H4-F4-D4-B4</f>
        <v>8539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333969</v>
      </c>
      <c r="C5" s="11">
        <v>323101</v>
      </c>
      <c r="D5" s="11"/>
      <c r="E5" s="11">
        <v>10827</v>
      </c>
      <c r="F5" s="11">
        <v>32325</v>
      </c>
      <c r="G5" s="11">
        <v>36557</v>
      </c>
      <c r="H5" s="11">
        <v>128578</v>
      </c>
      <c r="I5" s="11">
        <v>132874</v>
      </c>
      <c r="J5" s="11">
        <f t="shared" si="0"/>
        <v>8487</v>
      </c>
      <c r="M5" s="214" t="s">
        <v>247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329682</v>
      </c>
      <c r="C6" s="11">
        <v>320457</v>
      </c>
      <c r="D6" s="11"/>
      <c r="E6" s="11">
        <v>15442</v>
      </c>
      <c r="F6" s="11">
        <v>35751</v>
      </c>
      <c r="G6" s="11">
        <v>36557</v>
      </c>
      <c r="H6" s="11">
        <v>144515</v>
      </c>
      <c r="I6" s="11">
        <v>142776</v>
      </c>
      <c r="J6" s="11">
        <f t="shared" si="0"/>
        <v>5284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342762</v>
      </c>
      <c r="C7" s="11">
        <v>331995</v>
      </c>
      <c r="D7" s="11"/>
      <c r="E7" s="11">
        <v>15281</v>
      </c>
      <c r="F7" s="11">
        <v>37608</v>
      </c>
      <c r="G7" s="11">
        <v>36557</v>
      </c>
      <c r="H7" s="11">
        <v>142892</v>
      </c>
      <c r="I7" s="11">
        <v>142891</v>
      </c>
      <c r="J7" s="11">
        <f t="shared" si="0"/>
        <v>3462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356704</v>
      </c>
      <c r="C8" s="11">
        <v>341499</v>
      </c>
      <c r="D8" s="129"/>
      <c r="E8" s="11">
        <v>14075</v>
      </c>
      <c r="F8" s="11">
        <v>42720</v>
      </c>
      <c r="G8" s="11">
        <v>36557</v>
      </c>
      <c r="H8" s="129">
        <v>154730</v>
      </c>
      <c r="I8" s="11">
        <v>152625</v>
      </c>
      <c r="J8" s="11">
        <f t="shared" si="0"/>
        <v>-9398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347396</v>
      </c>
      <c r="C9" s="11">
        <v>339399</v>
      </c>
      <c r="D9" s="11"/>
      <c r="E9" s="11">
        <v>8714</v>
      </c>
      <c r="F9" s="11">
        <v>42100</v>
      </c>
      <c r="G9" s="11">
        <v>36557</v>
      </c>
      <c r="H9" s="11">
        <v>137236</v>
      </c>
      <c r="I9" s="11">
        <v>137167</v>
      </c>
      <c r="J9" s="11">
        <f t="shared" si="0"/>
        <v>-4895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79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2051978</v>
      </c>
      <c r="C35" s="11">
        <f t="shared" ref="C35:I35" si="3">SUM(C4:C34)</f>
        <v>1986199</v>
      </c>
      <c r="D35" s="11">
        <f t="shared" si="3"/>
        <v>0</v>
      </c>
      <c r="E35" s="11">
        <f t="shared" si="3"/>
        <v>79944</v>
      </c>
      <c r="F35" s="11">
        <f t="shared" si="3"/>
        <v>227429</v>
      </c>
      <c r="G35" s="11">
        <f t="shared" si="3"/>
        <v>219342</v>
      </c>
      <c r="H35" s="11">
        <f t="shared" si="3"/>
        <v>879209</v>
      </c>
      <c r="I35" s="11">
        <f t="shared" si="3"/>
        <v>884610</v>
      </c>
      <c r="J35" s="11">
        <f>SUM(J4:J34)</f>
        <v>11479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5">
      <c r="A38" s="56">
        <v>37315</v>
      </c>
      <c r="C38" s="25"/>
      <c r="E38" s="25"/>
      <c r="G38" s="25"/>
      <c r="I38" s="25"/>
      <c r="J38" s="571"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5">
      <c r="A40" s="33">
        <v>37321</v>
      </c>
      <c r="J40" s="51">
        <f>+J38+J35</f>
        <v>11479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5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37315</v>
      </c>
      <c r="B46" s="32"/>
      <c r="C46" s="32"/>
      <c r="D46" s="574">
        <v>84461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37321</v>
      </c>
      <c r="B47" s="32"/>
      <c r="C47" s="32"/>
      <c r="D47" s="374">
        <f>+J35*'by type_area'!G3</f>
        <v>27090.44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111551.44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5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5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08"/>
      <c r="S295" s="1"/>
    </row>
    <row r="296" spans="9:21" x14ac:dyDescent="0.25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08"/>
      <c r="S337" s="1"/>
    </row>
    <row r="338" spans="11:21" x14ac:dyDescent="0.25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08"/>
      <c r="S379" s="1"/>
    </row>
    <row r="380" spans="11:21" x14ac:dyDescent="0.25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08"/>
      <c r="S423" s="1"/>
    </row>
    <row r="424" spans="11:21" x14ac:dyDescent="0.25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workbookViewId="0">
      <selection activeCell="C12" sqref="C12"/>
    </sheetView>
  </sheetViews>
  <sheetFormatPr defaultRowHeight="13.2" x14ac:dyDescent="0.25"/>
  <sheetData>
    <row r="3" spans="1:6" ht="13.8" x14ac:dyDescent="0.25">
      <c r="A3" s="134"/>
      <c r="B3" s="34" t="s">
        <v>131</v>
      </c>
    </row>
    <row r="4" spans="1:6" x14ac:dyDescent="0.25">
      <c r="A4" s="3"/>
      <c r="B4" s="59" t="s">
        <v>132</v>
      </c>
      <c r="D4" s="1"/>
    </row>
    <row r="5" spans="1:6" x14ac:dyDescent="0.25">
      <c r="A5" s="5" t="s">
        <v>10</v>
      </c>
      <c r="B5" s="6" t="s">
        <v>19</v>
      </c>
      <c r="C5" s="6" t="s">
        <v>20</v>
      </c>
    </row>
    <row r="6" spans="1:6" x14ac:dyDescent="0.25">
      <c r="A6" s="10">
        <v>1</v>
      </c>
      <c r="B6" s="11">
        <v>62309</v>
      </c>
      <c r="C6" s="11">
        <v>62102</v>
      </c>
      <c r="D6" s="25">
        <f>+C6-B6</f>
        <v>-207</v>
      </c>
    </row>
    <row r="7" spans="1:6" x14ac:dyDescent="0.25">
      <c r="A7" s="10">
        <v>2</v>
      </c>
      <c r="B7" s="129">
        <v>50220</v>
      </c>
      <c r="C7" s="11">
        <v>49280</v>
      </c>
      <c r="D7" s="25">
        <f t="shared" ref="D7:D36" si="0">+C7-B7</f>
        <v>-940</v>
      </c>
    </row>
    <row r="8" spans="1:6" x14ac:dyDescent="0.25">
      <c r="A8" s="10">
        <v>3</v>
      </c>
      <c r="B8" s="11">
        <v>49998</v>
      </c>
      <c r="C8" s="11">
        <v>49280</v>
      </c>
      <c r="D8" s="25">
        <f t="shared" si="0"/>
        <v>-718</v>
      </c>
      <c r="F8" s="558"/>
    </row>
    <row r="9" spans="1:6" x14ac:dyDescent="0.25">
      <c r="A9" s="10">
        <v>4</v>
      </c>
      <c r="B9" s="11">
        <v>47950</v>
      </c>
      <c r="C9" s="11">
        <v>54280</v>
      </c>
      <c r="D9" s="25">
        <f t="shared" si="0"/>
        <v>6330</v>
      </c>
      <c r="F9" s="558"/>
    </row>
    <row r="10" spans="1:6" x14ac:dyDescent="0.25">
      <c r="A10" s="10">
        <v>5</v>
      </c>
      <c r="B10" s="11">
        <v>57018</v>
      </c>
      <c r="C10" s="11">
        <v>58244</v>
      </c>
      <c r="D10" s="25">
        <f t="shared" si="0"/>
        <v>1226</v>
      </c>
      <c r="F10" s="559"/>
    </row>
    <row r="11" spans="1:6" x14ac:dyDescent="0.25">
      <c r="A11" s="10">
        <v>6</v>
      </c>
      <c r="B11" s="11">
        <v>38266</v>
      </c>
      <c r="C11" s="11">
        <v>38499</v>
      </c>
      <c r="D11" s="25">
        <f t="shared" si="0"/>
        <v>233</v>
      </c>
      <c r="F11" s="559"/>
    </row>
    <row r="12" spans="1:6" x14ac:dyDescent="0.25">
      <c r="A12" s="10">
        <v>7</v>
      </c>
      <c r="B12" s="11"/>
      <c r="C12" s="11"/>
      <c r="D12" s="25">
        <f t="shared" si="0"/>
        <v>0</v>
      </c>
      <c r="F12" s="559"/>
    </row>
    <row r="13" spans="1:6" x14ac:dyDescent="0.25">
      <c r="A13" s="10">
        <v>8</v>
      </c>
      <c r="B13" s="11"/>
      <c r="C13" s="11"/>
      <c r="D13" s="25">
        <f t="shared" si="0"/>
        <v>0</v>
      </c>
      <c r="F13" s="559"/>
    </row>
    <row r="14" spans="1:6" x14ac:dyDescent="0.25">
      <c r="A14" s="10">
        <v>9</v>
      </c>
      <c r="B14" s="11"/>
      <c r="C14" s="11"/>
      <c r="D14" s="25">
        <f t="shared" si="0"/>
        <v>0</v>
      </c>
    </row>
    <row r="15" spans="1:6" x14ac:dyDescent="0.25">
      <c r="A15" s="10">
        <v>10</v>
      </c>
      <c r="B15" s="11"/>
      <c r="C15" s="11"/>
      <c r="D15" s="25">
        <f t="shared" si="0"/>
        <v>0</v>
      </c>
    </row>
    <row r="16" spans="1:6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305761</v>
      </c>
      <c r="C37" s="11">
        <f>SUM(C6:C36)</f>
        <v>311685</v>
      </c>
      <c r="D37" s="25">
        <f>SUM(D6:D36)</f>
        <v>5924</v>
      </c>
    </row>
    <row r="38" spans="1:4" x14ac:dyDescent="0.25">
      <c r="A38" s="26"/>
      <c r="C38" s="14"/>
      <c r="D38" s="326">
        <f>+summary!G5</f>
        <v>2.39</v>
      </c>
    </row>
    <row r="39" spans="1:4" x14ac:dyDescent="0.25">
      <c r="D39" s="138">
        <f>+D38*D37</f>
        <v>14158.36</v>
      </c>
    </row>
    <row r="40" spans="1:4" x14ac:dyDescent="0.25">
      <c r="A40" s="57">
        <v>37315</v>
      </c>
      <c r="C40" s="15"/>
      <c r="D40" s="599">
        <v>9003</v>
      </c>
    </row>
    <row r="41" spans="1:4" x14ac:dyDescent="0.25">
      <c r="A41" s="57">
        <v>37321</v>
      </c>
      <c r="C41" s="48"/>
      <c r="D41" s="138">
        <f>+D40+D39</f>
        <v>23161.360000000001</v>
      </c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591">
        <v>4076</v>
      </c>
    </row>
    <row r="47" spans="1:4" x14ac:dyDescent="0.25">
      <c r="A47" s="49">
        <f>+A41</f>
        <v>37321</v>
      </c>
      <c r="B47" s="32"/>
      <c r="C47" s="32"/>
      <c r="D47" s="349">
        <f>+D37</f>
        <v>5924</v>
      </c>
    </row>
    <row r="48" spans="1:4" x14ac:dyDescent="0.25">
      <c r="A48" s="32"/>
      <c r="B48" s="32"/>
      <c r="C48" s="32"/>
      <c r="D48" s="14">
        <f>+D47+D46</f>
        <v>10000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A42" sqref="A42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28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-526</v>
      </c>
      <c r="C6" s="11">
        <v>-1038</v>
      </c>
      <c r="D6" s="25">
        <f>+C6-B6</f>
        <v>-512</v>
      </c>
    </row>
    <row r="7" spans="1:13" x14ac:dyDescent="0.25">
      <c r="A7" s="10">
        <v>2</v>
      </c>
      <c r="B7" s="11">
        <v>-631</v>
      </c>
      <c r="C7" s="11">
        <v>-1038</v>
      </c>
      <c r="D7" s="25">
        <f t="shared" ref="D7:D36" si="0">+C7-B7</f>
        <v>-407</v>
      </c>
    </row>
    <row r="8" spans="1:13" x14ac:dyDescent="0.25">
      <c r="A8" s="10">
        <v>3</v>
      </c>
      <c r="B8" s="11">
        <v>-1354</v>
      </c>
      <c r="C8" s="11">
        <v>-1038</v>
      </c>
      <c r="D8" s="25">
        <f t="shared" si="0"/>
        <v>316</v>
      </c>
    </row>
    <row r="9" spans="1:13" x14ac:dyDescent="0.25">
      <c r="A9" s="10">
        <v>4</v>
      </c>
      <c r="B9" s="11">
        <v>-1885</v>
      </c>
      <c r="C9" s="11">
        <v>-1038</v>
      </c>
      <c r="D9" s="25">
        <f t="shared" si="0"/>
        <v>847</v>
      </c>
    </row>
    <row r="10" spans="1:13" x14ac:dyDescent="0.25">
      <c r="A10" s="10">
        <v>5</v>
      </c>
      <c r="B10" s="11">
        <v>-2002</v>
      </c>
      <c r="C10" s="11">
        <v>-1038</v>
      </c>
      <c r="D10" s="25">
        <f t="shared" si="0"/>
        <v>964</v>
      </c>
    </row>
    <row r="11" spans="1:13" x14ac:dyDescent="0.25">
      <c r="A11" s="10">
        <v>6</v>
      </c>
      <c r="B11" s="11">
        <v>-1601</v>
      </c>
      <c r="C11" s="11">
        <v>-1038</v>
      </c>
      <c r="D11" s="25">
        <f t="shared" si="0"/>
        <v>563</v>
      </c>
    </row>
    <row r="12" spans="1:13" x14ac:dyDescent="0.25">
      <c r="A12" s="10">
        <v>7</v>
      </c>
      <c r="B12" s="11">
        <v>-530</v>
      </c>
      <c r="C12" s="11">
        <v>-1038</v>
      </c>
      <c r="D12" s="25">
        <f t="shared" si="0"/>
        <v>-508</v>
      </c>
    </row>
    <row r="13" spans="1:13" x14ac:dyDescent="0.25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11" t="s">
        <v>173</v>
      </c>
      <c r="M13" s="189"/>
    </row>
    <row r="14" spans="1:13" x14ac:dyDescent="0.25">
      <c r="A14" s="10">
        <v>9</v>
      </c>
      <c r="B14" s="11"/>
      <c r="C14" s="11"/>
      <c r="D14" s="25">
        <f t="shared" si="0"/>
        <v>0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5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5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5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5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-8529</v>
      </c>
      <c r="C37" s="11">
        <f>SUM(C6:C36)</f>
        <v>-7266</v>
      </c>
      <c r="D37" s="25">
        <f>SUM(D6:D36)</f>
        <v>1263</v>
      </c>
    </row>
    <row r="38" spans="1:4" x14ac:dyDescent="0.25">
      <c r="A38" s="26"/>
      <c r="C38" s="14"/>
      <c r="D38" s="326">
        <f>+summary!G4</f>
        <v>2.38</v>
      </c>
    </row>
    <row r="39" spans="1:4" x14ac:dyDescent="0.25">
      <c r="D39" s="138">
        <f>+D38*D37</f>
        <v>3005.94</v>
      </c>
    </row>
    <row r="40" spans="1:4" x14ac:dyDescent="0.25">
      <c r="A40" s="57">
        <v>37315</v>
      </c>
      <c r="C40" s="15"/>
      <c r="D40" s="570">
        <v>-254178</v>
      </c>
    </row>
    <row r="41" spans="1:4" x14ac:dyDescent="0.25">
      <c r="A41" s="57">
        <v>37322</v>
      </c>
      <c r="C41" s="48"/>
      <c r="D41" s="138">
        <f>+D40+D39</f>
        <v>-251172.06</v>
      </c>
    </row>
    <row r="47" spans="1:4" x14ac:dyDescent="0.25">
      <c r="A47" s="32" t="s">
        <v>148</v>
      </c>
      <c r="B47" s="32"/>
      <c r="C47" s="32"/>
      <c r="D47" s="32"/>
    </row>
    <row r="48" spans="1:4" x14ac:dyDescent="0.25">
      <c r="A48" s="49">
        <f>+A40</f>
        <v>37315</v>
      </c>
      <c r="B48" s="32"/>
      <c r="C48" s="32"/>
      <c r="D48" s="567">
        <v>3974</v>
      </c>
    </row>
    <row r="49" spans="1:4" x14ac:dyDescent="0.25">
      <c r="A49" s="49">
        <f>+A41</f>
        <v>37322</v>
      </c>
      <c r="B49" s="32"/>
      <c r="C49" s="32"/>
      <c r="D49" s="349">
        <f>+D37</f>
        <v>1263</v>
      </c>
    </row>
    <row r="50" spans="1:4" x14ac:dyDescent="0.25">
      <c r="A50" s="32"/>
      <c r="B50" s="32"/>
      <c r="C50" s="32"/>
      <c r="D50" s="14">
        <f>+D49+D48</f>
        <v>5237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C35" sqref="C35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28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-34078</v>
      </c>
      <c r="C6" s="11">
        <v>-40000</v>
      </c>
      <c r="D6" s="25">
        <f>+C6-B6</f>
        <v>-5922</v>
      </c>
    </row>
    <row r="7" spans="1:4" x14ac:dyDescent="0.25">
      <c r="A7" s="10">
        <v>2</v>
      </c>
      <c r="B7" s="11">
        <v>-35189</v>
      </c>
      <c r="C7" s="11">
        <v>-33000</v>
      </c>
      <c r="D7" s="25">
        <f t="shared" ref="D7:D36" si="0">+C7-B7</f>
        <v>2189</v>
      </c>
    </row>
    <row r="8" spans="1:4" x14ac:dyDescent="0.25">
      <c r="A8" s="10">
        <v>3</v>
      </c>
      <c r="B8" s="129">
        <v>-29296</v>
      </c>
      <c r="C8" s="11">
        <v>-34000</v>
      </c>
      <c r="D8" s="25">
        <f t="shared" si="0"/>
        <v>-4704</v>
      </c>
    </row>
    <row r="9" spans="1:4" x14ac:dyDescent="0.25">
      <c r="A9" s="10">
        <v>4</v>
      </c>
      <c r="B9" s="129">
        <v>-36491</v>
      </c>
      <c r="C9" s="11">
        <v>-35000</v>
      </c>
      <c r="D9" s="25">
        <f t="shared" si="0"/>
        <v>1491</v>
      </c>
    </row>
    <row r="10" spans="1:4" x14ac:dyDescent="0.25">
      <c r="A10" s="10">
        <v>5</v>
      </c>
      <c r="B10" s="129">
        <v>-38539</v>
      </c>
      <c r="C10" s="11">
        <v>-36000</v>
      </c>
      <c r="D10" s="25">
        <f t="shared" si="0"/>
        <v>2539</v>
      </c>
    </row>
    <row r="11" spans="1:4" x14ac:dyDescent="0.25">
      <c r="A11" s="10">
        <v>6</v>
      </c>
      <c r="B11" s="129">
        <v>-38013</v>
      </c>
      <c r="C11" s="11">
        <v>-38500</v>
      </c>
      <c r="D11" s="25">
        <f t="shared" si="0"/>
        <v>-487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-211606</v>
      </c>
      <c r="C37" s="11">
        <f>SUM(C6:C36)</f>
        <v>-216500</v>
      </c>
      <c r="D37" s="25">
        <f>SUM(D6:D36)</f>
        <v>-4894</v>
      </c>
    </row>
    <row r="38" spans="1:4" x14ac:dyDescent="0.25">
      <c r="A38" s="26"/>
      <c r="C38" s="14"/>
      <c r="D38" s="326">
        <f>+summary!G4</f>
        <v>2.38</v>
      </c>
    </row>
    <row r="39" spans="1:4" x14ac:dyDescent="0.25">
      <c r="D39" s="138">
        <f>+D38*D37</f>
        <v>-11647.72</v>
      </c>
    </row>
    <row r="40" spans="1:4" x14ac:dyDescent="0.25">
      <c r="A40" s="57">
        <v>37315</v>
      </c>
      <c r="C40" s="15"/>
      <c r="D40" s="570">
        <v>61952</v>
      </c>
    </row>
    <row r="41" spans="1:4" x14ac:dyDescent="0.25">
      <c r="A41" s="57">
        <v>37321</v>
      </c>
      <c r="C41" s="48"/>
      <c r="D41" s="138">
        <f>+D40+D39</f>
        <v>50304.28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567">
        <v>33105</v>
      </c>
    </row>
    <row r="47" spans="1:4" x14ac:dyDescent="0.25">
      <c r="A47" s="49">
        <f>+A41</f>
        <v>37321</v>
      </c>
      <c r="B47" s="32"/>
      <c r="C47" s="32"/>
      <c r="D47" s="349">
        <f>+D37</f>
        <v>-4894</v>
      </c>
    </row>
    <row r="48" spans="1:4" x14ac:dyDescent="0.25">
      <c r="A48" s="32"/>
      <c r="B48" s="32"/>
      <c r="C48" s="32"/>
      <c r="D48" s="14">
        <f>+D47+D46</f>
        <v>28211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B7" sqref="B7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3"/>
      <c r="C5" s="90">
        <v>-882</v>
      </c>
      <c r="D5" s="90">
        <f>+C5-B5</f>
        <v>-882</v>
      </c>
      <c r="E5" s="275"/>
      <c r="F5" s="273"/>
    </row>
    <row r="6" spans="1:13" x14ac:dyDescent="0.25">
      <c r="A6" s="87">
        <v>500046</v>
      </c>
      <c r="B6" s="90">
        <f>-3857-238</f>
        <v>-4095</v>
      </c>
      <c r="C6" s="90"/>
      <c r="D6" s="90">
        <f t="shared" ref="D6:D11" si="0">+C6-B6</f>
        <v>4095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f>-5748-517</f>
        <v>-6265</v>
      </c>
      <c r="C8" s="90">
        <v>-10272</v>
      </c>
      <c r="D8" s="90">
        <f t="shared" si="0"/>
        <v>-4007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-794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2.38</v>
      </c>
      <c r="E13" s="277"/>
      <c r="F13" s="273"/>
    </row>
    <row r="14" spans="1:13" x14ac:dyDescent="0.25">
      <c r="A14" s="87"/>
      <c r="B14" s="88"/>
      <c r="C14" s="88"/>
      <c r="D14" s="96">
        <f>+D13*D12</f>
        <v>-1889.72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37315</v>
      </c>
      <c r="B16" s="88"/>
      <c r="C16" s="88"/>
      <c r="D16" s="517">
        <v>-578777.86</v>
      </c>
      <c r="E16" s="207"/>
      <c r="F16" s="66"/>
    </row>
    <row r="17" spans="1:7" x14ac:dyDescent="0.25">
      <c r="A17" s="87"/>
      <c r="B17" s="88"/>
      <c r="C17" s="88"/>
      <c r="D17" s="308"/>
      <c r="E17" s="207"/>
      <c r="F17" s="66"/>
    </row>
    <row r="18" spans="1:7" ht="13.8" thickBot="1" x14ac:dyDescent="0.3">
      <c r="A18" s="99">
        <v>37321</v>
      </c>
      <c r="B18" s="88"/>
      <c r="C18" s="88"/>
      <c r="D18" s="318">
        <f>+D16+D14</f>
        <v>-580667.57999999996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148</v>
      </c>
      <c r="B21" s="32"/>
      <c r="C21" s="32"/>
      <c r="D21" s="32"/>
    </row>
    <row r="22" spans="1:7" x14ac:dyDescent="0.25">
      <c r="A22" s="49">
        <f>+A16</f>
        <v>37315</v>
      </c>
      <c r="B22" s="32"/>
      <c r="C22" s="32"/>
      <c r="D22" s="567">
        <v>-56360</v>
      </c>
    </row>
    <row r="23" spans="1:7" x14ac:dyDescent="0.25">
      <c r="A23" s="49"/>
      <c r="B23" s="32"/>
      <c r="C23" s="32"/>
      <c r="D23" s="349">
        <f>+D12</f>
        <v>-794</v>
      </c>
    </row>
    <row r="24" spans="1:7" x14ac:dyDescent="0.25">
      <c r="A24" s="49">
        <f>+A18</f>
        <v>37321</v>
      </c>
      <c r="B24" s="32"/>
      <c r="C24" s="32"/>
      <c r="D24" s="14">
        <f>+D23+D22</f>
        <v>-57154</v>
      </c>
      <c r="E24" s="344"/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201">
        <f>+D18/D24</f>
        <v>10.159701508205899</v>
      </c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5" workbookViewId="0">
      <selection activeCell="C35" sqref="C35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-25763</v>
      </c>
      <c r="C6" s="11">
        <v>-20490</v>
      </c>
      <c r="D6" s="25">
        <f>+C6-B6</f>
        <v>5273</v>
      </c>
    </row>
    <row r="7" spans="1:4" x14ac:dyDescent="0.25">
      <c r="A7" s="10">
        <v>2</v>
      </c>
      <c r="B7" s="11">
        <v>-50011</v>
      </c>
      <c r="C7" s="11">
        <v>-52345</v>
      </c>
      <c r="D7" s="25">
        <f t="shared" ref="D7:D36" si="0">+C7-B7</f>
        <v>-2334</v>
      </c>
    </row>
    <row r="8" spans="1:4" x14ac:dyDescent="0.25">
      <c r="A8" s="10">
        <v>3</v>
      </c>
      <c r="B8" s="11">
        <v>-52259</v>
      </c>
      <c r="C8" s="11">
        <v>-52345</v>
      </c>
      <c r="D8" s="25">
        <f t="shared" si="0"/>
        <v>-86</v>
      </c>
    </row>
    <row r="9" spans="1:4" x14ac:dyDescent="0.25">
      <c r="A9" s="10">
        <v>4</v>
      </c>
      <c r="B9" s="129">
        <v>-52407</v>
      </c>
      <c r="C9" s="11">
        <v>-52345</v>
      </c>
      <c r="D9" s="25">
        <f t="shared" si="0"/>
        <v>62</v>
      </c>
    </row>
    <row r="10" spans="1:4" x14ac:dyDescent="0.25">
      <c r="A10" s="10">
        <v>5</v>
      </c>
      <c r="B10" s="11">
        <v>-37005</v>
      </c>
      <c r="C10" s="11">
        <v>-29116</v>
      </c>
      <c r="D10" s="25">
        <f t="shared" si="0"/>
        <v>7889</v>
      </c>
    </row>
    <row r="11" spans="1:4" x14ac:dyDescent="0.25">
      <c r="A11" s="10">
        <v>6</v>
      </c>
      <c r="B11" s="11">
        <v>-14185</v>
      </c>
      <c r="C11" s="11">
        <v>-7970</v>
      </c>
      <c r="D11" s="25">
        <f t="shared" si="0"/>
        <v>6215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-231630</v>
      </c>
      <c r="C37" s="11">
        <f>SUM(C6:C36)</f>
        <v>-214611</v>
      </c>
      <c r="D37" s="25">
        <f>SUM(D6:D36)</f>
        <v>17019</v>
      </c>
    </row>
    <row r="38" spans="1:4" x14ac:dyDescent="0.25">
      <c r="A38" s="26"/>
      <c r="C38" s="14"/>
      <c r="D38" s="338"/>
    </row>
    <row r="39" spans="1:4" x14ac:dyDescent="0.25">
      <c r="D39" s="138"/>
    </row>
    <row r="40" spans="1:4" x14ac:dyDescent="0.25">
      <c r="A40" s="57">
        <v>37315</v>
      </c>
      <c r="C40" s="15"/>
      <c r="D40" s="571">
        <v>4475</v>
      </c>
    </row>
    <row r="41" spans="1:4" x14ac:dyDescent="0.25">
      <c r="A41" s="57">
        <v>37321</v>
      </c>
      <c r="C41" s="48"/>
      <c r="D41" s="25">
        <f>+D40+D37</f>
        <v>21494</v>
      </c>
    </row>
    <row r="44" spans="1:4" x14ac:dyDescent="0.25">
      <c r="A44" s="32" t="s">
        <v>149</v>
      </c>
      <c r="B44" s="32"/>
      <c r="C44" s="32"/>
      <c r="D44" s="47"/>
    </row>
    <row r="45" spans="1:4" x14ac:dyDescent="0.25">
      <c r="A45" s="49">
        <f>+A40</f>
        <v>37315</v>
      </c>
      <c r="B45" s="32"/>
      <c r="C45" s="32"/>
      <c r="D45" s="483">
        <v>154736</v>
      </c>
    </row>
    <row r="46" spans="1:4" x14ac:dyDescent="0.25">
      <c r="A46" s="49">
        <f>+A41</f>
        <v>37321</v>
      </c>
      <c r="B46" s="32"/>
      <c r="C46" s="32"/>
      <c r="D46" s="374">
        <f>+D37*'by type_area'!G4</f>
        <v>40505.22</v>
      </c>
    </row>
    <row r="47" spans="1:4" x14ac:dyDescent="0.25">
      <c r="A47" s="32"/>
      <c r="B47" s="32"/>
      <c r="C47" s="32"/>
      <c r="D47" s="200">
        <f>+D46+D45</f>
        <v>195241.22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1" workbookViewId="0">
      <selection activeCell="D41" sqref="D41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239</v>
      </c>
      <c r="C3" s="87"/>
      <c r="D3" s="87"/>
    </row>
    <row r="4" spans="1:4" x14ac:dyDescent="0.25">
      <c r="A4" s="3"/>
      <c r="B4" s="328" t="s">
        <v>238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2.39</v>
      </c>
    </row>
    <row r="39" spans="1:4" x14ac:dyDescent="0.25">
      <c r="D39" s="138">
        <f>+D38*D37</f>
        <v>0</v>
      </c>
    </row>
    <row r="40" spans="1:4" x14ac:dyDescent="0.25">
      <c r="A40" s="57">
        <v>37315</v>
      </c>
      <c r="C40" s="15"/>
      <c r="D40" s="590">
        <v>-191635</v>
      </c>
    </row>
    <row r="41" spans="1:4" x14ac:dyDescent="0.25">
      <c r="A41" s="57">
        <v>37315</v>
      </c>
      <c r="C41" s="48"/>
      <c r="D41" s="138">
        <f>+D40+D39</f>
        <v>-191635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591">
        <v>-45642</v>
      </c>
    </row>
    <row r="47" spans="1:4" x14ac:dyDescent="0.25">
      <c r="A47" s="49">
        <f>+A41</f>
        <v>37315</v>
      </c>
      <c r="B47" s="32"/>
      <c r="C47" s="32"/>
      <c r="D47" s="457">
        <f>+D37</f>
        <v>0</v>
      </c>
    </row>
    <row r="48" spans="1:4" x14ac:dyDescent="0.25">
      <c r="A48" s="32"/>
      <c r="B48" s="32"/>
      <c r="C48" s="32"/>
      <c r="D48" s="14">
        <f>+D47+D46</f>
        <v>-45642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58" t="s">
        <v>240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-269</v>
      </c>
      <c r="C6" s="11">
        <v>-120</v>
      </c>
      <c r="D6" s="11"/>
      <c r="E6" s="11"/>
      <c r="F6" s="11">
        <v>-966</v>
      </c>
      <c r="G6" s="11">
        <v>-644</v>
      </c>
      <c r="H6" s="11"/>
      <c r="I6" s="11"/>
      <c r="J6" s="11">
        <f>+I6+G6+E6+C6-H6-F6-D6-B6</f>
        <v>471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-225</v>
      </c>
      <c r="C7" s="11">
        <v>-120</v>
      </c>
      <c r="D7" s="11"/>
      <c r="E7" s="11"/>
      <c r="F7" s="11">
        <v>-1612</v>
      </c>
      <c r="G7" s="11">
        <v>-644</v>
      </c>
      <c r="H7" s="11"/>
      <c r="I7" s="11"/>
      <c r="J7" s="11">
        <f t="shared" ref="J7:J36" si="0">+I7+G7+E7+C7-H7-F7-D7-B7</f>
        <v>1073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-138</v>
      </c>
      <c r="C8" s="11">
        <v>-120</v>
      </c>
      <c r="D8" s="11"/>
      <c r="E8" s="11"/>
      <c r="F8" s="11">
        <v>-1479</v>
      </c>
      <c r="G8" s="11">
        <v>-644</v>
      </c>
      <c r="H8" s="11"/>
      <c r="I8" s="11"/>
      <c r="J8" s="11">
        <f t="shared" si="0"/>
        <v>853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-120</v>
      </c>
      <c r="C9" s="11">
        <v>-120</v>
      </c>
      <c r="D9" s="11"/>
      <c r="E9" s="11"/>
      <c r="F9" s="11">
        <v>-1283</v>
      </c>
      <c r="G9" s="11">
        <v>-644</v>
      </c>
      <c r="H9" s="11"/>
      <c r="I9" s="11"/>
      <c r="J9" s="11">
        <f t="shared" si="0"/>
        <v>639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-120</v>
      </c>
      <c r="C10" s="11">
        <v>-120</v>
      </c>
      <c r="D10" s="129"/>
      <c r="E10" s="11"/>
      <c r="F10" s="11">
        <v>-962</v>
      </c>
      <c r="G10" s="11">
        <v>-481</v>
      </c>
      <c r="H10" s="11"/>
      <c r="I10" s="11"/>
      <c r="J10" s="11">
        <f t="shared" si="0"/>
        <v>481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-872</v>
      </c>
      <c r="C37" s="11">
        <f t="shared" ref="C37:I37" si="1">SUM(C6:C36)</f>
        <v>-600</v>
      </c>
      <c r="D37" s="11">
        <f t="shared" si="1"/>
        <v>0</v>
      </c>
      <c r="E37" s="11">
        <f t="shared" si="1"/>
        <v>0</v>
      </c>
      <c r="F37" s="11">
        <f t="shared" si="1"/>
        <v>-6302</v>
      </c>
      <c r="G37" s="11">
        <f t="shared" si="1"/>
        <v>-3057</v>
      </c>
      <c r="H37" s="11">
        <f t="shared" si="1"/>
        <v>0</v>
      </c>
      <c r="I37" s="11">
        <f t="shared" si="1"/>
        <v>0</v>
      </c>
      <c r="J37" s="11">
        <f>SUM(J6:J36)</f>
        <v>3517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2.38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8370.4599999999991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37315</v>
      </c>
      <c r="C41" s="25"/>
      <c r="E41" s="25"/>
      <c r="G41" s="25"/>
      <c r="I41" s="25"/>
      <c r="J41" s="573">
        <v>-28064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19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37320</v>
      </c>
      <c r="J43" s="319">
        <f>+J41+J39</f>
        <v>-19693.54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37315</v>
      </c>
      <c r="B48" s="32"/>
      <c r="C48" s="32"/>
      <c r="D48" s="567">
        <v>98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37320</v>
      </c>
      <c r="B49" s="32"/>
      <c r="C49" s="32"/>
      <c r="D49" s="349">
        <f>+J37</f>
        <v>3517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3615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278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280</v>
      </c>
      <c r="C4" s="4"/>
      <c r="D4" s="38" t="s">
        <v>281</v>
      </c>
      <c r="E4" s="4"/>
      <c r="F4" s="38" t="s">
        <v>282</v>
      </c>
      <c r="G4" s="4"/>
      <c r="H4" s="38" t="s">
        <v>283</v>
      </c>
      <c r="I4" s="4"/>
      <c r="J4" s="38" t="s">
        <v>284</v>
      </c>
      <c r="K4" s="4"/>
      <c r="L4" s="38" t="s">
        <v>285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492"/>
      <c r="C6" s="11"/>
      <c r="D6" s="492"/>
      <c r="E6" s="11"/>
      <c r="F6" s="492"/>
      <c r="G6" s="11"/>
      <c r="H6" s="492"/>
      <c r="I6" s="11"/>
      <c r="J6" s="492"/>
      <c r="K6" s="11"/>
      <c r="L6" s="11">
        <v>-802</v>
      </c>
      <c r="M6" s="11">
        <v>-906</v>
      </c>
      <c r="N6" s="11">
        <f>+M6+K6+I6+G6+E6+C6-L6-J6-H6-F6-D6-B6</f>
        <v>-104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492"/>
      <c r="C7" s="11"/>
      <c r="D7" s="492"/>
      <c r="E7" s="11"/>
      <c r="F7" s="492"/>
      <c r="G7" s="11"/>
      <c r="H7" s="492"/>
      <c r="I7" s="11"/>
      <c r="J7" s="492"/>
      <c r="K7" s="11"/>
      <c r="L7" s="11">
        <v>-799</v>
      </c>
      <c r="M7" s="11">
        <v>-906</v>
      </c>
      <c r="N7" s="11">
        <f t="shared" ref="N7:N36" si="0">+M7+K7+I7+G7+E7+C7-L7-J7-H7-F7-D7-B7</f>
        <v>-107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492"/>
      <c r="C8" s="11"/>
      <c r="D8" s="492"/>
      <c r="E8" s="11"/>
      <c r="F8" s="492"/>
      <c r="G8" s="11"/>
      <c r="H8" s="492"/>
      <c r="I8" s="11"/>
      <c r="J8" s="492"/>
      <c r="K8" s="11"/>
      <c r="L8" s="11">
        <v>-812</v>
      </c>
      <c r="M8" s="11">
        <v>-906</v>
      </c>
      <c r="N8" s="11">
        <f t="shared" si="0"/>
        <v>-94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492"/>
      <c r="C9" s="11"/>
      <c r="D9" s="492"/>
      <c r="E9" s="11"/>
      <c r="F9" s="492"/>
      <c r="G9" s="11"/>
      <c r="H9" s="492"/>
      <c r="I9" s="11"/>
      <c r="J9" s="492"/>
      <c r="K9" s="11"/>
      <c r="L9" s="11">
        <v>-801</v>
      </c>
      <c r="M9" s="11">
        <v>-906</v>
      </c>
      <c r="N9" s="11">
        <f t="shared" si="0"/>
        <v>-105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492"/>
      <c r="C10" s="11"/>
      <c r="D10" s="492"/>
      <c r="E10" s="11"/>
      <c r="F10" s="492"/>
      <c r="G10" s="11"/>
      <c r="H10" s="492"/>
      <c r="I10" s="11"/>
      <c r="J10" s="492"/>
      <c r="K10" s="11"/>
      <c r="L10" s="11">
        <v>-684</v>
      </c>
      <c r="M10" s="11">
        <v>-906</v>
      </c>
      <c r="N10" s="11">
        <f t="shared" si="0"/>
        <v>-222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492"/>
      <c r="C11" s="11"/>
      <c r="D11" s="492"/>
      <c r="E11" s="11"/>
      <c r="F11" s="492"/>
      <c r="G11" s="11"/>
      <c r="H11" s="492"/>
      <c r="I11" s="11"/>
      <c r="J11" s="492"/>
      <c r="K11" s="11"/>
      <c r="L11" s="11"/>
      <c r="M11" s="11"/>
      <c r="N11" s="11">
        <f t="shared" si="0"/>
        <v>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492"/>
      <c r="C12" s="11"/>
      <c r="D12" s="492"/>
      <c r="E12" s="11"/>
      <c r="F12" s="492"/>
      <c r="G12" s="11"/>
      <c r="H12" s="492"/>
      <c r="I12" s="11"/>
      <c r="J12" s="492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492"/>
      <c r="C13" s="11"/>
      <c r="D13" s="492"/>
      <c r="E13" s="11"/>
      <c r="F13" s="492"/>
      <c r="G13" s="11"/>
      <c r="H13" s="492"/>
      <c r="I13" s="11"/>
      <c r="J13" s="492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492"/>
      <c r="C14" s="11"/>
      <c r="D14" s="492"/>
      <c r="E14" s="11"/>
      <c r="F14" s="492"/>
      <c r="G14" s="11"/>
      <c r="H14" s="492"/>
      <c r="I14" s="11"/>
      <c r="J14" s="492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492"/>
      <c r="C15" s="11"/>
      <c r="D15" s="492"/>
      <c r="E15" s="11"/>
      <c r="F15" s="492"/>
      <c r="G15" s="11"/>
      <c r="H15" s="492"/>
      <c r="I15" s="11"/>
      <c r="J15" s="492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492"/>
      <c r="C16" s="11"/>
      <c r="D16" s="492"/>
      <c r="E16" s="11"/>
      <c r="F16" s="492"/>
      <c r="G16" s="11"/>
      <c r="H16" s="492"/>
      <c r="I16" s="11"/>
      <c r="J16" s="492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492"/>
      <c r="C17" s="11"/>
      <c r="D17" s="492"/>
      <c r="E17" s="11"/>
      <c r="F17" s="492"/>
      <c r="G17" s="11"/>
      <c r="H17" s="492"/>
      <c r="I17" s="11"/>
      <c r="J17" s="492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492"/>
      <c r="C18" s="11"/>
      <c r="D18" s="492"/>
      <c r="E18" s="11"/>
      <c r="F18" s="492"/>
      <c r="G18" s="11"/>
      <c r="H18" s="492"/>
      <c r="I18" s="11"/>
      <c r="J18" s="492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492"/>
      <c r="C19" s="11"/>
      <c r="D19" s="492"/>
      <c r="E19" s="11"/>
      <c r="F19" s="492"/>
      <c r="G19" s="11"/>
      <c r="H19" s="492"/>
      <c r="I19" s="11"/>
      <c r="J19" s="492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492"/>
      <c r="C20" s="11"/>
      <c r="D20" s="492"/>
      <c r="E20" s="11"/>
      <c r="F20" s="492"/>
      <c r="G20" s="11"/>
      <c r="H20" s="492"/>
      <c r="I20" s="11"/>
      <c r="J20" s="492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492"/>
      <c r="C21" s="11"/>
      <c r="D21" s="492"/>
      <c r="E21" s="11"/>
      <c r="F21" s="492"/>
      <c r="G21" s="11"/>
      <c r="H21" s="492"/>
      <c r="I21" s="11"/>
      <c r="J21" s="492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492"/>
      <c r="C22" s="11"/>
      <c r="D22" s="492"/>
      <c r="E22" s="11"/>
      <c r="F22" s="492"/>
      <c r="G22" s="11"/>
      <c r="H22" s="492"/>
      <c r="I22" s="11"/>
      <c r="J22" s="492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492"/>
      <c r="C23" s="11"/>
      <c r="D23" s="492"/>
      <c r="E23" s="11"/>
      <c r="F23" s="492"/>
      <c r="G23" s="11"/>
      <c r="H23" s="492"/>
      <c r="I23" s="11"/>
      <c r="J23" s="492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492"/>
      <c r="C24" s="11"/>
      <c r="D24" s="492"/>
      <c r="E24" s="11"/>
      <c r="F24" s="492"/>
      <c r="G24" s="11"/>
      <c r="H24" s="492"/>
      <c r="I24" s="11"/>
      <c r="J24" s="492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492"/>
      <c r="C25" s="11"/>
      <c r="D25" s="492"/>
      <c r="E25" s="11"/>
      <c r="F25" s="492"/>
      <c r="G25" s="11"/>
      <c r="H25" s="492"/>
      <c r="I25" s="11"/>
      <c r="J25" s="492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492"/>
      <c r="C26" s="11"/>
      <c r="D26" s="492"/>
      <c r="E26" s="11"/>
      <c r="F26" s="492"/>
      <c r="G26" s="11"/>
      <c r="H26" s="492"/>
      <c r="I26" s="11"/>
      <c r="J26" s="492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492"/>
      <c r="C27" s="11"/>
      <c r="D27" s="492"/>
      <c r="E27" s="11"/>
      <c r="F27" s="492"/>
      <c r="G27" s="11"/>
      <c r="H27" s="492"/>
      <c r="I27" s="11"/>
      <c r="J27" s="492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492"/>
      <c r="C28" s="11"/>
      <c r="D28" s="492"/>
      <c r="E28" s="11"/>
      <c r="F28" s="492"/>
      <c r="G28" s="11"/>
      <c r="H28" s="492"/>
      <c r="I28" s="11"/>
      <c r="J28" s="492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492"/>
      <c r="C29" s="11"/>
      <c r="D29" s="492"/>
      <c r="E29" s="11"/>
      <c r="F29" s="492"/>
      <c r="G29" s="11"/>
      <c r="H29" s="492"/>
      <c r="I29" s="11"/>
      <c r="J29" s="492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492"/>
      <c r="C30" s="11"/>
      <c r="D30" s="492"/>
      <c r="E30" s="11"/>
      <c r="F30" s="492"/>
      <c r="G30" s="11"/>
      <c r="H30" s="492"/>
      <c r="I30" s="11"/>
      <c r="J30" s="492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-3898</v>
      </c>
      <c r="M37" s="11">
        <f>SUM(M6:M36)</f>
        <v>-4530</v>
      </c>
      <c r="N37" s="11">
        <f t="shared" si="1"/>
        <v>-632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2.38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-1504.1599999999999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37315</v>
      </c>
      <c r="C41" s="25"/>
      <c r="E41" s="25"/>
      <c r="G41" s="25"/>
      <c r="I41" s="25"/>
      <c r="K41" s="25"/>
      <c r="M41" s="25"/>
      <c r="N41" s="484">
        <v>20990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19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37320</v>
      </c>
      <c r="N43" s="319">
        <f>+N41+N39</f>
        <v>19485.84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37315</v>
      </c>
      <c r="B48" s="32"/>
      <c r="C48" s="32"/>
      <c r="D48" s="485">
        <v>6566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37320</v>
      </c>
      <c r="B49" s="32"/>
      <c r="C49" s="32"/>
      <c r="D49" s="349">
        <f>+N37</f>
        <v>-632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5934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" workbookViewId="0">
      <selection activeCell="B13" sqref="B13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204</v>
      </c>
      <c r="C3" s="87"/>
      <c r="D3" s="87"/>
    </row>
    <row r="4" spans="1:4" x14ac:dyDescent="0.25">
      <c r="A4" s="3"/>
      <c r="B4" s="328" t="s">
        <v>205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260</v>
      </c>
      <c r="C6" s="11">
        <v>78</v>
      </c>
      <c r="D6" s="25">
        <f>+C6-B6</f>
        <v>-182</v>
      </c>
    </row>
    <row r="7" spans="1:4" x14ac:dyDescent="0.25">
      <c r="A7" s="10">
        <v>2</v>
      </c>
      <c r="B7" s="11">
        <v>65</v>
      </c>
      <c r="C7" s="11">
        <v>145</v>
      </c>
      <c r="D7" s="25">
        <f t="shared" ref="D7:D36" si="0">+C7-B7</f>
        <v>80</v>
      </c>
    </row>
    <row r="8" spans="1:4" x14ac:dyDescent="0.25">
      <c r="A8" s="10">
        <v>3</v>
      </c>
      <c r="B8" s="129">
        <v>178</v>
      </c>
      <c r="C8" s="11">
        <v>145</v>
      </c>
      <c r="D8" s="25">
        <f t="shared" si="0"/>
        <v>-33</v>
      </c>
    </row>
    <row r="9" spans="1:4" x14ac:dyDescent="0.25">
      <c r="A9" s="10">
        <v>4</v>
      </c>
      <c r="B9" s="129">
        <v>158</v>
      </c>
      <c r="C9" s="11">
        <v>150</v>
      </c>
      <c r="D9" s="25">
        <f t="shared" si="0"/>
        <v>-8</v>
      </c>
    </row>
    <row r="10" spans="1:4" x14ac:dyDescent="0.25">
      <c r="A10" s="10">
        <v>5</v>
      </c>
      <c r="B10" s="129">
        <v>173</v>
      </c>
      <c r="C10" s="11">
        <v>150</v>
      </c>
      <c r="D10" s="25">
        <f t="shared" si="0"/>
        <v>-23</v>
      </c>
    </row>
    <row r="11" spans="1:4" x14ac:dyDescent="0.25">
      <c r="A11" s="10">
        <v>6</v>
      </c>
      <c r="B11" s="129">
        <v>294</v>
      </c>
      <c r="C11" s="11">
        <v>150</v>
      </c>
      <c r="D11" s="25">
        <f t="shared" si="0"/>
        <v>-144</v>
      </c>
    </row>
    <row r="12" spans="1:4" x14ac:dyDescent="0.25">
      <c r="A12" s="10">
        <v>7</v>
      </c>
      <c r="B12" s="129">
        <v>185</v>
      </c>
      <c r="C12" s="11">
        <v>150</v>
      </c>
      <c r="D12" s="25">
        <f t="shared" si="0"/>
        <v>-35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1313</v>
      </c>
      <c r="C37" s="11">
        <f>SUM(C6:C36)</f>
        <v>968</v>
      </c>
      <c r="D37" s="25">
        <f>SUM(D6:D36)</f>
        <v>-345</v>
      </c>
    </row>
    <row r="38" spans="1:4" x14ac:dyDescent="0.25">
      <c r="A38" s="26"/>
      <c r="C38" s="14"/>
      <c r="D38" s="326">
        <f>+summary!G5</f>
        <v>2.39</v>
      </c>
    </row>
    <row r="39" spans="1:4" x14ac:dyDescent="0.25">
      <c r="D39" s="138">
        <f>+D38*D37</f>
        <v>-824.55000000000007</v>
      </c>
    </row>
    <row r="40" spans="1:4" x14ac:dyDescent="0.25">
      <c r="A40" s="57">
        <v>37315</v>
      </c>
      <c r="C40" s="15"/>
      <c r="D40" s="590">
        <v>171935</v>
      </c>
    </row>
    <row r="41" spans="1:4" x14ac:dyDescent="0.25">
      <c r="A41" s="57">
        <v>37321</v>
      </c>
      <c r="C41" s="48"/>
      <c r="D41" s="138">
        <f>+D40+D39</f>
        <v>171110.45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591">
        <v>75136</v>
      </c>
    </row>
    <row r="47" spans="1:4" x14ac:dyDescent="0.25">
      <c r="A47" s="49">
        <f>+A41</f>
        <v>37321</v>
      </c>
      <c r="B47" s="32"/>
      <c r="C47" s="32"/>
      <c r="D47" s="349">
        <f>+D37</f>
        <v>-345</v>
      </c>
    </row>
    <row r="48" spans="1:4" x14ac:dyDescent="0.25">
      <c r="A48" s="32"/>
      <c r="B48" s="32"/>
      <c r="C48" s="32"/>
      <c r="D48" s="14">
        <f>+D47+D46</f>
        <v>74791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207</v>
      </c>
      <c r="C3" s="87"/>
      <c r="D3" s="87"/>
    </row>
    <row r="4" spans="1:4" x14ac:dyDescent="0.25">
      <c r="A4" s="3"/>
      <c r="B4" s="328" t="s">
        <v>208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14</v>
      </c>
      <c r="C6" s="11">
        <v>429</v>
      </c>
      <c r="D6" s="25">
        <f>+C6-B6</f>
        <v>415</v>
      </c>
    </row>
    <row r="7" spans="1:4" x14ac:dyDescent="0.25">
      <c r="A7" s="10">
        <v>2</v>
      </c>
      <c r="B7" s="11">
        <v>39</v>
      </c>
      <c r="C7" s="11">
        <v>429</v>
      </c>
      <c r="D7" s="25">
        <f t="shared" ref="D7:D36" si="0">+C7-B7</f>
        <v>390</v>
      </c>
    </row>
    <row r="8" spans="1:4" x14ac:dyDescent="0.25">
      <c r="A8" s="10">
        <v>3</v>
      </c>
      <c r="B8" s="129">
        <v>3</v>
      </c>
      <c r="C8" s="11">
        <v>429</v>
      </c>
      <c r="D8" s="25">
        <f t="shared" si="0"/>
        <v>426</v>
      </c>
    </row>
    <row r="9" spans="1:4" x14ac:dyDescent="0.25">
      <c r="A9" s="10">
        <v>4</v>
      </c>
      <c r="B9" s="129"/>
      <c r="C9" s="11">
        <v>429</v>
      </c>
      <c r="D9" s="25">
        <f t="shared" si="0"/>
        <v>429</v>
      </c>
    </row>
    <row r="10" spans="1:4" x14ac:dyDescent="0.25">
      <c r="A10" s="10">
        <v>5</v>
      </c>
      <c r="B10" s="129"/>
      <c r="C10" s="11">
        <v>247</v>
      </c>
      <c r="D10" s="25">
        <f t="shared" si="0"/>
        <v>247</v>
      </c>
    </row>
    <row r="11" spans="1:4" x14ac:dyDescent="0.25">
      <c r="A11" s="10">
        <v>6</v>
      </c>
      <c r="B11" s="129"/>
      <c r="C11" s="11">
        <v>388</v>
      </c>
      <c r="D11" s="25">
        <f t="shared" si="0"/>
        <v>388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56</v>
      </c>
      <c r="C37" s="11">
        <f>SUM(C6:C36)</f>
        <v>2351</v>
      </c>
      <c r="D37" s="25">
        <f>SUM(D6:D36)</f>
        <v>2295</v>
      </c>
    </row>
    <row r="38" spans="1:4" x14ac:dyDescent="0.25">
      <c r="A38" s="26"/>
      <c r="C38" s="14"/>
      <c r="D38" s="326">
        <f>+summary!G5</f>
        <v>2.39</v>
      </c>
    </row>
    <row r="39" spans="1:4" x14ac:dyDescent="0.25">
      <c r="D39" s="138">
        <f>+D38*D37</f>
        <v>5485.05</v>
      </c>
    </row>
    <row r="40" spans="1:4" x14ac:dyDescent="0.25">
      <c r="A40" s="57">
        <v>37315</v>
      </c>
      <c r="C40" s="15"/>
      <c r="D40" s="590">
        <v>1032</v>
      </c>
    </row>
    <row r="41" spans="1:4" x14ac:dyDescent="0.25">
      <c r="A41" s="57">
        <v>37321</v>
      </c>
      <c r="C41" s="48"/>
      <c r="D41" s="138">
        <f>+D40+D39</f>
        <v>6517.05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591">
        <v>487</v>
      </c>
    </row>
    <row r="47" spans="1:4" x14ac:dyDescent="0.25">
      <c r="A47" s="49">
        <f>+A41</f>
        <v>37321</v>
      </c>
      <c r="B47" s="32"/>
      <c r="C47" s="32"/>
      <c r="D47" s="349">
        <f>+D37</f>
        <v>2295</v>
      </c>
    </row>
    <row r="48" spans="1:4" x14ac:dyDescent="0.25">
      <c r="A48" s="32"/>
      <c r="B48" s="32"/>
      <c r="C48" s="32"/>
      <c r="D48" s="14">
        <f>+D47+D46</f>
        <v>2782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7" workbookViewId="0">
      <selection activeCell="E47" sqref="E47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  <col min="11" max="11" width="9.5546875" bestFit="1" customWidth="1"/>
    <col min="12" max="12" width="10.44140625" bestFit="1" customWidth="1"/>
    <col min="13" max="14" width="9.5546875" bestFit="1" customWidth="1"/>
    <col min="16" max="16" width="9.88671875" style="2" bestFit="1" customWidth="1"/>
  </cols>
  <sheetData>
    <row r="2" spans="1:33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5">
      <c r="A5" s="41">
        <v>1</v>
      </c>
      <c r="B5" s="11">
        <v>-52125</v>
      </c>
      <c r="C5" s="11">
        <v>-53717</v>
      </c>
      <c r="D5" s="11">
        <v>-55029</v>
      </c>
      <c r="E5" s="11">
        <v>-54300</v>
      </c>
      <c r="F5" s="11">
        <f>+C5-B5+E5-D5</f>
        <v>-863</v>
      </c>
      <c r="G5" s="41"/>
      <c r="H5" s="11"/>
      <c r="I5" s="11"/>
    </row>
    <row r="6" spans="1:33" x14ac:dyDescent="0.25">
      <c r="A6" s="41">
        <v>2</v>
      </c>
      <c r="B6" s="11">
        <v>-29081</v>
      </c>
      <c r="C6" s="11">
        <v>-34217</v>
      </c>
      <c r="D6" s="11">
        <v>-38945</v>
      </c>
      <c r="E6" s="11">
        <v>-44300</v>
      </c>
      <c r="F6" s="11">
        <f t="shared" ref="F6:F35" si="0">+C6-B6+E6-D6</f>
        <v>-10491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5">
      <c r="A7" s="41">
        <v>3</v>
      </c>
      <c r="B7" s="11">
        <v>-29493</v>
      </c>
      <c r="C7" s="11">
        <v>-34217</v>
      </c>
      <c r="D7" s="11">
        <v>-38994</v>
      </c>
      <c r="E7" s="11">
        <v>-44300</v>
      </c>
      <c r="F7" s="11">
        <f t="shared" si="0"/>
        <v>-10030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5">
      <c r="A8" s="41">
        <v>4</v>
      </c>
      <c r="B8" s="11">
        <v>-34243</v>
      </c>
      <c r="C8" s="11">
        <v>-34217</v>
      </c>
      <c r="D8" s="11">
        <v>-44589</v>
      </c>
      <c r="E8" s="11">
        <v>-44300</v>
      </c>
      <c r="F8" s="11">
        <f t="shared" si="0"/>
        <v>315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307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4.4" x14ac:dyDescent="0.35">
      <c r="A9" s="41">
        <v>5</v>
      </c>
      <c r="B9" s="11">
        <v>-35013</v>
      </c>
      <c r="C9" s="11">
        <v>-34999</v>
      </c>
      <c r="D9" s="11">
        <v>-83970</v>
      </c>
      <c r="E9" s="11">
        <v>-84034</v>
      </c>
      <c r="F9" s="11">
        <f t="shared" si="0"/>
        <v>-50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0" t="s">
        <v>49</v>
      </c>
      <c r="P9" s="56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5">
      <c r="A10" s="41">
        <v>6</v>
      </c>
      <c r="B10" s="11">
        <v>-40997</v>
      </c>
      <c r="C10" s="11">
        <v>-40802</v>
      </c>
      <c r="D10" s="11">
        <v>-22132</v>
      </c>
      <c r="E10" s="11">
        <v>-22504</v>
      </c>
      <c r="F10" s="11">
        <f t="shared" si="0"/>
        <v>-177</v>
      </c>
      <c r="G10" s="41"/>
      <c r="H10" s="43"/>
      <c r="I10" s="43"/>
      <c r="J10" s="101">
        <v>36861</v>
      </c>
      <c r="K10" s="2" t="s">
        <v>306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5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5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5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5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308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5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5">
      <c r="A36" s="41"/>
      <c r="B36" s="11">
        <f>SUM(B5:B35)</f>
        <v>-220952</v>
      </c>
      <c r="C36" s="44">
        <f>SUM(C5:C35)</f>
        <v>-232169</v>
      </c>
      <c r="D36" s="43">
        <f>SUM(D5:D35)</f>
        <v>-283659</v>
      </c>
      <c r="E36" s="43">
        <f>SUM(E5:E35)</f>
        <v>-293738</v>
      </c>
      <c r="F36" s="11">
        <f>SUM(F5:F35)</f>
        <v>-21296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5">
      <c r="A39" s="32"/>
      <c r="B39" s="32"/>
      <c r="C39" s="15"/>
      <c r="D39" s="15"/>
      <c r="E39" s="15"/>
      <c r="F39" s="489">
        <f>+summary!G5</f>
        <v>2.39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5">
      <c r="A40" s="32"/>
      <c r="B40" s="32"/>
      <c r="C40" s="48"/>
      <c r="D40" s="47"/>
      <c r="E40" s="48"/>
      <c r="F40" s="46">
        <f>+F39*F36</f>
        <v>-50897.440000000002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5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5">
      <c r="A42" s="57">
        <v>37315</v>
      </c>
      <c r="B42" s="32"/>
      <c r="C42" s="460"/>
      <c r="D42" s="111"/>
      <c r="E42" s="460"/>
      <c r="F42" s="565">
        <v>53045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5">
      <c r="A43" s="57">
        <v>37321</v>
      </c>
      <c r="B43" s="32"/>
      <c r="C43" s="106"/>
      <c r="D43" s="106"/>
      <c r="E43" s="106"/>
      <c r="F43" s="24">
        <f>+F42+F36</f>
        <v>31749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5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5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5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5">
      <c r="A47" s="32" t="s">
        <v>290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5">
      <c r="A48" s="49">
        <f>+A42</f>
        <v>37315</v>
      </c>
      <c r="B48" s="32"/>
      <c r="C48" s="32"/>
      <c r="D48" s="566">
        <v>90293.96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5">
      <c r="A49" s="49">
        <f>+A43</f>
        <v>37321</v>
      </c>
      <c r="B49" s="32"/>
      <c r="C49" s="32"/>
      <c r="D49" s="76">
        <f>+F36</f>
        <v>-21296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5">
      <c r="A50" s="32"/>
      <c r="B50" s="32"/>
      <c r="C50" s="32"/>
      <c r="D50" s="75">
        <f>+D49+D48</f>
        <v>68997.960000000006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5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5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5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5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5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5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5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5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5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5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5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5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5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5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5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5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5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5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5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5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5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5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5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5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5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5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5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5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5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5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5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5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5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5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5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5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5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5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5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5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5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5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5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5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5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5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5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5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5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5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5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5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5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5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5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5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5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5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5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5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5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5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5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5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5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5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5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5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5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5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5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5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5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5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5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5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5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5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5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5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5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5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5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5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5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5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5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5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5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5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5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5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5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5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5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5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5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5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5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5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5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5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5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5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5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5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5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5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5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5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5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5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5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5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5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5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5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5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5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5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5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5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5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5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5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5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5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5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5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5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5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5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5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5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5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5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5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5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5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5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5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5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5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5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5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5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5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5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5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5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5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5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5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5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5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5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5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5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5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5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5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5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5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5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5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5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5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5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5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5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5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5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5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5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212</v>
      </c>
      <c r="C3" s="208"/>
      <c r="D3" s="444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-2089</v>
      </c>
      <c r="C6" s="24">
        <v>-1963</v>
      </c>
      <c r="D6" s="24">
        <v>-2500</v>
      </c>
      <c r="E6" s="24">
        <v>-2000</v>
      </c>
      <c r="F6" s="24">
        <f>+C6+E6-B6-D6</f>
        <v>626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-2301</v>
      </c>
      <c r="C7" s="24">
        <v>-1963</v>
      </c>
      <c r="D7" s="24">
        <v>-860</v>
      </c>
      <c r="E7" s="24">
        <v>-2000</v>
      </c>
      <c r="F7" s="24">
        <f t="shared" ref="F7:F36" si="0">+C7+E7-B7-D7</f>
        <v>-802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-2292</v>
      </c>
      <c r="C8" s="24">
        <v>-1963</v>
      </c>
      <c r="D8" s="24">
        <v>-955</v>
      </c>
      <c r="E8" s="24">
        <v>-2000</v>
      </c>
      <c r="F8" s="24">
        <f t="shared" si="0"/>
        <v>-716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-2253</v>
      </c>
      <c r="C9" s="24">
        <v>-1963</v>
      </c>
      <c r="D9" s="51">
        <v>-2405</v>
      </c>
      <c r="E9" s="24">
        <v>-2000</v>
      </c>
      <c r="F9" s="24">
        <f t="shared" si="0"/>
        <v>695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-1124</v>
      </c>
      <c r="C10" s="24">
        <v>-1963</v>
      </c>
      <c r="D10" s="51">
        <v>-2271</v>
      </c>
      <c r="E10" s="24">
        <v>-2000</v>
      </c>
      <c r="F10" s="24">
        <f t="shared" si="0"/>
        <v>-568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-2011</v>
      </c>
      <c r="C11" s="24">
        <v>-1963</v>
      </c>
      <c r="D11" s="24">
        <v>-2203</v>
      </c>
      <c r="E11" s="24">
        <v>-2000</v>
      </c>
      <c r="F11" s="24">
        <f t="shared" si="0"/>
        <v>251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-12070</v>
      </c>
      <c r="C37" s="24">
        <f>SUM(C6:C36)</f>
        <v>-11778</v>
      </c>
      <c r="D37" s="24">
        <f>SUM(D6:D36)</f>
        <v>-11194</v>
      </c>
      <c r="E37" s="24">
        <f>SUM(E6:E36)</f>
        <v>-12000</v>
      </c>
      <c r="F37" s="24">
        <f>SUM(F6:F36)</f>
        <v>-514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2.38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-1223.32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37315</v>
      </c>
      <c r="C40" s="319"/>
      <c r="D40" s="262"/>
      <c r="E40" s="262"/>
      <c r="F40" s="568">
        <v>-121179.26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37321</v>
      </c>
      <c r="C41" s="319"/>
      <c r="D41" s="262"/>
      <c r="E41" s="262"/>
      <c r="F41" s="104">
        <f>+F40+F39</f>
        <v>-122402.58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7">
        <v>-35044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37321</v>
      </c>
      <c r="B47" s="32"/>
      <c r="C47" s="32"/>
      <c r="D47" s="349">
        <f>+F37</f>
        <v>-514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-35558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29" workbookViewId="0">
      <selection activeCell="A48" sqref="A48"/>
    </sheetView>
  </sheetViews>
  <sheetFormatPr defaultColWidth="9.109375" defaultRowHeight="10.199999999999999" outlineLevelRow="2" x14ac:dyDescent="0.2"/>
  <cols>
    <col min="1" max="1" width="8.109375" style="2" customWidth="1"/>
    <col min="2" max="2" width="9.5546875" style="12" bestFit="1" customWidth="1"/>
    <col min="3" max="3" width="7.44140625" style="137" bestFit="1" customWidth="1"/>
    <col min="4" max="4" width="11.44140625" style="14" customWidth="1"/>
    <col min="5" max="5" width="7" style="75" bestFit="1" customWidth="1"/>
    <col min="6" max="6" width="11.6640625" style="32" customWidth="1"/>
    <col min="7" max="7" width="7" style="14" bestFit="1" customWidth="1"/>
    <col min="8" max="8" width="9.33203125" style="14" customWidth="1"/>
    <col min="9" max="9" width="7" style="14" bestFit="1" customWidth="1"/>
    <col min="10" max="10" width="10.109375" style="32" bestFit="1" customWidth="1"/>
    <col min="11" max="11" width="7" style="32" bestFit="1" customWidth="1"/>
    <col min="12" max="12" width="9.109375" style="32"/>
    <col min="13" max="13" width="7" style="32" bestFit="1" customWidth="1"/>
    <col min="14" max="14" width="9.109375" style="32"/>
    <col min="15" max="15" width="7" style="32" bestFit="1" customWidth="1"/>
    <col min="16" max="16" width="10.1093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220</v>
      </c>
      <c r="C3" s="208"/>
      <c r="D3" s="444" t="s">
        <v>222</v>
      </c>
      <c r="E3" s="207"/>
      <c r="F3" s="444" t="s">
        <v>224</v>
      </c>
      <c r="G3" s="207"/>
      <c r="H3" s="444" t="s">
        <v>226</v>
      </c>
      <c r="I3" s="207"/>
      <c r="J3" s="444" t="s">
        <v>228</v>
      </c>
      <c r="K3" s="207"/>
      <c r="L3" s="444" t="s">
        <v>230</v>
      </c>
      <c r="M3" s="207"/>
      <c r="N3" s="444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312</v>
      </c>
      <c r="D5" s="121" t="s">
        <v>19</v>
      </c>
      <c r="E5" s="121" t="s">
        <v>312</v>
      </c>
      <c r="F5" s="121" t="s">
        <v>19</v>
      </c>
      <c r="G5" s="121" t="s">
        <v>312</v>
      </c>
      <c r="H5" s="121" t="s">
        <v>19</v>
      </c>
      <c r="I5" s="121" t="s">
        <v>312</v>
      </c>
      <c r="J5" s="121" t="s">
        <v>19</v>
      </c>
      <c r="K5" s="121" t="s">
        <v>312</v>
      </c>
      <c r="L5" s="121" t="s">
        <v>19</v>
      </c>
      <c r="M5" s="121" t="s">
        <v>312</v>
      </c>
      <c r="N5" s="121" t="s">
        <v>19</v>
      </c>
      <c r="O5" s="121" t="s">
        <v>312</v>
      </c>
      <c r="P5" s="58" t="s">
        <v>44</v>
      </c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-3728</v>
      </c>
      <c r="C6" s="24">
        <v>-3387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316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-3766</v>
      </c>
      <c r="C7" s="24">
        <v>-3387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354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-3707</v>
      </c>
      <c r="C8" s="24">
        <v>-3387</v>
      </c>
      <c r="D8" s="24">
        <v>-4</v>
      </c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299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-3545</v>
      </c>
      <c r="C9" s="24">
        <v>-3387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133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-3507</v>
      </c>
      <c r="C10" s="24">
        <v>-1910</v>
      </c>
      <c r="D10" s="51">
        <v>-14</v>
      </c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1586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-3453</v>
      </c>
      <c r="C11" s="24">
        <v>-1910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1518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4.1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4.1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4.1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4.1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4.1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4.1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4.1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4.1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4.1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4.1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4.1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4.1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4.1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4.1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4.1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4.1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4.1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4.1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4.1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4.1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4.1" customHeight="1" x14ac:dyDescent="0.2">
      <c r="A37" s="12"/>
      <c r="B37" s="24">
        <f t="shared" ref="B37:P37" si="1">SUM(B6:B36)</f>
        <v>-21706</v>
      </c>
      <c r="C37" s="24">
        <f t="shared" si="1"/>
        <v>-17368</v>
      </c>
      <c r="D37" s="24">
        <f t="shared" si="1"/>
        <v>-18</v>
      </c>
      <c r="E37" s="24">
        <f t="shared" si="1"/>
        <v>-150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4206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4.1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2.38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4.1" customHeight="1" outlineLevel="2" x14ac:dyDescent="0.2">
      <c r="A39" s="58"/>
      <c r="E39" s="14"/>
      <c r="O39" s="441"/>
      <c r="P39" s="104">
        <f>+P38*P37</f>
        <v>10010.279999999999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4.1" customHeight="1" outlineLevel="1" x14ac:dyDescent="0.2">
      <c r="A40" s="391">
        <v>37315</v>
      </c>
      <c r="E40" s="14"/>
      <c r="O40" s="441"/>
      <c r="P40" s="568">
        <v>141715.48000000001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4.1" customHeight="1" x14ac:dyDescent="0.2">
      <c r="A41" s="615">
        <v>37321</v>
      </c>
      <c r="E41" s="14"/>
      <c r="O41" s="441"/>
      <c r="P41" s="104">
        <f>+P40+P39</f>
        <v>151725.76000000001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37315</v>
      </c>
      <c r="B46" s="32"/>
      <c r="C46" s="32"/>
      <c r="D46" s="567">
        <v>61661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37321</v>
      </c>
      <c r="B47" s="32"/>
      <c r="C47" s="32"/>
      <c r="D47" s="349">
        <f>+P37</f>
        <v>4206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65867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D52" s="201">
        <f>+P41/D48</f>
        <v>2.3035170874641322</v>
      </c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C12" sqref="C1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275</v>
      </c>
      <c r="C3" s="87"/>
      <c r="D3" s="87"/>
    </row>
    <row r="4" spans="1:4" x14ac:dyDescent="0.25">
      <c r="A4" s="3"/>
      <c r="B4" s="328" t="s">
        <v>274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-14215</v>
      </c>
      <c r="C6" s="11">
        <v>-14000</v>
      </c>
      <c r="D6" s="25">
        <f>+C6-B6</f>
        <v>215</v>
      </c>
    </row>
    <row r="7" spans="1:4" x14ac:dyDescent="0.25">
      <c r="A7" s="10">
        <v>2</v>
      </c>
      <c r="B7" s="11">
        <v>-14170</v>
      </c>
      <c r="C7" s="11">
        <v>-14000</v>
      </c>
      <c r="D7" s="25">
        <f t="shared" ref="D7:D36" si="0">+C7-B7</f>
        <v>170</v>
      </c>
    </row>
    <row r="8" spans="1:4" x14ac:dyDescent="0.25">
      <c r="A8" s="10">
        <v>3</v>
      </c>
      <c r="B8" s="129">
        <v>-14559</v>
      </c>
      <c r="C8" s="11">
        <v>-14000</v>
      </c>
      <c r="D8" s="25">
        <f t="shared" si="0"/>
        <v>559</v>
      </c>
    </row>
    <row r="9" spans="1:4" x14ac:dyDescent="0.25">
      <c r="A9" s="10">
        <v>4</v>
      </c>
      <c r="B9" s="129">
        <v>-13643</v>
      </c>
      <c r="C9" s="11">
        <v>-14000</v>
      </c>
      <c r="D9" s="25">
        <f t="shared" si="0"/>
        <v>-357</v>
      </c>
    </row>
    <row r="10" spans="1:4" x14ac:dyDescent="0.25">
      <c r="A10" s="10">
        <v>5</v>
      </c>
      <c r="B10" s="129">
        <v>-29174</v>
      </c>
      <c r="C10" s="11">
        <v>-29194</v>
      </c>
      <c r="D10" s="25">
        <f t="shared" si="0"/>
        <v>-20</v>
      </c>
    </row>
    <row r="11" spans="1:4" x14ac:dyDescent="0.25">
      <c r="A11" s="10">
        <v>6</v>
      </c>
      <c r="B11" s="129">
        <v>-29132</v>
      </c>
      <c r="C11" s="11">
        <v>-28461</v>
      </c>
      <c r="D11" s="25">
        <f t="shared" si="0"/>
        <v>671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29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-114893</v>
      </c>
      <c r="C37" s="11">
        <f>SUM(C6:C36)</f>
        <v>-113655</v>
      </c>
      <c r="D37" s="25">
        <f>SUM(D6:D36)</f>
        <v>1238</v>
      </c>
    </row>
    <row r="38" spans="1:4" x14ac:dyDescent="0.25">
      <c r="A38" s="26"/>
      <c r="C38" s="14"/>
      <c r="D38" s="326">
        <f>+summary!G4</f>
        <v>2.38</v>
      </c>
    </row>
    <row r="39" spans="1:4" x14ac:dyDescent="0.25">
      <c r="D39" s="138">
        <f>+D38*D37</f>
        <v>2946.44</v>
      </c>
    </row>
    <row r="40" spans="1:4" x14ac:dyDescent="0.25">
      <c r="A40" s="57">
        <v>37315</v>
      </c>
      <c r="C40" s="15"/>
      <c r="D40" s="590">
        <v>-11774</v>
      </c>
    </row>
    <row r="41" spans="1:4" x14ac:dyDescent="0.25">
      <c r="A41" s="57">
        <v>37321</v>
      </c>
      <c r="C41" s="48"/>
      <c r="D41" s="138">
        <f>+D40+D39</f>
        <v>-8827.56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591">
        <v>7289</v>
      </c>
    </row>
    <row r="47" spans="1:4" x14ac:dyDescent="0.25">
      <c r="A47" s="49">
        <f>+A41</f>
        <v>37321</v>
      </c>
      <c r="B47" s="32"/>
      <c r="C47" s="32"/>
      <c r="D47" s="349">
        <f>+D37</f>
        <v>1238</v>
      </c>
    </row>
    <row r="48" spans="1:4" x14ac:dyDescent="0.25">
      <c r="A48" s="32"/>
      <c r="B48" s="32"/>
      <c r="C48" s="32"/>
      <c r="D48" s="14">
        <f>+D47+D46</f>
        <v>8527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topLeftCell="A30" workbookViewId="0">
      <selection activeCell="D51" sqref="D51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294</v>
      </c>
      <c r="C3" s="87"/>
      <c r="D3" s="87"/>
    </row>
    <row r="4" spans="1:4" x14ac:dyDescent="0.25">
      <c r="A4" s="3"/>
      <c r="B4" s="328" t="s">
        <v>295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5" x14ac:dyDescent="0.25">
      <c r="A33" s="10">
        <v>28</v>
      </c>
      <c r="B33" s="11"/>
      <c r="C33" s="11"/>
      <c r="D33" s="25">
        <f t="shared" si="0"/>
        <v>0</v>
      </c>
    </row>
    <row r="34" spans="1:5" x14ac:dyDescent="0.25">
      <c r="A34" s="10">
        <v>29</v>
      </c>
      <c r="B34" s="11"/>
      <c r="C34" s="11"/>
      <c r="D34" s="25">
        <f t="shared" si="0"/>
        <v>0</v>
      </c>
    </row>
    <row r="35" spans="1:5" x14ac:dyDescent="0.25">
      <c r="A35" s="10">
        <v>30</v>
      </c>
      <c r="B35" s="11"/>
      <c r="C35" s="11"/>
      <c r="D35" s="25">
        <f t="shared" si="0"/>
        <v>0</v>
      </c>
    </row>
    <row r="36" spans="1:5" x14ac:dyDescent="0.25">
      <c r="A36" s="10">
        <v>31</v>
      </c>
      <c r="B36" s="11"/>
      <c r="C36" s="11"/>
      <c r="D36" s="25">
        <f t="shared" si="0"/>
        <v>0</v>
      </c>
    </row>
    <row r="37" spans="1:5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5">
      <c r="A38" s="26"/>
      <c r="C38" s="14"/>
      <c r="D38" s="326">
        <f>+summary!G5</f>
        <v>2.39</v>
      </c>
    </row>
    <row r="39" spans="1:5" x14ac:dyDescent="0.25">
      <c r="D39" s="138">
        <f>+D38*D37</f>
        <v>0</v>
      </c>
    </row>
    <row r="40" spans="1:5" x14ac:dyDescent="0.25">
      <c r="A40" s="57">
        <v>37315</v>
      </c>
      <c r="C40" s="15"/>
      <c r="D40" s="590">
        <v>69866</v>
      </c>
    </row>
    <row r="41" spans="1:5" x14ac:dyDescent="0.25">
      <c r="A41" s="57">
        <v>37315</v>
      </c>
      <c r="C41" s="48"/>
      <c r="D41" s="138">
        <f>+D40+D39</f>
        <v>69866</v>
      </c>
    </row>
    <row r="42" spans="1:5" x14ac:dyDescent="0.25">
      <c r="D42" s="24"/>
    </row>
    <row r="45" spans="1:5" x14ac:dyDescent="0.25">
      <c r="A45" s="32" t="s">
        <v>148</v>
      </c>
      <c r="B45" s="32"/>
      <c r="C45" s="32"/>
      <c r="D45" s="32"/>
    </row>
    <row r="46" spans="1:5" x14ac:dyDescent="0.25">
      <c r="A46" s="49">
        <f>+A40</f>
        <v>37315</v>
      </c>
      <c r="B46" s="32"/>
      <c r="C46" s="32"/>
      <c r="D46" s="591">
        <v>27486</v>
      </c>
      <c r="E46" s="592"/>
    </row>
    <row r="47" spans="1:5" x14ac:dyDescent="0.25">
      <c r="A47" s="49">
        <f>+A41</f>
        <v>37315</v>
      </c>
      <c r="B47" s="32"/>
      <c r="C47" s="32"/>
      <c r="D47" s="349">
        <f>+D37</f>
        <v>0</v>
      </c>
    </row>
    <row r="48" spans="1:5" x14ac:dyDescent="0.25">
      <c r="A48" s="32"/>
      <c r="B48" s="32"/>
      <c r="C48" s="32"/>
      <c r="D48" s="14">
        <f>+D47+D46</f>
        <v>27486</v>
      </c>
    </row>
    <row r="49" spans="1:4" x14ac:dyDescent="0.25">
      <c r="A49" s="139"/>
      <c r="B49" s="119"/>
      <c r="C49" s="140"/>
      <c r="D49" s="140"/>
    </row>
    <row r="51" spans="1:4" x14ac:dyDescent="0.25">
      <c r="D51" s="344">
        <f>+D41/D48</f>
        <v>2.5418758640762569</v>
      </c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C53" sqref="C53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19" t="s">
        <v>324</v>
      </c>
    </row>
    <row r="3" spans="1:37" x14ac:dyDescent="0.25">
      <c r="B3" s="463">
        <v>13202</v>
      </c>
      <c r="D3" s="463">
        <v>59362</v>
      </c>
      <c r="F3" s="463">
        <v>59330</v>
      </c>
      <c r="H3" s="463">
        <v>13195</v>
      </c>
      <c r="J3" s="463">
        <v>13196</v>
      </c>
      <c r="L3" s="463">
        <v>13204</v>
      </c>
    </row>
    <row r="4" spans="1:37" x14ac:dyDescent="0.25">
      <c r="B4" s="520" t="s">
        <v>318</v>
      </c>
      <c r="C4" s="521"/>
      <c r="D4" s="522" t="s">
        <v>319</v>
      </c>
      <c r="E4" s="521"/>
      <c r="F4" s="522" t="s">
        <v>320</v>
      </c>
      <c r="G4" s="521"/>
      <c r="H4" s="522" t="s">
        <v>321</v>
      </c>
      <c r="I4" s="521"/>
      <c r="J4" s="522" t="s">
        <v>322</v>
      </c>
      <c r="K4" s="521"/>
      <c r="L4" s="522" t="s">
        <v>323</v>
      </c>
      <c r="M4" s="521"/>
      <c r="N4" s="521"/>
    </row>
    <row r="5" spans="1:37" x14ac:dyDescent="0.25">
      <c r="A5" s="523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4"/>
      <c r="Q5" s="524"/>
      <c r="R5" s="524"/>
      <c r="S5" s="524"/>
      <c r="T5" s="524"/>
      <c r="V5" s="525"/>
      <c r="AA5" s="526"/>
      <c r="AB5" s="524"/>
      <c r="AC5" s="524"/>
      <c r="AD5" s="524"/>
      <c r="AE5" s="524"/>
      <c r="AF5" s="524"/>
      <c r="AH5" s="525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4"/>
      <c r="Q6" s="524"/>
      <c r="R6" s="524"/>
      <c r="S6" s="524"/>
      <c r="T6" s="524"/>
      <c r="U6" s="527"/>
      <c r="V6" s="525"/>
      <c r="Y6" s="528"/>
      <c r="AA6" s="526"/>
      <c r="AB6" s="524"/>
      <c r="AC6" s="524"/>
      <c r="AD6" s="524"/>
      <c r="AE6" s="524"/>
      <c r="AF6" s="524"/>
      <c r="AG6" s="527"/>
      <c r="AH6" s="525"/>
      <c r="AK6" s="528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9"/>
      <c r="AB7" s="530"/>
      <c r="AC7" s="530"/>
      <c r="AD7" s="530"/>
      <c r="AE7" s="530"/>
      <c r="AF7" s="530"/>
      <c r="AG7" s="19"/>
      <c r="AH7" s="531"/>
      <c r="AI7" s="252"/>
      <c r="AJ7" s="264"/>
      <c r="AK7" s="528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0"/>
      <c r="Q8" s="530"/>
      <c r="R8" s="530"/>
      <c r="S8" s="530"/>
      <c r="T8" s="530"/>
      <c r="U8" s="19"/>
      <c r="V8" s="531"/>
      <c r="W8" s="252"/>
      <c r="X8" s="264"/>
      <c r="Y8" s="528"/>
      <c r="AA8" s="529"/>
      <c r="AB8" s="530"/>
      <c r="AC8" s="530"/>
      <c r="AD8" s="530"/>
      <c r="AE8" s="530"/>
      <c r="AF8" s="530"/>
      <c r="AG8" s="19"/>
      <c r="AH8" s="531"/>
      <c r="AI8" s="252"/>
      <c r="AJ8" s="264"/>
      <c r="AK8" s="528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0"/>
      <c r="S9" s="28"/>
      <c r="T9" s="530"/>
      <c r="U9" s="19"/>
      <c r="V9" s="531"/>
      <c r="W9" s="252"/>
      <c r="X9" s="264"/>
      <c r="Y9" s="528"/>
      <c r="AA9" s="529"/>
      <c r="AB9" s="530"/>
      <c r="AC9" s="530"/>
      <c r="AD9" s="530"/>
      <c r="AE9" s="530"/>
      <c r="AF9" s="530"/>
      <c r="AG9" s="19"/>
      <c r="AH9" s="531"/>
      <c r="AI9" s="252"/>
      <c r="AJ9" s="264"/>
      <c r="AK9" s="528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0"/>
      <c r="S10" s="28"/>
      <c r="T10" s="530"/>
      <c r="U10" s="19"/>
      <c r="V10" s="531"/>
      <c r="W10" s="252"/>
      <c r="X10" s="264"/>
      <c r="Y10" s="528"/>
      <c r="AA10" s="529"/>
      <c r="AB10" s="530"/>
      <c r="AC10" s="530"/>
      <c r="AD10" s="530"/>
      <c r="AE10" s="530"/>
      <c r="AF10" s="530"/>
      <c r="AG10" s="19"/>
      <c r="AH10" s="531"/>
      <c r="AI10" s="252"/>
      <c r="AJ10" s="264"/>
      <c r="AK10" s="528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0"/>
      <c r="S11" s="28"/>
      <c r="T11" s="530"/>
      <c r="U11" s="19"/>
      <c r="V11" s="531"/>
      <c r="W11" s="252"/>
      <c r="X11" s="264"/>
      <c r="Y11" s="528"/>
      <c r="AA11" s="529"/>
      <c r="AB11" s="530"/>
      <c r="AC11" s="530"/>
      <c r="AD11" s="530"/>
      <c r="AE11" s="530"/>
      <c r="AF11" s="530"/>
      <c r="AG11" s="19"/>
      <c r="AH11" s="531"/>
      <c r="AI11" s="252"/>
      <c r="AJ11" s="264"/>
      <c r="AK11" s="528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0"/>
      <c r="S12" s="28"/>
      <c r="T12" s="530"/>
      <c r="U12" s="19"/>
      <c r="V12" s="531"/>
      <c r="W12" s="252"/>
      <c r="X12" s="264"/>
      <c r="Y12" s="528"/>
      <c r="AA12" s="529"/>
      <c r="AB12" s="530"/>
      <c r="AC12" s="530"/>
      <c r="AD12" s="530"/>
      <c r="AE12" s="530"/>
      <c r="AF12" s="530"/>
      <c r="AG12" s="19"/>
      <c r="AH12" s="531"/>
      <c r="AI12" s="252"/>
      <c r="AJ12" s="264"/>
      <c r="AK12" s="528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0"/>
      <c r="S13" s="532"/>
      <c r="T13" s="530"/>
      <c r="U13" s="19"/>
      <c r="V13" s="531"/>
      <c r="W13" s="252"/>
      <c r="X13" s="264"/>
      <c r="Y13" s="528"/>
      <c r="AA13" s="529"/>
      <c r="AB13" s="530"/>
      <c r="AC13" s="530"/>
      <c r="AD13" s="530"/>
      <c r="AE13" s="530"/>
      <c r="AF13" s="530"/>
      <c r="AG13" s="19"/>
      <c r="AH13" s="531"/>
      <c r="AI13" s="252"/>
      <c r="AJ13" s="264"/>
      <c r="AK13" s="528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0"/>
      <c r="S14" s="532"/>
      <c r="T14" s="530"/>
      <c r="U14" s="19"/>
      <c r="V14" s="531"/>
      <c r="W14" s="252"/>
      <c r="X14" s="264"/>
      <c r="Y14" s="528"/>
      <c r="AA14" s="529"/>
      <c r="AB14" s="530"/>
      <c r="AC14" s="530"/>
      <c r="AD14" s="530"/>
      <c r="AE14" s="530"/>
      <c r="AF14" s="530"/>
      <c r="AG14" s="19"/>
      <c r="AH14" s="531"/>
      <c r="AI14" s="252"/>
      <c r="AJ14" s="264"/>
      <c r="AK14" s="528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0"/>
      <c r="S15" s="532"/>
      <c r="T15" s="530"/>
      <c r="U15" s="19"/>
      <c r="V15" s="531"/>
      <c r="W15" s="252"/>
      <c r="X15" s="264"/>
      <c r="Y15" s="528"/>
      <c r="AA15" s="529"/>
      <c r="AB15" s="530"/>
      <c r="AC15" s="530"/>
      <c r="AD15" s="530"/>
      <c r="AE15" s="530"/>
      <c r="AF15" s="530"/>
      <c r="AG15" s="19"/>
      <c r="AH15" s="531"/>
      <c r="AI15" s="252"/>
      <c r="AJ15" s="264"/>
      <c r="AK15" s="528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0"/>
      <c r="S16" s="532"/>
      <c r="T16" s="530"/>
      <c r="U16" s="19"/>
      <c r="V16" s="531"/>
      <c r="W16" s="252"/>
      <c r="X16" s="264"/>
      <c r="Y16" s="528"/>
      <c r="AA16" s="529"/>
      <c r="AB16" s="530"/>
      <c r="AC16" s="530"/>
      <c r="AD16" s="530"/>
      <c r="AE16" s="530"/>
      <c r="AF16" s="530"/>
      <c r="AG16" s="19"/>
      <c r="AH16" s="531"/>
      <c r="AI16" s="252"/>
      <c r="AJ16" s="264"/>
      <c r="AK16" s="528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0"/>
      <c r="S17" s="532"/>
      <c r="T17" s="530"/>
      <c r="U17" s="19"/>
      <c r="V17" s="531"/>
      <c r="W17" s="252"/>
      <c r="X17" s="264"/>
      <c r="Y17" s="528"/>
      <c r="AA17" s="529"/>
      <c r="AB17" s="530"/>
      <c r="AC17" s="530"/>
      <c r="AD17" s="530"/>
      <c r="AE17" s="530"/>
      <c r="AF17" s="530"/>
      <c r="AG17" s="19"/>
      <c r="AH17" s="531"/>
      <c r="AI17" s="252"/>
      <c r="AJ17" s="264"/>
      <c r="AK17" s="528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0"/>
      <c r="S18" s="532"/>
      <c r="T18" s="530"/>
      <c r="U18" s="19"/>
      <c r="V18" s="531"/>
      <c r="W18" s="252"/>
      <c r="X18" s="264"/>
      <c r="Y18" s="528"/>
      <c r="AA18" s="529"/>
      <c r="AB18" s="530"/>
      <c r="AF18" s="530"/>
      <c r="AG18" s="19"/>
      <c r="AH18" s="531"/>
      <c r="AI18" s="252"/>
      <c r="AJ18" s="264"/>
      <c r="AK18" s="528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0"/>
      <c r="T19" s="530"/>
      <c r="U19" s="19"/>
      <c r="V19" s="531"/>
      <c r="W19" s="252"/>
      <c r="X19" s="264"/>
      <c r="Y19" s="528"/>
      <c r="AA19" s="529"/>
      <c r="AB19" s="530"/>
      <c r="AF19" s="530"/>
      <c r="AG19" s="19"/>
      <c r="AH19" s="531"/>
      <c r="AI19" s="252"/>
      <c r="AJ19" s="264"/>
      <c r="AK19" s="528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0"/>
      <c r="T20" s="530"/>
      <c r="U20" s="19"/>
      <c r="V20" s="531"/>
      <c r="W20" s="252"/>
      <c r="X20" s="264"/>
      <c r="Y20" s="528"/>
      <c r="AA20" s="529"/>
      <c r="AB20" s="530"/>
      <c r="AF20" s="530"/>
      <c r="AG20" s="19"/>
      <c r="AH20" s="531"/>
      <c r="AI20" s="252"/>
      <c r="AJ20" s="264"/>
      <c r="AK20" s="528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9"/>
      <c r="AB21" s="530"/>
      <c r="AF21" s="530"/>
      <c r="AG21" s="19"/>
      <c r="AH21" s="531"/>
      <c r="AI21" s="252"/>
      <c r="AJ21" s="264"/>
      <c r="AK21" s="528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9"/>
      <c r="AB22" s="51"/>
      <c r="AF22" s="530"/>
      <c r="AG22" s="19"/>
      <c r="AH22" s="531"/>
      <c r="AI22" s="252"/>
      <c r="AJ22" s="264"/>
      <c r="AK22" s="528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0"/>
      <c r="Q23" s="530"/>
      <c r="R23" s="530"/>
      <c r="S23" s="530"/>
      <c r="T23" s="530"/>
      <c r="U23" s="19"/>
      <c r="V23" s="531"/>
      <c r="W23" s="252"/>
      <c r="X23" s="264"/>
      <c r="Y23" s="528"/>
      <c r="AA23" s="529"/>
      <c r="AB23" s="51"/>
      <c r="AF23" s="530"/>
      <c r="AG23" s="19"/>
      <c r="AH23" s="531"/>
      <c r="AI23" s="252"/>
      <c r="AJ23" s="264"/>
      <c r="AK23" s="528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0"/>
      <c r="Q24" s="530"/>
      <c r="R24" s="530"/>
      <c r="S24" s="530"/>
      <c r="T24" s="530"/>
      <c r="U24" s="19"/>
      <c r="V24" s="531"/>
      <c r="W24" s="252"/>
      <c r="X24" s="264"/>
      <c r="Y24" s="528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0"/>
      <c r="Q25" s="530"/>
      <c r="R25" s="530"/>
      <c r="S25" s="530"/>
      <c r="T25" s="530"/>
      <c r="U25" s="19"/>
      <c r="V25" s="531"/>
      <c r="W25" s="252"/>
      <c r="X25" s="264"/>
      <c r="Y25" s="528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0"/>
      <c r="Q26" s="530"/>
      <c r="R26" s="530"/>
      <c r="S26" s="530"/>
      <c r="T26" s="530"/>
      <c r="U26" s="19"/>
      <c r="V26" s="531"/>
      <c r="W26" s="252"/>
      <c r="X26" s="264"/>
      <c r="Y26" s="528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0"/>
      <c r="Q27" s="530"/>
      <c r="R27" s="530"/>
      <c r="S27" s="530"/>
      <c r="T27" s="530"/>
      <c r="U27" s="19"/>
      <c r="V27" s="531"/>
      <c r="W27" s="252"/>
      <c r="X27" s="264"/>
      <c r="Y27" s="528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0"/>
      <c r="Q28" s="530"/>
      <c r="R28" s="530"/>
      <c r="S28" s="530"/>
      <c r="T28" s="530"/>
      <c r="U28" s="19"/>
      <c r="V28" s="531"/>
      <c r="W28" s="252"/>
      <c r="X28" s="264"/>
      <c r="Y28" s="528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0"/>
      <c r="Q29" s="530"/>
      <c r="R29" s="530"/>
      <c r="S29" s="530"/>
      <c r="T29" s="530"/>
      <c r="U29" s="19"/>
      <c r="V29" s="531"/>
      <c r="W29" s="252"/>
      <c r="X29" s="264"/>
      <c r="Y29" s="528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0"/>
      <c r="Q30" s="530"/>
      <c r="R30" s="530"/>
      <c r="S30" s="530"/>
      <c r="T30" s="530"/>
      <c r="U30" s="19"/>
      <c r="V30" s="531"/>
      <c r="W30" s="252"/>
      <c r="X30" s="264"/>
      <c r="Y30" s="528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0"/>
      <c r="Q31" s="530"/>
      <c r="R31" s="530"/>
      <c r="S31" s="530"/>
      <c r="T31" s="530"/>
      <c r="U31" s="19"/>
      <c r="V31" s="531"/>
      <c r="W31" s="252"/>
      <c r="X31" s="264"/>
      <c r="Y31" s="528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0"/>
      <c r="Q32" s="530"/>
      <c r="R32" s="530"/>
      <c r="S32" s="530"/>
      <c r="T32" s="530"/>
      <c r="U32" s="19"/>
      <c r="V32" s="531"/>
      <c r="W32" s="252"/>
      <c r="X32" s="264"/>
      <c r="Y32" s="528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0"/>
      <c r="Q33" s="530"/>
      <c r="R33" s="530"/>
      <c r="S33" s="530"/>
      <c r="T33" s="530"/>
      <c r="U33" s="19"/>
      <c r="V33" s="531"/>
      <c r="W33" s="252"/>
      <c r="X33" s="264"/>
      <c r="Y33" s="528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0"/>
      <c r="T34" s="530"/>
      <c r="U34" s="19"/>
      <c r="V34" s="531"/>
      <c r="W34" s="252"/>
      <c r="X34" s="264"/>
      <c r="Y34" s="528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0"/>
      <c r="T35" s="530"/>
      <c r="U35" s="19"/>
      <c r="V35" s="531"/>
      <c r="W35" s="252"/>
      <c r="X35" s="264"/>
      <c r="Y35" s="528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0"/>
      <c r="T36" s="530"/>
      <c r="U36" s="19"/>
      <c r="V36" s="531"/>
      <c r="W36" s="252"/>
      <c r="X36" s="264"/>
      <c r="Y36" s="528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0"/>
      <c r="T37" s="530"/>
      <c r="U37" s="19"/>
      <c r="V37" s="531"/>
      <c r="W37" s="252"/>
      <c r="X37" s="264"/>
      <c r="Y37" s="528"/>
    </row>
    <row r="38" spans="1:25" x14ac:dyDescent="0.25">
      <c r="N38" s="264">
        <f>+summary!G4</f>
        <v>2.38</v>
      </c>
      <c r="P38" s="51"/>
      <c r="T38" s="530"/>
      <c r="U38" s="19"/>
      <c r="V38" s="531"/>
      <c r="W38" s="252"/>
      <c r="X38" s="264"/>
      <c r="Y38" s="528"/>
    </row>
    <row r="39" spans="1:25" x14ac:dyDescent="0.25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0"/>
      <c r="U39" s="19"/>
      <c r="V39" s="531"/>
      <c r="W39" s="252"/>
      <c r="X39" s="264"/>
      <c r="Y39" s="528"/>
    </row>
    <row r="40" spans="1:25" x14ac:dyDescent="0.25">
      <c r="N40" s="329"/>
      <c r="P40" s="530"/>
      <c r="T40" s="530"/>
      <c r="U40" s="19"/>
      <c r="V40" s="531"/>
      <c r="W40" s="252"/>
      <c r="X40" s="264"/>
      <c r="Y40" s="528"/>
    </row>
    <row r="41" spans="1:25" x14ac:dyDescent="0.25">
      <c r="A41" s="263">
        <v>37315</v>
      </c>
      <c r="C41" s="131"/>
      <c r="E41" s="131"/>
      <c r="G41" s="131"/>
      <c r="I41" s="131"/>
      <c r="K41" s="131"/>
      <c r="M41" s="131"/>
      <c r="N41" s="573">
        <v>68162</v>
      </c>
      <c r="P41" s="530"/>
      <c r="T41" s="530"/>
      <c r="U41" s="19"/>
      <c r="V41" s="531"/>
      <c r="W41" s="252"/>
      <c r="X41" s="264"/>
      <c r="Y41" s="528"/>
    </row>
    <row r="42" spans="1:25" x14ac:dyDescent="0.25">
      <c r="N42" s="319"/>
      <c r="P42" s="530"/>
      <c r="T42" s="530"/>
      <c r="U42" s="19"/>
      <c r="V42" s="531"/>
      <c r="W42" s="252"/>
      <c r="X42" s="264"/>
      <c r="Y42" s="528"/>
    </row>
    <row r="43" spans="1:25" x14ac:dyDescent="0.25">
      <c r="A43" s="263">
        <v>37315</v>
      </c>
      <c r="N43" s="319">
        <f>+N41+N39</f>
        <v>68162</v>
      </c>
      <c r="P43" s="530"/>
      <c r="T43" s="530"/>
      <c r="U43" s="19"/>
      <c r="V43" s="531"/>
      <c r="W43" s="252"/>
      <c r="X43" s="264"/>
      <c r="Y43" s="528"/>
    </row>
    <row r="44" spans="1:25" x14ac:dyDescent="0.25">
      <c r="N44" s="329"/>
      <c r="P44" s="530"/>
      <c r="T44" s="530"/>
      <c r="U44" s="19"/>
      <c r="V44" s="531"/>
      <c r="W44" s="252"/>
      <c r="X44" s="264"/>
      <c r="Y44" s="528"/>
    </row>
    <row r="45" spans="1:25" x14ac:dyDescent="0.25">
      <c r="P45" s="530"/>
      <c r="T45" s="530"/>
      <c r="U45" s="19"/>
      <c r="V45" s="531"/>
      <c r="W45" s="252"/>
      <c r="X45" s="264"/>
      <c r="Y45" s="528"/>
    </row>
    <row r="46" spans="1:25" x14ac:dyDescent="0.25">
      <c r="B46" s="463"/>
      <c r="D46" s="463"/>
      <c r="F46" s="463"/>
      <c r="H46" s="463"/>
      <c r="J46" s="463"/>
      <c r="L46" s="463"/>
      <c r="O46" s="529"/>
      <c r="P46" s="51"/>
      <c r="T46" s="530"/>
      <c r="U46" s="19"/>
      <c r="V46" s="531"/>
      <c r="W46" s="252"/>
      <c r="X46" s="264"/>
      <c r="Y46" s="528"/>
    </row>
    <row r="47" spans="1:25" x14ac:dyDescent="0.25">
      <c r="A47" s="249" t="s">
        <v>148</v>
      </c>
      <c r="B47" s="249"/>
      <c r="C47" s="249"/>
      <c r="D47" s="249"/>
      <c r="E47" s="521"/>
      <c r="F47" s="521"/>
      <c r="G47" s="521"/>
      <c r="H47" s="521"/>
      <c r="I47" s="521"/>
      <c r="J47" s="521"/>
      <c r="K47" s="521"/>
      <c r="L47" s="521"/>
      <c r="M47" s="521"/>
      <c r="N47" s="521"/>
      <c r="O47" s="529"/>
      <c r="P47" s="51"/>
      <c r="T47" s="530"/>
      <c r="U47" s="19"/>
      <c r="V47" s="531"/>
      <c r="W47" s="252"/>
      <c r="X47" s="264"/>
      <c r="Y47" s="528"/>
    </row>
    <row r="48" spans="1:25" x14ac:dyDescent="0.25">
      <c r="A48" s="533">
        <f>+A41</f>
        <v>37315</v>
      </c>
      <c r="B48" s="249"/>
      <c r="C48" s="249"/>
      <c r="D48" s="567">
        <v>24616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29"/>
      <c r="T48" s="530"/>
      <c r="U48" s="19"/>
      <c r="V48" s="531"/>
      <c r="W48" s="252"/>
      <c r="X48" s="264"/>
      <c r="Y48" s="528"/>
    </row>
    <row r="49" spans="1:25" x14ac:dyDescent="0.25">
      <c r="A49" s="533">
        <f>+A43</f>
        <v>37315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9"/>
      <c r="T49" s="530"/>
      <c r="U49" s="19"/>
      <c r="V49" s="531"/>
      <c r="W49" s="252"/>
      <c r="X49" s="264"/>
      <c r="Y49" s="528"/>
    </row>
    <row r="50" spans="1:25" x14ac:dyDescent="0.25">
      <c r="A50" s="249"/>
      <c r="B50" s="249"/>
      <c r="C50" s="249"/>
      <c r="D50" s="262">
        <f>+D49+D48</f>
        <v>24616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9"/>
      <c r="U50" s="19"/>
    </row>
    <row r="51" spans="1:25" x14ac:dyDescent="0.25">
      <c r="A51" s="534"/>
      <c r="B51" s="535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9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9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9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9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9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9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9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9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9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9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9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9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9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9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9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9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9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9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9"/>
      <c r="P70" s="530"/>
      <c r="Q70" s="530"/>
      <c r="R70" s="530"/>
      <c r="S70" s="530"/>
      <c r="T70" s="530"/>
      <c r="U70" s="28"/>
      <c r="V70" s="536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9"/>
      <c r="P71" s="530"/>
      <c r="Q71" s="530"/>
      <c r="R71" s="530"/>
      <c r="S71" s="530"/>
      <c r="T71" s="530"/>
      <c r="U71" s="28"/>
      <c r="V71" s="536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9"/>
      <c r="P72" s="530"/>
      <c r="Q72" s="530"/>
      <c r="R72" s="530"/>
      <c r="S72" s="530"/>
      <c r="T72" s="530"/>
      <c r="U72" s="28"/>
      <c r="V72" s="536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9"/>
      <c r="P73" s="530"/>
      <c r="Q73" s="530"/>
      <c r="R73" s="530"/>
      <c r="S73" s="530"/>
      <c r="T73" s="530"/>
      <c r="U73" s="28"/>
      <c r="V73" s="536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9"/>
      <c r="P74" s="530"/>
      <c r="Q74" s="530"/>
      <c r="R74" s="530"/>
      <c r="S74" s="530"/>
      <c r="T74" s="530"/>
      <c r="U74" s="28"/>
      <c r="V74" s="536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9"/>
      <c r="P75" s="530"/>
      <c r="Q75" s="530"/>
      <c r="R75" s="530"/>
      <c r="S75" s="530"/>
      <c r="T75" s="530"/>
      <c r="U75" s="28"/>
      <c r="V75" s="536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9"/>
      <c r="P76" s="530"/>
      <c r="Q76" s="530"/>
      <c r="R76" s="530"/>
      <c r="S76" s="530"/>
      <c r="T76" s="530"/>
      <c r="U76" s="28"/>
      <c r="V76" s="536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9"/>
      <c r="P77" s="530"/>
      <c r="Q77" s="530"/>
      <c r="R77" s="530"/>
      <c r="S77" s="530"/>
      <c r="T77" s="530"/>
      <c r="U77" s="28"/>
      <c r="V77" s="536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9"/>
      <c r="P78" s="530"/>
      <c r="Q78" s="530"/>
      <c r="R78" s="530"/>
      <c r="S78" s="530"/>
      <c r="T78" s="530"/>
      <c r="U78" s="28"/>
      <c r="V78" s="536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9"/>
      <c r="P79" s="530"/>
      <c r="Q79" s="530"/>
      <c r="R79" s="530"/>
      <c r="S79" s="530"/>
      <c r="T79" s="530"/>
      <c r="U79" s="28"/>
      <c r="V79" s="536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9"/>
      <c r="P80" s="530"/>
      <c r="Q80" s="530"/>
      <c r="R80" s="530"/>
      <c r="S80" s="530"/>
      <c r="T80" s="530"/>
      <c r="U80" s="28"/>
      <c r="V80" s="536"/>
    </row>
    <row r="81" spans="1:22" x14ac:dyDescent="0.25">
      <c r="A81" s="261"/>
      <c r="C81" s="131"/>
      <c r="E81" s="131"/>
      <c r="G81" s="131"/>
      <c r="I81" s="131"/>
      <c r="K81" s="131"/>
      <c r="M81" s="131"/>
      <c r="O81" s="529"/>
      <c r="P81" s="530"/>
      <c r="Q81" s="530"/>
      <c r="R81" s="530"/>
      <c r="S81" s="530"/>
      <c r="T81" s="530"/>
      <c r="U81" s="28"/>
      <c r="V81" s="536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9"/>
      <c r="P82" s="530"/>
      <c r="Q82" s="530"/>
      <c r="R82" s="530"/>
      <c r="S82" s="530"/>
      <c r="T82" s="530"/>
      <c r="U82" s="28"/>
      <c r="V82" s="536"/>
    </row>
    <row r="83" spans="1:22" x14ac:dyDescent="0.25">
      <c r="A83" s="261"/>
      <c r="C83" s="131"/>
      <c r="E83" s="131"/>
      <c r="H83" s="537"/>
      <c r="I83" s="537"/>
      <c r="J83" s="537"/>
      <c r="K83" s="537"/>
      <c r="L83" s="537"/>
      <c r="M83" s="537"/>
      <c r="N83" s="131"/>
      <c r="O83" s="529"/>
      <c r="P83" s="530"/>
      <c r="Q83" s="530"/>
      <c r="R83" s="530"/>
      <c r="S83" s="530"/>
      <c r="T83" s="530"/>
      <c r="V83" s="536"/>
    </row>
    <row r="84" spans="1:22" x14ac:dyDescent="0.25">
      <c r="A84" s="261"/>
      <c r="O84" s="529"/>
      <c r="P84" s="530"/>
      <c r="Q84" s="530"/>
      <c r="R84" s="530"/>
      <c r="S84" s="530"/>
      <c r="T84" s="530"/>
      <c r="V84" s="536"/>
    </row>
    <row r="85" spans="1:22" x14ac:dyDescent="0.25">
      <c r="A85" s="261"/>
      <c r="O85" s="529"/>
      <c r="P85" s="530"/>
      <c r="Q85" s="530"/>
      <c r="R85" s="530"/>
      <c r="S85" s="530"/>
      <c r="T85" s="530"/>
      <c r="V85" s="536"/>
    </row>
    <row r="86" spans="1:22" x14ac:dyDescent="0.25">
      <c r="A86" s="261"/>
      <c r="O86" s="529"/>
      <c r="P86" s="530"/>
      <c r="Q86" s="530"/>
      <c r="R86" s="530"/>
      <c r="S86" s="530"/>
      <c r="T86" s="530"/>
      <c r="V86" s="536"/>
    </row>
    <row r="87" spans="1:22" x14ac:dyDescent="0.25">
      <c r="A87" s="261"/>
      <c r="O87" s="529"/>
      <c r="P87" s="530"/>
      <c r="Q87" s="530"/>
      <c r="R87" s="530"/>
      <c r="S87" s="530"/>
      <c r="T87" s="530"/>
      <c r="V87" s="536"/>
    </row>
    <row r="88" spans="1:22" x14ac:dyDescent="0.25">
      <c r="A88" s="261"/>
      <c r="O88" s="529"/>
      <c r="P88" s="530"/>
      <c r="Q88" s="530"/>
      <c r="R88" s="530"/>
      <c r="S88" s="530"/>
      <c r="T88" s="530"/>
      <c r="V88" s="536"/>
    </row>
    <row r="89" spans="1:22" x14ac:dyDescent="0.25">
      <c r="A89" s="261"/>
      <c r="O89" s="529"/>
      <c r="P89" s="530"/>
      <c r="Q89" s="530"/>
      <c r="R89" s="530"/>
      <c r="S89" s="530"/>
      <c r="T89" s="530"/>
      <c r="V89" s="536"/>
    </row>
    <row r="90" spans="1:22" x14ac:dyDescent="0.25">
      <c r="B90" s="463"/>
      <c r="D90" s="463"/>
      <c r="F90" s="463"/>
      <c r="H90" s="463"/>
      <c r="J90" s="463"/>
      <c r="L90" s="463"/>
      <c r="O90" s="529"/>
      <c r="P90" s="530"/>
      <c r="Q90" s="530"/>
      <c r="R90" s="530"/>
      <c r="S90" s="530"/>
      <c r="T90" s="530"/>
      <c r="V90" s="536"/>
    </row>
    <row r="91" spans="1:22" x14ac:dyDescent="0.25">
      <c r="A91" s="538"/>
      <c r="B91" s="521"/>
      <c r="C91" s="521"/>
      <c r="D91" s="521"/>
      <c r="E91" s="521"/>
      <c r="F91" s="521"/>
      <c r="G91" s="521"/>
      <c r="H91" s="521"/>
      <c r="I91" s="521"/>
      <c r="J91" s="521"/>
      <c r="K91" s="521"/>
      <c r="L91" s="521"/>
      <c r="M91" s="521"/>
      <c r="N91" s="521"/>
      <c r="O91" s="529"/>
      <c r="P91" s="530"/>
      <c r="Q91" s="530"/>
      <c r="R91" s="530"/>
      <c r="S91" s="530"/>
      <c r="T91" s="530"/>
      <c r="V91" s="536"/>
    </row>
    <row r="92" spans="1:22" x14ac:dyDescent="0.25">
      <c r="A92" s="523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29"/>
      <c r="P92" s="537"/>
      <c r="Q92" s="537"/>
      <c r="R92" s="537"/>
      <c r="S92" s="537"/>
      <c r="T92" s="537"/>
      <c r="V92" s="524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37"/>
      <c r="I127" s="537"/>
      <c r="J127" s="537"/>
      <c r="K127" s="537"/>
      <c r="L127" s="537"/>
      <c r="M127" s="537"/>
      <c r="N127" s="131"/>
    </row>
    <row r="128" spans="1:14" x14ac:dyDescent="0.25">
      <c r="A128" s="261"/>
    </row>
    <row r="129" spans="1:14" x14ac:dyDescent="0.25">
      <c r="B129" s="463"/>
      <c r="D129" s="463"/>
      <c r="F129" s="463"/>
      <c r="H129" s="463"/>
      <c r="J129" s="463"/>
      <c r="L129" s="463"/>
    </row>
    <row r="130" spans="1:14" x14ac:dyDescent="0.25">
      <c r="B130" s="520"/>
      <c r="C130" s="521"/>
      <c r="D130" s="521"/>
      <c r="E130" s="521"/>
      <c r="F130" s="521"/>
      <c r="G130" s="521"/>
      <c r="H130" s="521"/>
      <c r="I130" s="521"/>
      <c r="J130" s="521"/>
      <c r="K130" s="521"/>
      <c r="L130" s="521"/>
      <c r="M130" s="521"/>
      <c r="N130" s="521"/>
    </row>
    <row r="131" spans="1:14" x14ac:dyDescent="0.25">
      <c r="A131" s="523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39"/>
      <c r="K166" s="539"/>
      <c r="M166" s="539"/>
      <c r="N166" s="51"/>
    </row>
    <row r="167" spans="1:14" x14ac:dyDescent="0.25">
      <c r="N167" s="51"/>
    </row>
    <row r="171" spans="1:14" x14ac:dyDescent="0.25">
      <c r="B171" s="463"/>
      <c r="D171" s="463"/>
      <c r="F171" s="463"/>
      <c r="H171" s="463"/>
      <c r="J171" s="463"/>
      <c r="L171" s="463"/>
    </row>
    <row r="172" spans="1:14" x14ac:dyDescent="0.25">
      <c r="B172" s="520"/>
      <c r="C172" s="521"/>
      <c r="D172" s="521"/>
      <c r="E172" s="521"/>
      <c r="F172" s="521"/>
      <c r="G172" s="521"/>
      <c r="H172" s="521"/>
      <c r="I172" s="521"/>
      <c r="J172" s="521"/>
      <c r="K172" s="521"/>
      <c r="L172" s="521"/>
      <c r="M172" s="521"/>
    </row>
    <row r="173" spans="1:14" x14ac:dyDescent="0.25">
      <c r="A173" s="523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39"/>
      <c r="K208" s="539"/>
      <c r="M208" s="539"/>
    </row>
    <row r="214" spans="1:13" x14ac:dyDescent="0.25">
      <c r="B214" s="463"/>
      <c r="D214" s="463"/>
      <c r="F214" s="463"/>
      <c r="H214" s="463"/>
      <c r="J214" s="463"/>
      <c r="L214" s="463"/>
    </row>
    <row r="215" spans="1:13" x14ac:dyDescent="0.25">
      <c r="B215" s="520"/>
      <c r="C215" s="521"/>
      <c r="D215" s="521"/>
      <c r="E215" s="521"/>
      <c r="F215" s="521"/>
      <c r="G215" s="521"/>
      <c r="H215" s="521"/>
      <c r="I215" s="521"/>
      <c r="J215" s="521"/>
      <c r="K215" s="521"/>
      <c r="L215" s="521"/>
      <c r="M215" s="521"/>
    </row>
    <row r="216" spans="1:13" x14ac:dyDescent="0.25">
      <c r="A216" s="523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39"/>
      <c r="K251" s="539"/>
      <c r="M251" s="539"/>
    </row>
    <row r="256" spans="1:21" x14ac:dyDescent="0.25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5">
      <c r="B257" s="520"/>
      <c r="C257" s="521"/>
      <c r="D257" s="521"/>
      <c r="E257" s="521"/>
      <c r="F257" s="521"/>
      <c r="G257" s="521"/>
      <c r="H257" s="521"/>
      <c r="I257" s="521"/>
      <c r="J257" s="521"/>
      <c r="K257" s="521"/>
      <c r="L257" s="521"/>
      <c r="M257" s="521"/>
      <c r="O257" s="520"/>
      <c r="P257" s="521"/>
      <c r="Q257" s="521"/>
      <c r="R257" s="521"/>
      <c r="S257" s="521"/>
      <c r="T257" s="521"/>
      <c r="U257" s="521"/>
      <c r="V257" s="521"/>
      <c r="W257" s="521"/>
    </row>
    <row r="258" spans="1:23" x14ac:dyDescent="0.25">
      <c r="A258" s="523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3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39"/>
      <c r="K293" s="539"/>
      <c r="M293" s="539"/>
      <c r="V293" s="539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63"/>
      <c r="Q297" s="463"/>
      <c r="S297" s="463"/>
      <c r="U297" s="463"/>
    </row>
    <row r="298" spans="1:23" x14ac:dyDescent="0.25">
      <c r="O298" s="520"/>
      <c r="P298" s="521"/>
      <c r="Q298" s="521"/>
      <c r="R298" s="521"/>
      <c r="S298" s="521"/>
      <c r="T298" s="521"/>
      <c r="U298" s="521"/>
      <c r="V298" s="521"/>
      <c r="W298" s="521"/>
    </row>
    <row r="299" spans="1:23" x14ac:dyDescent="0.25">
      <c r="N299" s="523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40"/>
      <c r="W336" s="51"/>
    </row>
    <row r="339" spans="14:23" x14ac:dyDescent="0.25">
      <c r="O339" s="463"/>
      <c r="Q339" s="463"/>
      <c r="S339" s="463"/>
      <c r="U339" s="463"/>
    </row>
    <row r="340" spans="14:23" x14ac:dyDescent="0.25">
      <c r="O340" s="520"/>
      <c r="P340" s="521"/>
      <c r="Q340" s="521"/>
      <c r="R340" s="521"/>
      <c r="S340" s="521"/>
      <c r="T340" s="521"/>
      <c r="U340" s="521"/>
      <c r="V340" s="521"/>
      <c r="W340" s="521"/>
    </row>
    <row r="341" spans="14:23" x14ac:dyDescent="0.25">
      <c r="N341" s="523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19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40"/>
      <c r="W378" s="541"/>
    </row>
    <row r="381" spans="14:23" x14ac:dyDescent="0.25">
      <c r="O381" s="463"/>
      <c r="Q381" s="463"/>
      <c r="S381" s="463"/>
      <c r="U381" s="463"/>
    </row>
    <row r="382" spans="14:23" x14ac:dyDescent="0.25">
      <c r="O382" s="520"/>
      <c r="P382" s="521"/>
      <c r="Q382" s="521"/>
      <c r="R382" s="521"/>
      <c r="S382" s="521"/>
      <c r="T382" s="521"/>
      <c r="U382" s="521"/>
      <c r="V382" s="521"/>
      <c r="W382" s="521"/>
    </row>
    <row r="383" spans="14:23" x14ac:dyDescent="0.25">
      <c r="N383" s="523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19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40"/>
      <c r="W420" s="541"/>
    </row>
    <row r="425" spans="14:23" x14ac:dyDescent="0.25">
      <c r="O425" s="463"/>
      <c r="Q425" s="463"/>
      <c r="S425" s="463"/>
      <c r="U425" s="463"/>
    </row>
    <row r="426" spans="14:23" x14ac:dyDescent="0.25">
      <c r="O426" s="520"/>
      <c r="P426" s="521"/>
      <c r="Q426" s="521"/>
      <c r="R426" s="521"/>
      <c r="S426" s="521"/>
      <c r="T426" s="521"/>
      <c r="U426" s="521"/>
      <c r="V426" s="521"/>
      <c r="W426" s="521"/>
    </row>
    <row r="427" spans="14:23" x14ac:dyDescent="0.25">
      <c r="N427" s="523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19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40"/>
      <c r="W464" s="51"/>
    </row>
    <row r="467" spans="14:33" x14ac:dyDescent="0.25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5">
      <c r="O468" s="520"/>
      <c r="P468" s="521"/>
      <c r="Q468" s="521"/>
      <c r="R468" s="521"/>
      <c r="S468" s="521"/>
      <c r="T468" s="521"/>
      <c r="U468" s="521"/>
      <c r="V468" s="521"/>
      <c r="W468" s="521"/>
      <c r="Y468" s="520"/>
      <c r="Z468" s="521"/>
      <c r="AA468" s="521"/>
      <c r="AB468" s="521"/>
      <c r="AC468" s="521"/>
      <c r="AD468" s="521"/>
      <c r="AE468" s="521"/>
      <c r="AF468" s="521"/>
      <c r="AG468" s="521"/>
    </row>
    <row r="469" spans="14:33" x14ac:dyDescent="0.25">
      <c r="N469" s="523"/>
      <c r="O469" s="464"/>
      <c r="P469" s="464"/>
      <c r="Q469" s="464"/>
      <c r="R469" s="464"/>
      <c r="S469" s="464"/>
      <c r="T469" s="464"/>
      <c r="U469" s="464"/>
      <c r="V469" s="464"/>
      <c r="W469" s="464"/>
      <c r="X469" s="523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19"/>
      <c r="P504" s="131"/>
      <c r="R504" s="131"/>
      <c r="T504" s="131"/>
      <c r="V504" s="131"/>
      <c r="W504" s="51"/>
      <c r="X504" s="519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40"/>
      <c r="W506" s="51"/>
      <c r="X506" s="540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9" workbookViewId="0">
      <selection activeCell="C37" sqref="C37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125289</v>
      </c>
      <c r="C7" s="11">
        <v>125129</v>
      </c>
      <c r="D7" s="25">
        <f>+C7-B7</f>
        <v>-160</v>
      </c>
    </row>
    <row r="8" spans="1:4" x14ac:dyDescent="0.25">
      <c r="A8" s="10">
        <v>2</v>
      </c>
      <c r="B8" s="11">
        <v>151397</v>
      </c>
      <c r="C8" s="11">
        <v>150614</v>
      </c>
      <c r="D8" s="25">
        <f>+C8-B8</f>
        <v>-783</v>
      </c>
    </row>
    <row r="9" spans="1:4" x14ac:dyDescent="0.25">
      <c r="A9" s="10">
        <v>3</v>
      </c>
      <c r="B9" s="11">
        <v>140641</v>
      </c>
      <c r="C9" s="11">
        <v>140609</v>
      </c>
      <c r="D9" s="25">
        <f t="shared" ref="D9:D37" si="0">+C9-B9</f>
        <v>-32</v>
      </c>
    </row>
    <row r="10" spans="1:4" x14ac:dyDescent="0.25">
      <c r="A10" s="10">
        <v>4</v>
      </c>
      <c r="B10" s="11">
        <v>140746</v>
      </c>
      <c r="C10" s="11">
        <v>140609</v>
      </c>
      <c r="D10" s="25">
        <f t="shared" si="0"/>
        <v>-137</v>
      </c>
    </row>
    <row r="11" spans="1:4" x14ac:dyDescent="0.25">
      <c r="A11" s="10">
        <v>5</v>
      </c>
      <c r="B11" s="129">
        <v>138812</v>
      </c>
      <c r="C11" s="11">
        <v>138455</v>
      </c>
      <c r="D11" s="25">
        <f t="shared" si="0"/>
        <v>-357</v>
      </c>
    </row>
    <row r="12" spans="1:4" x14ac:dyDescent="0.25">
      <c r="A12" s="10">
        <v>6</v>
      </c>
      <c r="B12" s="11">
        <v>140914</v>
      </c>
      <c r="C12" s="11">
        <v>140423</v>
      </c>
      <c r="D12" s="25">
        <f t="shared" si="0"/>
        <v>-491</v>
      </c>
    </row>
    <row r="13" spans="1:4" x14ac:dyDescent="0.25">
      <c r="A13" s="10">
        <v>7</v>
      </c>
      <c r="B13" s="129">
        <v>147299</v>
      </c>
      <c r="C13" s="11">
        <v>147989</v>
      </c>
      <c r="D13" s="25">
        <f t="shared" si="0"/>
        <v>690</v>
      </c>
    </row>
    <row r="14" spans="1:4" x14ac:dyDescent="0.25">
      <c r="A14" s="10">
        <v>8</v>
      </c>
      <c r="B14" s="11"/>
      <c r="C14" s="11"/>
      <c r="D14" s="25">
        <f t="shared" si="0"/>
        <v>0</v>
      </c>
    </row>
    <row r="15" spans="1:4" x14ac:dyDescent="0.25">
      <c r="A15" s="10">
        <v>9</v>
      </c>
      <c r="B15" s="11"/>
      <c r="C15" s="11"/>
      <c r="D15" s="25">
        <f t="shared" si="0"/>
        <v>0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29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985098</v>
      </c>
      <c r="C38" s="11">
        <f>SUM(C7:C37)</f>
        <v>983828</v>
      </c>
      <c r="D38" s="11">
        <f>SUM(D7:D37)</f>
        <v>-1270</v>
      </c>
    </row>
    <row r="39" spans="1:8" x14ac:dyDescent="0.25">
      <c r="A39" s="26"/>
      <c r="C39" s="14"/>
      <c r="D39" s="106">
        <f>+summary!G3</f>
        <v>2.36</v>
      </c>
    </row>
    <row r="40" spans="1:8" x14ac:dyDescent="0.25">
      <c r="D40" s="138">
        <f>+D39*D38</f>
        <v>-2997.2</v>
      </c>
      <c r="H40">
        <v>20</v>
      </c>
    </row>
    <row r="41" spans="1:8" x14ac:dyDescent="0.25">
      <c r="A41" s="57">
        <v>37315</v>
      </c>
      <c r="C41" s="15"/>
      <c r="D41" s="597">
        <v>-13945</v>
      </c>
      <c r="H41">
        <v>530</v>
      </c>
    </row>
    <row r="42" spans="1:8" x14ac:dyDescent="0.25">
      <c r="A42" s="57">
        <v>37322</v>
      </c>
      <c r="D42" s="319">
        <f>+D41+D40</f>
        <v>-16942.2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148</v>
      </c>
      <c r="B46" s="32"/>
      <c r="C46" s="32"/>
      <c r="D46" s="32"/>
    </row>
    <row r="47" spans="1:8" x14ac:dyDescent="0.25">
      <c r="A47" s="49">
        <f>+A41</f>
        <v>37315</v>
      </c>
      <c r="B47" s="32"/>
      <c r="C47" s="32"/>
      <c r="D47" s="567">
        <v>-7030</v>
      </c>
    </row>
    <row r="48" spans="1:8" x14ac:dyDescent="0.25">
      <c r="A48" s="49">
        <f>+A42</f>
        <v>37322</v>
      </c>
      <c r="B48" s="32"/>
      <c r="C48" s="32"/>
      <c r="D48" s="349">
        <f>+D38</f>
        <v>-1270</v>
      </c>
    </row>
    <row r="49" spans="1:4" x14ac:dyDescent="0.25">
      <c r="A49" s="32"/>
      <c r="B49" s="32"/>
      <c r="C49" s="32"/>
      <c r="D49" s="14">
        <f>+D48+D47</f>
        <v>-8300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workbookViewId="0">
      <selection activeCell="C10" sqref="C10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-130081</v>
      </c>
      <c r="C4" s="11">
        <v>-130000</v>
      </c>
      <c r="D4" s="25">
        <f>+C4-B4</f>
        <v>81</v>
      </c>
    </row>
    <row r="5" spans="1:4" x14ac:dyDescent="0.25">
      <c r="A5" s="10">
        <v>2</v>
      </c>
      <c r="B5" s="129">
        <v>-152636</v>
      </c>
      <c r="C5" s="11">
        <v>-151915</v>
      </c>
      <c r="D5" s="25">
        <f t="shared" ref="D5:D34" si="0">+C5-B5</f>
        <v>721</v>
      </c>
    </row>
    <row r="6" spans="1:4" x14ac:dyDescent="0.25">
      <c r="A6" s="10">
        <v>3</v>
      </c>
      <c r="B6" s="129">
        <v>-154973</v>
      </c>
      <c r="C6" s="11">
        <v>-155000</v>
      </c>
      <c r="D6" s="25">
        <f t="shared" si="0"/>
        <v>-27</v>
      </c>
    </row>
    <row r="7" spans="1:4" x14ac:dyDescent="0.25">
      <c r="A7" s="10">
        <v>4</v>
      </c>
      <c r="B7" s="129">
        <v>-155012</v>
      </c>
      <c r="C7" s="11">
        <v>-155000</v>
      </c>
      <c r="D7" s="25">
        <f t="shared" si="0"/>
        <v>12</v>
      </c>
    </row>
    <row r="8" spans="1:4" x14ac:dyDescent="0.25">
      <c r="A8" s="10">
        <v>5</v>
      </c>
      <c r="B8" s="129">
        <v>-181059</v>
      </c>
      <c r="C8" s="11">
        <v>-180297</v>
      </c>
      <c r="D8" s="25">
        <f t="shared" si="0"/>
        <v>762</v>
      </c>
    </row>
    <row r="9" spans="1:4" x14ac:dyDescent="0.25">
      <c r="A9" s="10">
        <v>6</v>
      </c>
      <c r="B9" s="129">
        <v>-209980</v>
      </c>
      <c r="C9" s="11">
        <v>-209580</v>
      </c>
      <c r="D9" s="25">
        <f t="shared" si="0"/>
        <v>400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-983741</v>
      </c>
      <c r="C35" s="11">
        <f>SUM(C4:C34)</f>
        <v>-981792</v>
      </c>
      <c r="D35" s="11">
        <f>SUM(D4:D34)</f>
        <v>1949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37315</v>
      </c>
      <c r="D38" s="575">
        <v>5393</v>
      </c>
    </row>
    <row r="39" spans="1:30" x14ac:dyDescent="0.25">
      <c r="A39" s="12"/>
      <c r="D39" s="51"/>
    </row>
    <row r="40" spans="1:30" x14ac:dyDescent="0.25">
      <c r="A40" s="245">
        <v>37321</v>
      </c>
      <c r="D40" s="51">
        <f>+D38+D35</f>
        <v>7342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149</v>
      </c>
      <c r="B44" s="32"/>
      <c r="C44" s="32"/>
      <c r="D44" s="471"/>
      <c r="K44"/>
    </row>
    <row r="45" spans="1:30" x14ac:dyDescent="0.25">
      <c r="A45" s="49">
        <f>+A38</f>
        <v>37315</v>
      </c>
      <c r="B45" s="32"/>
      <c r="C45" s="32"/>
      <c r="D45" s="574">
        <v>-192893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37321</v>
      </c>
      <c r="B46" s="32"/>
      <c r="C46" s="32"/>
      <c r="D46" s="374">
        <f>+D35*'by type_area'!G4</f>
        <v>4638.62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-188254.38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E28" sqref="E28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-582808</v>
      </c>
      <c r="C4" s="11">
        <v>-589587</v>
      </c>
      <c r="D4" s="11"/>
      <c r="E4" s="11"/>
      <c r="F4" s="25">
        <f>+E4+C4-D4-B4</f>
        <v>-6779</v>
      </c>
      <c r="H4" s="10"/>
      <c r="I4" s="11"/>
    </row>
    <row r="5" spans="1:11" x14ac:dyDescent="0.25">
      <c r="A5" s="10">
        <v>2</v>
      </c>
      <c r="B5" s="11">
        <v>-491131</v>
      </c>
      <c r="C5" s="11">
        <v>-493683</v>
      </c>
      <c r="D5" s="11"/>
      <c r="E5" s="11"/>
      <c r="F5" s="25">
        <f t="shared" ref="F5:F34" si="0">+C5-B5+E5-D5</f>
        <v>-2552</v>
      </c>
      <c r="H5" s="10"/>
      <c r="I5" s="11"/>
    </row>
    <row r="6" spans="1:11" x14ac:dyDescent="0.25">
      <c r="A6" s="10">
        <v>3</v>
      </c>
      <c r="B6" s="11">
        <v>-483505</v>
      </c>
      <c r="C6" s="11">
        <v>-493167</v>
      </c>
      <c r="D6" s="11"/>
      <c r="E6" s="11"/>
      <c r="F6" s="25">
        <f t="shared" si="0"/>
        <v>-9662</v>
      </c>
      <c r="H6" s="10"/>
      <c r="I6" s="11"/>
    </row>
    <row r="7" spans="1:11" x14ac:dyDescent="0.25">
      <c r="A7" s="10">
        <v>4</v>
      </c>
      <c r="B7" s="11">
        <v>-445803</v>
      </c>
      <c r="C7" s="11">
        <v>-487144</v>
      </c>
      <c r="D7" s="11"/>
      <c r="E7" s="11"/>
      <c r="F7" s="25">
        <f t="shared" si="0"/>
        <v>-41341</v>
      </c>
      <c r="H7" s="10"/>
      <c r="I7" s="11"/>
      <c r="K7" s="25"/>
    </row>
    <row r="8" spans="1:11" x14ac:dyDescent="0.25">
      <c r="A8" s="10">
        <v>5</v>
      </c>
      <c r="B8" s="129">
        <v>-518969</v>
      </c>
      <c r="C8" s="11">
        <v>-516271</v>
      </c>
      <c r="D8" s="11"/>
      <c r="E8" s="11"/>
      <c r="F8" s="25">
        <f t="shared" si="0"/>
        <v>2698</v>
      </c>
      <c r="H8" s="10"/>
      <c r="I8" s="11"/>
    </row>
    <row r="9" spans="1:11" x14ac:dyDescent="0.25">
      <c r="A9" s="10">
        <v>6</v>
      </c>
      <c r="B9" s="11">
        <v>-574375</v>
      </c>
      <c r="C9" s="11">
        <v>-598988</v>
      </c>
      <c r="D9" s="11"/>
      <c r="E9" s="11"/>
      <c r="F9" s="25">
        <f t="shared" si="0"/>
        <v>-24613</v>
      </c>
      <c r="H9" s="10"/>
      <c r="I9" s="11"/>
    </row>
    <row r="10" spans="1:11" x14ac:dyDescent="0.25">
      <c r="A10" s="10">
        <v>7</v>
      </c>
      <c r="B10" s="129">
        <v>-558264</v>
      </c>
      <c r="C10" s="11">
        <v>-565744</v>
      </c>
      <c r="D10" s="129"/>
      <c r="E10" s="11"/>
      <c r="F10" s="25">
        <f t="shared" si="0"/>
        <v>-7480</v>
      </c>
      <c r="H10" s="10"/>
      <c r="I10" s="11"/>
    </row>
    <row r="11" spans="1:11" x14ac:dyDescent="0.25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5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5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5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-3654855</v>
      </c>
      <c r="C35" s="11">
        <f>SUM(C4:C34)</f>
        <v>-3744584</v>
      </c>
      <c r="D35" s="11">
        <f>SUM(D4:D34)</f>
        <v>0</v>
      </c>
      <c r="E35" s="11">
        <f>SUM(E4:E34)</f>
        <v>0</v>
      </c>
      <c r="F35" s="11">
        <f>SUM(F4:F34)</f>
        <v>-89729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37315</v>
      </c>
      <c r="D38" s="246"/>
      <c r="E38" s="246"/>
      <c r="F38" s="576">
        <v>78476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37322</v>
      </c>
      <c r="D40" s="246"/>
      <c r="E40" s="246"/>
      <c r="F40" s="51">
        <f>+F38+F35</f>
        <v>-11253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6" x14ac:dyDescent="0.3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5">
      <c r="A44" s="32" t="s">
        <v>149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5">
      <c r="A45" s="49">
        <f>+A38</f>
        <v>37315</v>
      </c>
      <c r="B45" s="32"/>
      <c r="C45" s="32"/>
      <c r="D45" s="574">
        <v>277487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5">
      <c r="A46" s="49">
        <f>+A40</f>
        <v>37322</v>
      </c>
      <c r="B46" s="32"/>
      <c r="C46" s="32"/>
      <c r="D46" s="472">
        <f>+F35*'by type_area'!G4</f>
        <v>-213555.02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5">
      <c r="A47" s="32"/>
      <c r="B47" s="32"/>
      <c r="C47" s="32"/>
      <c r="D47" s="470">
        <f>+D46+D45</f>
        <v>63931.98000000001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5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5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5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5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5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5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5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5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5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5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5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5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5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5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5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5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5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5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5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5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5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5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5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18" workbookViewId="0">
      <selection activeCell="E27" sqref="E27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33203125" style="32" bestFit="1" customWidth="1"/>
    <col min="20" max="20" width="10.6640625" style="32" bestFit="1" customWidth="1"/>
    <col min="21" max="16384" width="9.10937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0" t="s">
        <v>49</v>
      </c>
    </row>
    <row r="3" spans="1:19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1" t="s">
        <v>49</v>
      </c>
      <c r="Q3" s="512" t="s">
        <v>15</v>
      </c>
      <c r="R3" s="513" t="s">
        <v>27</v>
      </c>
    </row>
    <row r="4" spans="1:19" ht="18" customHeight="1" x14ac:dyDescent="0.2">
      <c r="A4" s="41">
        <v>1</v>
      </c>
      <c r="B4" s="11">
        <v>-57642</v>
      </c>
      <c r="C4" s="11">
        <v>-27902</v>
      </c>
      <c r="D4" s="11">
        <v>-1041</v>
      </c>
      <c r="E4" s="11">
        <v>-29999</v>
      </c>
      <c r="F4" s="11"/>
      <c r="G4" s="11"/>
      <c r="H4" s="11">
        <f>+G4+E4+C4-F4-D4-B4</f>
        <v>782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-123929</v>
      </c>
      <c r="C5" s="11">
        <v>-22209</v>
      </c>
      <c r="D5" s="129">
        <v>-22574</v>
      </c>
      <c r="E5" s="11">
        <v>-122705</v>
      </c>
      <c r="F5" s="11"/>
      <c r="G5" s="11"/>
      <c r="H5" s="11">
        <f t="shared" ref="H5:H34" si="0">+G5+E5+C5-F5-D5-B5</f>
        <v>1589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5.63</v>
      </c>
      <c r="R5" s="15">
        <f t="shared" ref="R5:R16" si="2">+Q5*P5</f>
        <v>74659.429999999993</v>
      </c>
    </row>
    <row r="6" spans="1:19" ht="18" customHeight="1" x14ac:dyDescent="0.2">
      <c r="A6" s="41">
        <v>3</v>
      </c>
      <c r="B6" s="11">
        <v>-123002</v>
      </c>
      <c r="C6" s="11">
        <v>-22209</v>
      </c>
      <c r="D6" s="11">
        <v>-23111</v>
      </c>
      <c r="E6" s="11">
        <v>-122705</v>
      </c>
      <c r="F6" s="11"/>
      <c r="G6" s="11"/>
      <c r="H6" s="11">
        <f t="shared" si="0"/>
        <v>1199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-130357</v>
      </c>
      <c r="C7" s="11">
        <v>-27245</v>
      </c>
      <c r="D7" s="129"/>
      <c r="E7" s="11">
        <v>-102967</v>
      </c>
      <c r="F7" s="11"/>
      <c r="G7" s="11"/>
      <c r="H7" s="11">
        <f t="shared" si="0"/>
        <v>145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-69336</v>
      </c>
      <c r="C8" s="11">
        <v>-14843</v>
      </c>
      <c r="D8" s="11"/>
      <c r="E8" s="11">
        <v>-53701</v>
      </c>
      <c r="F8" s="11"/>
      <c r="G8" s="11"/>
      <c r="H8" s="11">
        <f t="shared" si="0"/>
        <v>792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-77586</v>
      </c>
      <c r="C9" s="11">
        <v>-13450</v>
      </c>
      <c r="D9" s="11"/>
      <c r="E9" s="11">
        <v>-63506</v>
      </c>
      <c r="F9" s="11"/>
      <c r="G9" s="11"/>
      <c r="H9" s="11">
        <f t="shared" si="0"/>
        <v>630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541499.83000000007</v>
      </c>
    </row>
    <row r="20" spans="1:18" ht="13.2" x14ac:dyDescent="0.25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02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2"/>
      <c r="L22" s="11"/>
      <c r="M22" s="11"/>
      <c r="N22" s="11"/>
      <c r="O22" s="2"/>
      <c r="R22" s="15">
        <f>+R21+R19</f>
        <v>-49514.519999999902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2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2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2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2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2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2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2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2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2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2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2"/>
      <c r="L34" s="11"/>
      <c r="M34" s="11"/>
      <c r="N34" s="11"/>
    </row>
    <row r="35" spans="1:14" x14ac:dyDescent="0.2">
      <c r="A35" s="41"/>
      <c r="B35" s="11">
        <f t="shared" ref="B35:H35" si="3">SUM(B4:B34)</f>
        <v>-581852</v>
      </c>
      <c r="C35" s="44">
        <f t="shared" si="3"/>
        <v>-127858</v>
      </c>
      <c r="D35" s="11">
        <f t="shared" si="3"/>
        <v>-46726</v>
      </c>
      <c r="E35" s="44">
        <f t="shared" si="3"/>
        <v>-495583</v>
      </c>
      <c r="F35" s="11">
        <f t="shared" si="3"/>
        <v>0</v>
      </c>
      <c r="G35" s="11">
        <f t="shared" si="3"/>
        <v>0</v>
      </c>
      <c r="H35" s="11">
        <f t="shared" si="3"/>
        <v>5137</v>
      </c>
      <c r="I35" s="11"/>
      <c r="J35" s="102"/>
      <c r="K35" s="502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2.38</v>
      </c>
      <c r="I36" s="11"/>
      <c r="J36" s="102"/>
      <c r="K36" s="502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12226.06</v>
      </c>
      <c r="I37" s="11"/>
      <c r="J37" s="102"/>
      <c r="K37" s="502"/>
      <c r="L37" s="11"/>
      <c r="M37" s="11"/>
      <c r="N37" s="11"/>
    </row>
    <row r="38" spans="1:14" x14ac:dyDescent="0.2">
      <c r="C38" s="24"/>
      <c r="D38" s="47"/>
      <c r="E38" s="474">
        <v>37315</v>
      </c>
      <c r="F38" s="471"/>
      <c r="G38" s="265"/>
      <c r="H38" s="490">
        <v>35630</v>
      </c>
      <c r="I38" s="262"/>
      <c r="J38" s="102"/>
      <c r="K38" s="503"/>
      <c r="L38" s="14"/>
      <c r="M38" s="14"/>
      <c r="N38" s="16"/>
    </row>
    <row r="39" spans="1:14" x14ac:dyDescent="0.2">
      <c r="C39" s="14"/>
      <c r="D39" s="47"/>
      <c r="E39" s="263">
        <v>37321</v>
      </c>
      <c r="F39" s="471"/>
      <c r="G39" s="471"/>
      <c r="H39" s="319">
        <f>+H38+H37</f>
        <v>47856.06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4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5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5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37315</v>
      </c>
      <c r="E46" s="482">
        <v>44686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37321</v>
      </c>
      <c r="E47" s="457">
        <f>+H35</f>
        <v>5137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49823</v>
      </c>
      <c r="F48" s="129"/>
      <c r="G48" s="129"/>
      <c r="H48" s="129"/>
      <c r="I48" s="262"/>
      <c r="J48" s="102"/>
      <c r="K48" s="506"/>
      <c r="L48" s="38"/>
      <c r="M48" s="4"/>
    </row>
    <row r="49" spans="1:15" ht="13.2" x14ac:dyDescent="0.25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7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2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2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2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2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2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2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2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2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2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2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2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2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2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2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2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2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2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2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2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2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2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2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2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2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2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2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2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2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2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2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2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2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4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5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5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6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7"/>
      <c r="L91" s="6"/>
      <c r="M91" s="6"/>
    </row>
    <row r="92" spans="1:14" x14ac:dyDescent="0.2">
      <c r="I92" s="11"/>
      <c r="J92" s="11"/>
      <c r="K92" s="502"/>
      <c r="L92" s="11"/>
      <c r="M92" s="11"/>
      <c r="N92" s="11"/>
    </row>
    <row r="93" spans="1:14" x14ac:dyDescent="0.2">
      <c r="G93" s="41"/>
      <c r="H93" s="11"/>
      <c r="I93" s="11"/>
      <c r="J93" s="11"/>
      <c r="K93" s="502"/>
      <c r="L93" s="11"/>
      <c r="M93" s="11"/>
      <c r="N93" s="11"/>
    </row>
    <row r="94" spans="1:14" x14ac:dyDescent="0.2">
      <c r="G94" s="41"/>
      <c r="H94" s="11"/>
      <c r="I94" s="11"/>
      <c r="J94" s="11"/>
      <c r="K94" s="502"/>
      <c r="L94" s="11"/>
      <c r="M94" s="11"/>
      <c r="N94" s="11"/>
    </row>
    <row r="95" spans="1:14" x14ac:dyDescent="0.2">
      <c r="G95" s="41"/>
      <c r="H95" s="11"/>
      <c r="I95" s="11"/>
      <c r="J95" s="11"/>
      <c r="K95" s="502"/>
      <c r="L95" s="11"/>
      <c r="M95" s="11"/>
      <c r="N95" s="11"/>
    </row>
    <row r="96" spans="1:14" x14ac:dyDescent="0.2">
      <c r="G96" s="41"/>
      <c r="H96" s="11"/>
      <c r="I96" s="11"/>
      <c r="J96" s="11"/>
      <c r="K96" s="502"/>
      <c r="L96" s="11"/>
      <c r="M96" s="11"/>
      <c r="N96" s="11"/>
    </row>
    <row r="97" spans="7:14" x14ac:dyDescent="0.2">
      <c r="G97" s="41"/>
      <c r="H97" s="11"/>
      <c r="I97" s="11"/>
      <c r="J97" s="11"/>
      <c r="K97" s="502"/>
      <c r="L97" s="11"/>
      <c r="M97" s="11"/>
      <c r="N97" s="11"/>
    </row>
    <row r="98" spans="7:14" x14ac:dyDescent="0.2">
      <c r="G98" s="41"/>
      <c r="H98" s="11"/>
      <c r="I98" s="11"/>
      <c r="J98" s="11"/>
      <c r="K98" s="502"/>
      <c r="L98" s="11"/>
      <c r="M98" s="11"/>
      <c r="N98" s="11"/>
    </row>
    <row r="99" spans="7:14" x14ac:dyDescent="0.2">
      <c r="G99" s="41"/>
      <c r="H99" s="11"/>
      <c r="I99" s="11"/>
      <c r="J99" s="11"/>
      <c r="K99" s="502"/>
      <c r="L99" s="11"/>
      <c r="M99" s="11"/>
      <c r="N99" s="11"/>
    </row>
    <row r="100" spans="7:14" x14ac:dyDescent="0.2">
      <c r="G100" s="41"/>
      <c r="H100" s="11"/>
      <c r="I100" s="11"/>
      <c r="J100" s="11"/>
      <c r="K100" s="502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2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2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2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2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2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2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2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2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2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2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2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2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2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2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2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2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2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2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2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2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2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2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4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5"/>
      <c r="L127" s="50"/>
      <c r="M127" s="50"/>
      <c r="N127" s="106"/>
    </row>
    <row r="128" spans="7:14" x14ac:dyDescent="0.2">
      <c r="G128" s="57"/>
      <c r="J128" s="50"/>
      <c r="K128" s="505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6"/>
      <c r="L133" s="38"/>
      <c r="M133" s="4"/>
    </row>
    <row r="134" spans="7:14" x14ac:dyDescent="0.2">
      <c r="G134" s="39"/>
      <c r="H134" s="6"/>
      <c r="I134" s="40"/>
      <c r="J134" s="6"/>
      <c r="K134" s="507"/>
      <c r="L134" s="6"/>
      <c r="M134" s="6"/>
    </row>
    <row r="135" spans="7:14" x14ac:dyDescent="0.2">
      <c r="G135" s="41"/>
      <c r="H135" s="11"/>
      <c r="I135" s="11"/>
      <c r="J135" s="11"/>
      <c r="K135" s="502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2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2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2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2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2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2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2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2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2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2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2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2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2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2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2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2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2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2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2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2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2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2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2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2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2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2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2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2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2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8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9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4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5"/>
      <c r="L171" s="57"/>
      <c r="M171" s="50"/>
      <c r="N171" s="106"/>
    </row>
    <row r="172" spans="7:14" x14ac:dyDescent="0.2">
      <c r="J172" s="50"/>
      <c r="K172" s="505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6"/>
      <c r="L177" s="38"/>
      <c r="M177" s="4"/>
    </row>
    <row r="178" spans="7:14" x14ac:dyDescent="0.2">
      <c r="G178" s="39"/>
      <c r="H178" s="6"/>
      <c r="I178" s="40"/>
      <c r="J178" s="6"/>
      <c r="K178" s="507"/>
      <c r="L178" s="6"/>
      <c r="M178" s="6"/>
    </row>
    <row r="179" spans="7:14" x14ac:dyDescent="0.2">
      <c r="G179" s="41"/>
      <c r="H179" s="11"/>
      <c r="I179" s="11"/>
      <c r="J179" s="11"/>
      <c r="K179" s="502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2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2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2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2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2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2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2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2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2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2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2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2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2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2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2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2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2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2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2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2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2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2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2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2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2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2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2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2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2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8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9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4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5"/>
      <c r="L215" s="57"/>
      <c r="M215" s="50"/>
      <c r="N215" s="106"/>
    </row>
    <row r="216" spans="7:14" x14ac:dyDescent="0.2">
      <c r="J216" s="50"/>
      <c r="K216" s="505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6"/>
      <c r="L220" s="38"/>
      <c r="M220" s="4"/>
    </row>
    <row r="221" spans="7:14" x14ac:dyDescent="0.2">
      <c r="G221" s="39"/>
      <c r="H221" s="6"/>
      <c r="I221" s="40"/>
      <c r="J221" s="6"/>
      <c r="K221" s="507"/>
      <c r="L221" s="6"/>
      <c r="M221" s="6"/>
    </row>
    <row r="222" spans="7:14" x14ac:dyDescent="0.2">
      <c r="G222" s="41"/>
      <c r="H222" s="11"/>
      <c r="I222" s="11"/>
      <c r="J222" s="11"/>
      <c r="K222" s="502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2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2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2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2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2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2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2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2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2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2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2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2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2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2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2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2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2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2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2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2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2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2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2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2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2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2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2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2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2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8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9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4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5"/>
      <c r="L258" s="57"/>
      <c r="M258" s="50"/>
      <c r="N258" s="106"/>
    </row>
    <row r="259" spans="10:14" x14ac:dyDescent="0.2">
      <c r="J259" s="50"/>
      <c r="K259" s="505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39" sqref="E39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-280105</v>
      </c>
      <c r="E5" s="11">
        <v>-279189</v>
      </c>
      <c r="F5" s="11"/>
      <c r="G5" s="11"/>
      <c r="H5" s="24">
        <f>+E5-D5+C5-B5</f>
        <v>916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-281156</v>
      </c>
      <c r="E6" s="11">
        <v>-281443</v>
      </c>
      <c r="F6" s="11"/>
      <c r="G6" s="11"/>
      <c r="H6" s="24">
        <f t="shared" ref="H6:H35" si="0">+E6-D6+C6-B6</f>
        <v>-287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-278046</v>
      </c>
      <c r="E7" s="129">
        <v>-278687</v>
      </c>
      <c r="F7" s="11"/>
      <c r="G7" s="11"/>
      <c r="H7" s="24">
        <f t="shared" si="0"/>
        <v>-641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-288230</v>
      </c>
      <c r="E8" s="129">
        <v>-286496</v>
      </c>
      <c r="F8" s="11"/>
      <c r="G8" s="11"/>
      <c r="H8" s="24">
        <f t="shared" si="0"/>
        <v>1734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-275663</v>
      </c>
      <c r="E9" s="11">
        <v>-277168</v>
      </c>
      <c r="F9" s="11"/>
      <c r="G9" s="11"/>
      <c r="H9" s="24">
        <f t="shared" si="0"/>
        <v>-1505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-305799</v>
      </c>
      <c r="E10" s="11">
        <v>-311288</v>
      </c>
      <c r="F10" s="11"/>
      <c r="G10" s="11"/>
      <c r="H10" s="24">
        <f t="shared" si="0"/>
        <v>-5489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-1708999</v>
      </c>
      <c r="E36" s="11">
        <f t="shared" si="15"/>
        <v>-1714271</v>
      </c>
      <c r="F36" s="11">
        <f t="shared" si="15"/>
        <v>0</v>
      </c>
      <c r="G36" s="11">
        <f t="shared" si="15"/>
        <v>0</v>
      </c>
      <c r="H36" s="11">
        <f t="shared" si="15"/>
        <v>-5272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-5272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37315</v>
      </c>
      <c r="B38" s="2" t="s">
        <v>45</v>
      </c>
      <c r="C38" s="578">
        <v>64269</v>
      </c>
      <c r="D38" s="320"/>
      <c r="E38" s="579">
        <v>-26822</v>
      </c>
      <c r="F38" s="24"/>
      <c r="G38" s="24"/>
      <c r="H38" s="236">
        <f>+C38+E38+G38</f>
        <v>37447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37321</v>
      </c>
      <c r="B39" s="2" t="s">
        <v>45</v>
      </c>
      <c r="C39" s="131">
        <f>+C38+C37</f>
        <v>64269</v>
      </c>
      <c r="D39" s="252"/>
      <c r="E39" s="131">
        <f>+E38+E37</f>
        <v>-32094</v>
      </c>
      <c r="F39" s="252"/>
      <c r="G39" s="131"/>
      <c r="H39" s="131">
        <f>+H38+H36</f>
        <v>32175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37315</v>
      </c>
      <c r="B44" s="32"/>
      <c r="C44" s="577">
        <v>-1582961.01</v>
      </c>
      <c r="D44" s="205"/>
      <c r="E44" s="580">
        <v>925707</v>
      </c>
      <c r="F44" s="47">
        <f>+E44+C44</f>
        <v>-657254.01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37321</v>
      </c>
      <c r="B45" s="32"/>
      <c r="C45" s="47">
        <f>+C37*summary!G4</f>
        <v>0</v>
      </c>
      <c r="D45" s="205"/>
      <c r="E45" s="376">
        <f>+E37*summary!G3</f>
        <v>-12441.92</v>
      </c>
      <c r="F45" s="47">
        <f>+E45+C45</f>
        <v>-12441.92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B39" sqref="B39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144345</v>
      </c>
      <c r="C8" s="11">
        <v>144238</v>
      </c>
      <c r="D8" s="11">
        <v>21111</v>
      </c>
      <c r="E8" s="11">
        <v>16790</v>
      </c>
      <c r="F8" s="11">
        <f>+C8-B8+E8-D8</f>
        <v>-4428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144519</v>
      </c>
      <c r="C9" s="11">
        <v>143911</v>
      </c>
      <c r="D9" s="11">
        <v>19863</v>
      </c>
      <c r="E9" s="11">
        <v>20284</v>
      </c>
      <c r="F9" s="11">
        <f t="shared" ref="F9:F39" si="5">+C9-B9+E9-D9</f>
        <v>-187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143979</v>
      </c>
      <c r="C10" s="11">
        <v>143773</v>
      </c>
      <c r="D10" s="11">
        <v>19802</v>
      </c>
      <c r="E10" s="11">
        <v>20284</v>
      </c>
      <c r="F10" s="11">
        <f t="shared" si="5"/>
        <v>276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144558</v>
      </c>
      <c r="C11" s="11">
        <v>143722</v>
      </c>
      <c r="D11" s="11">
        <v>19333</v>
      </c>
      <c r="E11" s="11">
        <v>20284</v>
      </c>
      <c r="F11" s="11">
        <f t="shared" si="5"/>
        <v>115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144384</v>
      </c>
      <c r="C12" s="11">
        <v>143384</v>
      </c>
      <c r="D12" s="11">
        <v>21226</v>
      </c>
      <c r="E12" s="11">
        <v>20284</v>
      </c>
      <c r="F12" s="11">
        <f t="shared" si="5"/>
        <v>-1942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166219</v>
      </c>
      <c r="C13" s="11">
        <v>165477</v>
      </c>
      <c r="D13" s="11">
        <v>20514</v>
      </c>
      <c r="E13" s="11">
        <v>19839</v>
      </c>
      <c r="F13" s="11">
        <f t="shared" si="5"/>
        <v>-1417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170788</v>
      </c>
      <c r="C14" s="11">
        <v>167143</v>
      </c>
      <c r="D14" s="11">
        <v>21059</v>
      </c>
      <c r="E14" s="11">
        <v>19176</v>
      </c>
      <c r="F14" s="11">
        <f t="shared" si="5"/>
        <v>-5528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/>
      <c r="C15" s="11"/>
      <c r="D15" s="129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/>
      <c r="C16" s="11"/>
      <c r="D16" s="129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494">
        <f>+A45</f>
        <v>37322</v>
      </c>
      <c r="I23" s="11">
        <f>+B39</f>
        <v>1058792</v>
      </c>
      <c r="J23" s="11">
        <f>+C39</f>
        <v>1051648</v>
      </c>
      <c r="K23" s="11">
        <f>+D39</f>
        <v>142908</v>
      </c>
      <c r="L23" s="11">
        <f>+E39</f>
        <v>136941</v>
      </c>
      <c r="M23" s="42">
        <f>+J23-I23+L23-K23</f>
        <v>-13111</v>
      </c>
      <c r="N23" s="102">
        <f>+summary!G3</f>
        <v>2.36</v>
      </c>
      <c r="O23" s="496">
        <f>+N23*M23</f>
        <v>-30941.96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495">
        <f>SUM(M9:M23)</f>
        <v>76689</v>
      </c>
      <c r="N24" s="102"/>
      <c r="O24" s="102">
        <f>SUM(O9:O23)</f>
        <v>537174.38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3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1058792</v>
      </c>
      <c r="C39" s="150">
        <f>SUM(C8:C38)</f>
        <v>1051648</v>
      </c>
      <c r="D39" s="150">
        <f>SUM(D8:D38)</f>
        <v>142908</v>
      </c>
      <c r="E39" s="150">
        <f>SUM(E8:E38)</f>
        <v>136941</v>
      </c>
      <c r="F39" s="11">
        <f t="shared" si="5"/>
        <v>-13111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48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37315</v>
      </c>
      <c r="B44" s="32"/>
      <c r="C44" s="460"/>
      <c r="D44" s="111"/>
      <c r="E44" s="460"/>
      <c r="F44" s="565">
        <v>64258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37322</v>
      </c>
      <c r="B45" s="32"/>
      <c r="C45" s="106"/>
      <c r="D45" s="106"/>
      <c r="E45" s="106"/>
      <c r="F45" s="24">
        <f>+F44+F39</f>
        <v>51147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286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37315</v>
      </c>
      <c r="B50" s="32"/>
      <c r="C50" s="32"/>
      <c r="D50" s="488">
        <v>481386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37322</v>
      </c>
      <c r="B51" s="32"/>
      <c r="C51" s="32"/>
      <c r="D51" s="349">
        <f>+F39*summary!G3</f>
        <v>-30941.96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450444.04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75"/>
      <c r="F53" s="34">
        <f>+D52/F45</f>
        <v>8.8068516237511485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28</vt:i4>
      </vt:variant>
    </vt:vector>
  </HeadingPairs>
  <TitlesOfParts>
    <vt:vector size="73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Amarillo!Print_Area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2002-03-07T18:55:25Z</cp:lastPrinted>
  <dcterms:created xsi:type="dcterms:W3CDTF">2000-03-28T16:52:23Z</dcterms:created>
  <dcterms:modified xsi:type="dcterms:W3CDTF">2023-09-10T15:06:31Z</dcterms:modified>
</cp:coreProperties>
</file>