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  <workbookView xWindow="360" yWindow="96" windowWidth="9720" windowHeight="6792" tabRatio="895" activeTab="2"/>
    <workbookView xWindow="600" yWindow="288" windowWidth="9720" windowHeight="6600" activeTab="1"/>
    <workbookView xWindow="840" yWindow="480" windowWidth="10860" windowHeight="6408" tabRatio="60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type'!$A$2:$M$81</definedName>
    <definedName name="_xlnm.Print_Area" localSheetId="27">Calpine!$A$3:$D$48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PGETX!$K$4:$P$19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J46" i="80"/>
  <c r="K46" i="80"/>
  <c r="J47" i="80"/>
  <c r="J48" i="80"/>
  <c r="B55" i="80"/>
  <c r="C55" i="80"/>
  <c r="D55" i="80"/>
  <c r="E55" i="80"/>
  <c r="F55" i="80"/>
  <c r="B56" i="80"/>
  <c r="C56" i="80"/>
  <c r="D56" i="80"/>
  <c r="E56" i="80"/>
  <c r="F56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B62" i="80"/>
  <c r="C62" i="80"/>
  <c r="D62" i="80"/>
  <c r="E62" i="80"/>
  <c r="F62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B76" i="80"/>
  <c r="C76" i="80"/>
  <c r="D76" i="80"/>
  <c r="E76" i="80"/>
  <c r="B79" i="80"/>
  <c r="B80" i="80"/>
  <c r="A118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B5" i="78"/>
  <c r="D5" i="78"/>
  <c r="B6" i="78"/>
  <c r="D6" i="78"/>
  <c r="D7" i="78"/>
  <c r="B8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12" i="20"/>
  <c r="B13" i="20"/>
  <c r="B14" i="20"/>
  <c r="B15" i="20"/>
  <c r="B16" i="20"/>
  <c r="B17" i="20"/>
  <c r="B18" i="20"/>
  <c r="C18" i="20"/>
  <c r="C19" i="20"/>
  <c r="B30" i="20"/>
  <c r="B31" i="20"/>
  <c r="C31" i="20"/>
  <c r="C32" i="20"/>
  <c r="E37" i="20"/>
  <c r="E38" i="20"/>
  <c r="F38" i="20"/>
  <c r="G38" i="20"/>
  <c r="H38" i="20"/>
  <c r="F39" i="20"/>
  <c r="G39" i="20"/>
  <c r="H39" i="20"/>
  <c r="I39" i="20"/>
  <c r="B45" i="20"/>
  <c r="B46" i="20"/>
  <c r="C46" i="20"/>
  <c r="C47" i="20"/>
  <c r="C56" i="20"/>
  <c r="I56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<sst xmlns="http://schemas.openxmlformats.org/spreadsheetml/2006/main" count="668" uniqueCount="206">
  <si>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</si>
  <si>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</si>
  <si>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</si>
  <si>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</si>
  <si>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</si>
  <si>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</si>
  <si>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</si>
  <si>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</si>
  <si>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</si>
  <si>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</si>
  <si>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</si>
  <si>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</si>
  <si>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</si>
  <si>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</si>
  <si>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</si>
  <si>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</si>
  <si>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</si>
  <si>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</si>
  <si>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</si>
  <si>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</si>
  <si>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</si>
  <si>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</si>
  <si>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</si>
  <si>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</si>
  <si>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</si>
  <si>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</si>
  <si>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</si>
  <si>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</si>
  <si>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</si>
  <si>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</si>
  <si>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</si>
  <si>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</si>
  <si>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</si>
  <si>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</si>
  <si>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</si>
  <si>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</si>
  <si>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</si>
  <si>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</si>
  <si>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</si>
  <si>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</si>
  <si>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</si>
  <si>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</si>
  <si>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</si>
  <si>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</si>
  <si>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</si>
  <si>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</si>
  <si>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</si>
  <si>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</si>
  <si>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</si>
  <si>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</si>
  <si>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</si>
  <si>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</si>
  <si>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</si>
  <si>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</si>
  <si>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</si>
  <si>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</si>
  <si>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</si>
  <si>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</si>
  <si>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</si>
  <si>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</si>
  <si>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</si>
  <si>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</si>
  <si>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</si>
  <si>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</si>
  <si>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</si>
  <si>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</si>
  <si>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</si>
  <si>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</si>
  <si>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</si>
  <si>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</si>
  <si>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</si>
  <si>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</si>
  <si>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</si>
  <si>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</si>
  <si>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</si>
  <si>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</si>
  <si>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</si>
  <si>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</si>
  <si>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</si>
  <si>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</si>
  <si>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</si>
  <si>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</si>
  <si>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</si>
  <si>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</si>
  <si>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</si>
  <si>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</si>
  <si>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</si>
  <si>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</si>
  <si>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</si>
  <si>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</si>
  <si>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</si>
  <si>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</si>
  <si>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</si>
  <si>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</si>
  <si>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</si>
  <si>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</si>
  <si>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</si>
  <si>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</si>
  <si>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</si>
  <si>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</si>
  <si>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</si>
  <si>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</si>
  <si>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</si>
  <si>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</si>
  <si>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</si>
  <si>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</si>
  <si>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</si>
  <si>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</si>
  <si>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</si>
  <si>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</si>
  <si>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</si>
  <si>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</si>
  <si>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</si>
  <si>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</si>
  <si>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</si>
  <si>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</si>
  <si>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</si>
  <si>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</si>
  <si>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</si>
  <si>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</si>
  <si>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</si>
  <si>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</si>
  <si>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</si>
  <si>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</si>
  <si>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</si>
  <si>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</si>
  <si>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</si>
  <si>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</si>
  <si>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</si>
  <si>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</si>
  <si>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</si>
  <si>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</si>
  <si>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</si>
  <si>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</si>
  <si>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</si>
  <si>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</si>
  <si>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</si>
  <si>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</si>
  <si>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</si>
  <si>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</si>
  <si>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</si>
  <si>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</si>
  <si>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</si>
  <si>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</si>
  <si>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</si>
  <si>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</si>
  <si>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</si>
  <si>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</si>
  <si>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</si>
  <si>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</si>
  <si>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</si>
  <si>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</si>
  <si>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</si>
  <si>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</si>
  <si>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</si>
  <si>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</si>
  <si>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</si>
  <si>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</si>
  <si>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</si>
  <si>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</si>
  <si>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</si>
  <si>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</si>
  <si>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</si>
  <si>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</si>
  <si>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</si>
  <si>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</si>
  <si>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</si>
  <si>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</si>
  <si>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</si>
  <si>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</si>
  <si>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</si>
  <si>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</si>
  <si>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</si>
  <si>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</si>
  <si>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</si>
  <si>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</si>
  <si>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</si>
  <si>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</si>
  <si>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</si>
  <si>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</si>
  <si>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</si>
  <si>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</si>
  <si>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</si>
  <si>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</si>
  <si>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</si>
  <si>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</si>
  <si>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</si>
  <si>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</si>
  <si>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</si>
  <si>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</si>
  <si>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</si>
  <si>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</si>
  <si>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</si>
  <si>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</si>
  <si>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</si>
  <si>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</si>
  <si>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</si>
  <si>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</si>
  <si>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</si>
  <si>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</si>
  <si>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</si>
  <si>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</si>
  <si>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</si>
  <si>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</si>
  <si>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</si>
  <si>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>if changed to volumetric the volume would be 61,000 mmbtus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</si>
</sst>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5" fontId="25" fillId="0" borderId="0" xfId="0" applyNumberFormat="1" applyFont="1" applyFill="1" applyBorder="1"/>
    <xf numFmtId="43" fontId="0" fillId="0" borderId="0" xfId="1" applyFont="1" applyBorder="1"/>
    <xf numFmtId="5" fontId="39" fillId="0" borderId="0" xfId="0" applyNumberFormat="1" applyFont="1"/>
    <xf numFmtId="37" fontId="39" fillId="0" borderId="0" xfId="1" applyNumberFormat="1" applyFont="1"/>
    <xf numFmtId="0" fontId="39" fillId="0" borderId="0" xfId="0" applyFont="1"/>
    <xf numFmtId="0" fontId="39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166" fontId="3" fillId="3" borderId="0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09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1.97</v>
          </cell>
          <cell r="K39">
            <v>1.83</v>
          </cell>
          <cell r="M39">
            <v>1.92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/>
    <sheetView workbookViewId="1"/>
    <sheetView topLeftCell="A46" workbookViewId="2">
      <selection activeCell="G50" sqref="G50"/>
    </sheetView>
    <sheetView tabSelected="1" workbookViewId="3">
      <selection activeCell="B63" sqref="B63"/>
    </sheetView>
  </sheetViews>
  <sheetFormatPr defaultRowHeight="13.2" outlineLevelRow="2" x14ac:dyDescent="0.25"/>
  <cols>
    <col min="1" max="1" width="18.88671875" style="295" customWidth="1"/>
    <col min="2" max="2" width="11.109375" style="252" bestFit="1" customWidth="1"/>
    <col min="3" max="3" width="9.44140625" style="296" customWidth="1"/>
    <col min="4" max="4" width="9.88671875" bestFit="1" customWidth="1"/>
    <col min="5" max="5" width="10.6640625" bestFit="1" customWidth="1"/>
    <col min="6" max="6" width="5.109375" bestFit="1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0.44140625" bestFit="1" customWidth="1"/>
    <col min="13" max="13" width="34.44140625" customWidth="1"/>
  </cols>
  <sheetData>
    <row r="1" spans="1:32" ht="13.8" x14ac:dyDescent="0.25">
      <c r="A1" s="365"/>
    </row>
    <row r="2" spans="1:32" ht="12.9" customHeight="1" x14ac:dyDescent="0.25">
      <c r="A2" s="34" t="s">
        <v>145</v>
      </c>
      <c r="D2" s="7"/>
      <c r="I2" s="416" t="s">
        <v>81</v>
      </c>
      <c r="J2" s="419"/>
      <c r="K2" s="32"/>
    </row>
    <row r="3" spans="1:32" ht="12.9" customHeight="1" x14ac:dyDescent="0.25">
      <c r="D3" s="7"/>
      <c r="I3" s="417" t="s">
        <v>30</v>
      </c>
      <c r="J3" s="420">
        <f>+summary!H3</f>
        <v>1.83</v>
      </c>
      <c r="K3" s="437">
        <f ca="1">NOW()</f>
        <v>37139.73680752315</v>
      </c>
    </row>
    <row r="4" spans="1:32" ht="12.9" customHeight="1" x14ac:dyDescent="0.25">
      <c r="A4" s="34" t="s">
        <v>152</v>
      </c>
      <c r="C4" s="34" t="s">
        <v>5</v>
      </c>
      <c r="D4" s="7"/>
      <c r="I4" s="418" t="s">
        <v>31</v>
      </c>
      <c r="J4" s="420">
        <f>+summary!H4</f>
        <v>1.92</v>
      </c>
      <c r="K4" s="32"/>
    </row>
    <row r="5" spans="1:32" ht="12.9" customHeight="1" x14ac:dyDescent="0.25">
      <c r="D5" s="7"/>
      <c r="I5" s="417" t="s">
        <v>120</v>
      </c>
      <c r="J5" s="420">
        <f>+summary!H5</f>
        <v>1.97</v>
      </c>
      <c r="K5" s="32"/>
    </row>
    <row r="6" spans="1:32" ht="12" customHeight="1" x14ac:dyDescent="0.25"/>
    <row r="7" spans="1:32" ht="12.9" customHeight="1" x14ac:dyDescent="0.25">
      <c r="A7" s="435" t="s">
        <v>179</v>
      </c>
      <c r="B7" s="436"/>
      <c r="AD7" s="32"/>
      <c r="AE7" s="32"/>
      <c r="AF7" s="32"/>
    </row>
    <row r="8" spans="1:32" ht="15.9" customHeight="1" outlineLevel="2" x14ac:dyDescent="0.25">
      <c r="A8" s="32"/>
      <c r="B8" s="47"/>
      <c r="C8" s="433" t="s">
        <v>177</v>
      </c>
      <c r="D8" s="12" t="s">
        <v>156</v>
      </c>
      <c r="E8" s="12" t="s">
        <v>165</v>
      </c>
      <c r="F8" s="2" t="s">
        <v>155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99" t="s">
        <v>92</v>
      </c>
      <c r="B9" s="425" t="s">
        <v>163</v>
      </c>
      <c r="C9" s="434" t="s">
        <v>178</v>
      </c>
      <c r="D9" s="483" t="s">
        <v>0</v>
      </c>
      <c r="E9" s="39" t="s">
        <v>164</v>
      </c>
      <c r="F9" s="39" t="s">
        <v>153</v>
      </c>
      <c r="G9" s="423" t="s">
        <v>159</v>
      </c>
      <c r="H9" s="400" t="s">
        <v>104</v>
      </c>
      <c r="I9" s="399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" customHeight="1" outlineLevel="2" x14ac:dyDescent="0.25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99" t="s">
        <v>169</v>
      </c>
    </row>
    <row r="12" spans="1:32" ht="15.9" customHeight="1" outlineLevel="1" x14ac:dyDescent="0.25">
      <c r="A12" s="206" t="s">
        <v>132</v>
      </c>
      <c r="B12" s="375">
        <f>+Calpine!D41</f>
        <v>92723.76</v>
      </c>
      <c r="C12" s="402">
        <f>+B12/$J$4</f>
        <v>48293.625</v>
      </c>
      <c r="D12" s="14">
        <f>+Calpine!D47</f>
        <v>136250</v>
      </c>
      <c r="E12" s="70">
        <f>+C12-D12</f>
        <v>-87956.375</v>
      </c>
      <c r="F12" s="397">
        <f>+Calpine!A41</f>
        <v>37138</v>
      </c>
      <c r="G12" s="205"/>
      <c r="H12" s="206" t="s">
        <v>102</v>
      </c>
      <c r="I12" s="381"/>
      <c r="J12" s="70"/>
      <c r="K12" s="32"/>
    </row>
    <row r="13" spans="1:32" ht="15.9" customHeight="1" outlineLevel="2" x14ac:dyDescent="0.25">
      <c r="A13" s="32" t="s">
        <v>144</v>
      </c>
      <c r="B13" s="375">
        <f>+'Citizens-Griffith'!D41</f>
        <v>-115004.68</v>
      </c>
      <c r="C13" s="401">
        <f>+B13/$J$4</f>
        <v>-59898.270833333328</v>
      </c>
      <c r="D13" s="14">
        <f>+'Citizens-Griffith'!D48</f>
        <v>-55663</v>
      </c>
      <c r="E13" s="70">
        <f>+C13-D13</f>
        <v>-4235.2708333333285</v>
      </c>
      <c r="F13" s="397">
        <f>+'Citizens-Griffith'!A41</f>
        <v>37138</v>
      </c>
      <c r="G13" s="205" t="s">
        <v>162</v>
      </c>
      <c r="H13" s="32" t="s">
        <v>102</v>
      </c>
      <c r="I13" s="32"/>
      <c r="J13" s="32"/>
      <c r="K13" s="32"/>
    </row>
    <row r="14" spans="1:32" ht="15.9" customHeight="1" outlineLevel="2" x14ac:dyDescent="0.25">
      <c r="A14" s="32" t="s">
        <v>138</v>
      </c>
      <c r="B14" s="375">
        <f>+'NS Steel'!D41</f>
        <v>-425011.68</v>
      </c>
      <c r="C14" s="401">
        <f>+B14/$J$4</f>
        <v>-221360.25</v>
      </c>
      <c r="D14" s="14">
        <f>+'NS Steel'!D50</f>
        <v>-80150</v>
      </c>
      <c r="E14" s="70">
        <f>+C14-D14</f>
        <v>-141210.25</v>
      </c>
      <c r="F14" s="398">
        <f>+'NS Steel'!A41</f>
        <v>37138</v>
      </c>
      <c r="G14" s="205" t="s">
        <v>162</v>
      </c>
      <c r="H14" s="32" t="s">
        <v>103</v>
      </c>
      <c r="I14" s="32" t="s">
        <v>200</v>
      </c>
      <c r="J14" s="32"/>
      <c r="K14" s="32"/>
    </row>
    <row r="15" spans="1:32" ht="15.9" customHeight="1" outlineLevel="1" x14ac:dyDescent="0.25">
      <c r="A15" s="206" t="s">
        <v>140</v>
      </c>
      <c r="B15" s="378">
        <f>+Citizens!D18</f>
        <v>-733498.61</v>
      </c>
      <c r="C15" s="403">
        <f>+B15/$J$4</f>
        <v>-382030.52604166669</v>
      </c>
      <c r="D15" s="379">
        <f>+Citizens!D24</f>
        <v>-139523</v>
      </c>
      <c r="E15" s="72">
        <f>+C15-D15</f>
        <v>-242507.52604166669</v>
      </c>
      <c r="F15" s="397">
        <f>+Citizens!A18</f>
        <v>37138</v>
      </c>
      <c r="G15" s="205"/>
      <c r="H15" s="206" t="s">
        <v>102</v>
      </c>
      <c r="I15" s="474" t="s">
        <v>199</v>
      </c>
      <c r="J15" s="32"/>
      <c r="K15" s="32"/>
      <c r="T15" s="267"/>
    </row>
    <row r="16" spans="1:32" ht="15.9" customHeight="1" outlineLevel="2" x14ac:dyDescent="0.25">
      <c r="A16" s="153" t="s">
        <v>170</v>
      </c>
      <c r="B16" s="421">
        <f>SUBTOTAL(9,B12:B15)</f>
        <v>-1180791.21</v>
      </c>
      <c r="C16" s="428">
        <f>SUBTOTAL(9,C12:C15)</f>
        <v>-614995.421875</v>
      </c>
      <c r="D16" s="429">
        <f>SUBTOTAL(9,D12:D15)</f>
        <v>-139086</v>
      </c>
      <c r="E16" s="430">
        <f>SUBTOTAL(9,E12:E15)</f>
        <v>-475909.421875</v>
      </c>
      <c r="F16" s="397"/>
      <c r="G16" s="205"/>
      <c r="H16" s="206"/>
      <c r="I16" s="381"/>
      <c r="J16" s="32"/>
      <c r="K16" s="32"/>
      <c r="T16" s="267"/>
    </row>
    <row r="17" spans="1:20" ht="12.9" customHeight="1" outlineLevel="2" x14ac:dyDescent="0.25">
      <c r="G17" s="7"/>
    </row>
    <row r="18" spans="1:20" ht="15.9" customHeight="1" outlineLevel="2" x14ac:dyDescent="0.25">
      <c r="A18" s="432" t="s">
        <v>59</v>
      </c>
      <c r="G18" s="7"/>
    </row>
    <row r="19" spans="1:20" ht="15.9" customHeight="1" outlineLevel="2" x14ac:dyDescent="0.25">
      <c r="A19" s="32" t="s">
        <v>74</v>
      </c>
      <c r="B19" s="376">
        <f>+transcol!$D$43</f>
        <v>34766.68</v>
      </c>
      <c r="C19" s="401">
        <f>+B19/$J$4</f>
        <v>18107.645833333336</v>
      </c>
      <c r="D19" s="14">
        <f>+transcol!D50</f>
        <v>-39688</v>
      </c>
      <c r="E19" s="70">
        <f>+C19-D19</f>
        <v>57795.645833333336</v>
      </c>
      <c r="F19" s="398">
        <f>+transcol!A43</f>
        <v>37138</v>
      </c>
      <c r="G19" s="205" t="s">
        <v>161</v>
      </c>
      <c r="H19" s="32" t="s">
        <v>118</v>
      </c>
      <c r="I19" s="32"/>
      <c r="J19" s="32"/>
      <c r="K19" s="32"/>
      <c r="T19" s="267"/>
    </row>
    <row r="20" spans="1:20" ht="15.9" customHeight="1" outlineLevel="2" x14ac:dyDescent="0.25">
      <c r="A20" s="206" t="s">
        <v>98</v>
      </c>
      <c r="B20" s="378">
        <f>+burlington!D42</f>
        <v>9936.130000000001</v>
      </c>
      <c r="C20" s="405">
        <f>+B20/$J$3</f>
        <v>5429.579234972678</v>
      </c>
      <c r="D20" s="379">
        <f>+burlington!D49</f>
        <v>3489</v>
      </c>
      <c r="E20" s="72">
        <f>+C20-D20</f>
        <v>1940.579234972678</v>
      </c>
      <c r="F20" s="397">
        <f>+burlington!A42</f>
        <v>37138</v>
      </c>
      <c r="G20" s="205" t="s">
        <v>162</v>
      </c>
      <c r="H20" s="32" t="s">
        <v>116</v>
      </c>
      <c r="I20" s="32" t="s">
        <v>150</v>
      </c>
      <c r="J20" s="32"/>
      <c r="K20" s="32"/>
    </row>
    <row r="21" spans="1:20" ht="15.9" customHeight="1" outlineLevel="2" x14ac:dyDescent="0.25">
      <c r="A21" s="153" t="s">
        <v>172</v>
      </c>
      <c r="B21" s="421">
        <f>SUBTOTAL(9,B19:B20)</f>
        <v>44702.81</v>
      </c>
      <c r="C21" s="422">
        <f>SUBTOTAL(9,C19:C20)</f>
        <v>23537.225068306012</v>
      </c>
      <c r="D21" s="429">
        <f>SUBTOTAL(9,D19:D20)</f>
        <v>-36199</v>
      </c>
      <c r="E21" s="430">
        <f>SUBTOTAL(9,E19:E20)</f>
        <v>59736.225068306012</v>
      </c>
      <c r="F21" s="397"/>
      <c r="G21" s="32"/>
      <c r="H21" s="32"/>
      <c r="I21" s="32"/>
      <c r="J21" s="32"/>
      <c r="K21" s="32"/>
    </row>
    <row r="22" spans="1:20" ht="15.9" customHeight="1" outlineLevel="2" x14ac:dyDescent="0.25"/>
    <row r="23" spans="1:20" ht="15.9" customHeight="1" outlineLevel="2" x14ac:dyDescent="0.25">
      <c r="A23" s="399" t="s">
        <v>173</v>
      </c>
      <c r="B23" s="479"/>
      <c r="C23" s="480"/>
      <c r="D23" s="481"/>
      <c r="E23" s="481"/>
      <c r="F23" s="481"/>
      <c r="G23" s="482"/>
      <c r="H23" s="481"/>
      <c r="I23" s="481"/>
    </row>
    <row r="24" spans="1:20" ht="15.9" customHeight="1" outlineLevel="2" x14ac:dyDescent="0.25">
      <c r="A24" s="206" t="s">
        <v>90</v>
      </c>
      <c r="B24" s="375">
        <f>+NNG!$D$24</f>
        <v>381800.36</v>
      </c>
      <c r="C24" s="401">
        <f t="shared" ref="C24:C35" si="0">+B24/$J$4</f>
        <v>198854.35416666666</v>
      </c>
      <c r="D24" s="14">
        <f>+NNG!D34</f>
        <v>-34713</v>
      </c>
      <c r="E24" s="70">
        <f t="shared" ref="E24:E37" si="1">+C24-D24</f>
        <v>233567.35416666666</v>
      </c>
      <c r="F24" s="397">
        <f>+NNG!A24</f>
        <v>37137</v>
      </c>
      <c r="G24" s="424" t="s">
        <v>160</v>
      </c>
      <c r="H24" s="206" t="s">
        <v>103</v>
      </c>
      <c r="I24" s="32"/>
      <c r="J24" s="32"/>
      <c r="K24" s="32"/>
    </row>
    <row r="25" spans="1:20" ht="15.9" customHeight="1" outlineLevel="2" x14ac:dyDescent="0.25">
      <c r="A25" s="32" t="s">
        <v>83</v>
      </c>
      <c r="B25" s="375">
        <f>+Conoco!$F$41</f>
        <v>576805.5</v>
      </c>
      <c r="C25" s="401">
        <f t="shared" si="0"/>
        <v>300419.53125</v>
      </c>
      <c r="D25" s="14">
        <f>+Conoco!D48</f>
        <v>87650</v>
      </c>
      <c r="E25" s="70">
        <f t="shared" si="1"/>
        <v>212769.53125</v>
      </c>
      <c r="F25" s="397">
        <f>+Conoco!A41</f>
        <v>37138</v>
      </c>
      <c r="G25" s="205" t="s">
        <v>162</v>
      </c>
      <c r="H25" s="32" t="s">
        <v>116</v>
      </c>
      <c r="I25" s="32" t="s">
        <v>195</v>
      </c>
      <c r="J25" s="32"/>
      <c r="K25" s="32"/>
    </row>
    <row r="26" spans="1:20" ht="15.9" customHeight="1" outlineLevel="2" x14ac:dyDescent="0.25">
      <c r="A26" s="32" t="s">
        <v>3</v>
      </c>
      <c r="B26" s="375">
        <f>+'Amoco Abo'!$F$43</f>
        <v>428697.23</v>
      </c>
      <c r="C26" s="401">
        <f t="shared" si="0"/>
        <v>223279.80729166666</v>
      </c>
      <c r="D26" s="14">
        <f>+'Amoco Abo'!D49</f>
        <v>-240565</v>
      </c>
      <c r="E26" s="70">
        <f t="shared" si="1"/>
        <v>463844.80729166663</v>
      </c>
      <c r="F26" s="398">
        <f>+'Amoco Abo'!A43</f>
        <v>37137</v>
      </c>
      <c r="G26" s="205" t="s">
        <v>161</v>
      </c>
      <c r="H26" s="32" t="s">
        <v>118</v>
      </c>
      <c r="I26" s="32" t="s">
        <v>196</v>
      </c>
      <c r="J26" s="32"/>
      <c r="K26" s="32"/>
    </row>
    <row r="27" spans="1:20" ht="15.9" customHeight="1" outlineLevel="2" x14ac:dyDescent="0.25">
      <c r="A27" s="32" t="s">
        <v>110</v>
      </c>
      <c r="B27" s="375">
        <f>+KN_Westar!F41</f>
        <v>271971.56</v>
      </c>
      <c r="C27" s="401">
        <f t="shared" si="0"/>
        <v>141651.85416666666</v>
      </c>
      <c r="D27" s="14">
        <f>+KN_Westar!D48</f>
        <v>-59427</v>
      </c>
      <c r="E27" s="70">
        <f t="shared" si="1"/>
        <v>201078.85416666666</v>
      </c>
      <c r="F27" s="398">
        <f>+KN_Westar!A41</f>
        <v>37137</v>
      </c>
      <c r="G27" s="205" t="s">
        <v>162</v>
      </c>
      <c r="H27" s="32" t="s">
        <v>103</v>
      </c>
      <c r="I27" s="32"/>
      <c r="J27" s="32"/>
      <c r="K27" s="32"/>
    </row>
    <row r="28" spans="1:20" ht="15.9" customHeight="1" outlineLevel="2" x14ac:dyDescent="0.25">
      <c r="A28" s="32" t="s">
        <v>131</v>
      </c>
      <c r="B28" s="375">
        <f>+DEFS!F53</f>
        <v>184378.63999999966</v>
      </c>
      <c r="C28" s="402">
        <f t="shared" si="0"/>
        <v>96030.541666666497</v>
      </c>
      <c r="D28" s="14">
        <f>+DEFS!M53</f>
        <v>397921</v>
      </c>
      <c r="E28" s="70">
        <f t="shared" si="1"/>
        <v>-301890.45833333349</v>
      </c>
      <c r="F28" s="398">
        <f>+DEFS!A40</f>
        <v>37137</v>
      </c>
      <c r="G28" s="205" t="s">
        <v>161</v>
      </c>
      <c r="H28" s="32" t="s">
        <v>103</v>
      </c>
      <c r="I28" s="32" t="s">
        <v>121</v>
      </c>
      <c r="J28" s="32"/>
      <c r="K28" s="32"/>
    </row>
    <row r="29" spans="1:20" ht="15.9" customHeight="1" outlineLevel="2" x14ac:dyDescent="0.25">
      <c r="A29" s="32" t="s">
        <v>113</v>
      </c>
      <c r="B29" s="375">
        <f>+CIG!D43</f>
        <v>395643.28</v>
      </c>
      <c r="C29" s="401">
        <f t="shared" si="0"/>
        <v>206064.20833333334</v>
      </c>
      <c r="D29" s="14">
        <f>+CIG!D49</f>
        <v>22431</v>
      </c>
      <c r="E29" s="70">
        <f t="shared" si="1"/>
        <v>183633.20833333334</v>
      </c>
      <c r="F29" s="398">
        <f>+CIG!A43</f>
        <v>37137</v>
      </c>
      <c r="G29" s="205" t="s">
        <v>162</v>
      </c>
      <c r="H29" s="32" t="s">
        <v>116</v>
      </c>
      <c r="I29" s="32" t="s">
        <v>204</v>
      </c>
      <c r="J29" s="32"/>
      <c r="K29" s="32"/>
    </row>
    <row r="30" spans="1:20" ht="18" customHeight="1" outlineLevel="1" x14ac:dyDescent="0.25">
      <c r="A30" s="32" t="s">
        <v>2</v>
      </c>
      <c r="B30" s="375">
        <f>+mewborne!$J$43</f>
        <v>319436.40000000002</v>
      </c>
      <c r="C30" s="401">
        <f t="shared" si="0"/>
        <v>166373.12500000003</v>
      </c>
      <c r="D30" s="14">
        <f>+mewborne!D49</f>
        <v>126878</v>
      </c>
      <c r="E30" s="70">
        <f t="shared" si="1"/>
        <v>39495.125000000029</v>
      </c>
      <c r="F30" s="398">
        <f>+mewborne!A43</f>
        <v>37137</v>
      </c>
      <c r="G30" s="205" t="s">
        <v>162</v>
      </c>
      <c r="H30" s="32" t="s">
        <v>102</v>
      </c>
      <c r="I30" s="32"/>
      <c r="J30" s="32"/>
      <c r="K30" s="32"/>
    </row>
    <row r="31" spans="1:20" ht="18" customHeight="1" x14ac:dyDescent="0.25">
      <c r="A31" s="32" t="s">
        <v>154</v>
      </c>
      <c r="B31" s="375">
        <f>+PGETX!$H$39</f>
        <v>474540.56</v>
      </c>
      <c r="C31" s="401">
        <f t="shared" si="0"/>
        <v>247156.54166666669</v>
      </c>
      <c r="D31" s="14">
        <f>+PGETX!E48</f>
        <v>116588</v>
      </c>
      <c r="E31" s="70">
        <f t="shared" si="1"/>
        <v>130568.54166666669</v>
      </c>
      <c r="F31" s="398">
        <f>+PGETX!E39</f>
        <v>37138</v>
      </c>
      <c r="G31" s="205" t="s">
        <v>160</v>
      </c>
      <c r="H31" s="32" t="s">
        <v>105</v>
      </c>
      <c r="I31" s="32" t="s">
        <v>198</v>
      </c>
      <c r="J31" s="32"/>
      <c r="K31" s="32"/>
    </row>
    <row r="32" spans="1:20" ht="17.100000000000001" customHeight="1" x14ac:dyDescent="0.25">
      <c r="A32" s="32" t="s">
        <v>85</v>
      </c>
      <c r="B32" s="375">
        <f>+PNM!$D$23</f>
        <v>123036.28000000001</v>
      </c>
      <c r="C32" s="401">
        <f t="shared" si="0"/>
        <v>64081.395833333343</v>
      </c>
      <c r="D32" s="14">
        <f>+PNM!D30</f>
        <v>3283</v>
      </c>
      <c r="E32" s="70">
        <f t="shared" si="1"/>
        <v>60798.395833333343</v>
      </c>
      <c r="F32" s="398">
        <f>+PNM!A23</f>
        <v>37137</v>
      </c>
      <c r="G32" s="205" t="s">
        <v>161</v>
      </c>
      <c r="H32" s="32" t="s">
        <v>118</v>
      </c>
      <c r="I32" s="32"/>
      <c r="J32" s="32"/>
      <c r="K32" s="32"/>
    </row>
    <row r="33" spans="1:12" ht="17.100000000000001" customHeight="1" x14ac:dyDescent="0.25">
      <c r="A33" s="32" t="s">
        <v>106</v>
      </c>
      <c r="B33" s="375">
        <f>+EOG!J41</f>
        <v>95925.36</v>
      </c>
      <c r="C33" s="401">
        <f t="shared" si="0"/>
        <v>49961.125</v>
      </c>
      <c r="D33" s="14">
        <f>+EOG!D48</f>
        <v>-79998</v>
      </c>
      <c r="E33" s="70">
        <f t="shared" si="1"/>
        <v>129959.125</v>
      </c>
      <c r="F33" s="397">
        <f>+EOG!A41</f>
        <v>37137</v>
      </c>
      <c r="G33" s="205" t="s">
        <v>162</v>
      </c>
      <c r="H33" s="32" t="s">
        <v>105</v>
      </c>
      <c r="I33" s="32"/>
      <c r="J33" s="32"/>
      <c r="K33" s="32"/>
    </row>
    <row r="34" spans="1:12" ht="17.100000000000001" customHeight="1" x14ac:dyDescent="0.25">
      <c r="A34" s="32" t="s">
        <v>136</v>
      </c>
      <c r="B34" s="375">
        <f>+SidR!D41</f>
        <v>29280.91</v>
      </c>
      <c r="C34" s="401">
        <f t="shared" si="0"/>
        <v>15250.473958333334</v>
      </c>
      <c r="D34" s="14">
        <f>+SidR!D48</f>
        <v>12745</v>
      </c>
      <c r="E34" s="70">
        <f t="shared" si="1"/>
        <v>2505.4739583333339</v>
      </c>
      <c r="F34" s="398">
        <f>+SidR!A41</f>
        <v>37138</v>
      </c>
      <c r="G34" s="205" t="s">
        <v>160</v>
      </c>
      <c r="H34" s="32" t="s">
        <v>105</v>
      </c>
      <c r="I34" s="32"/>
      <c r="J34" s="32"/>
      <c r="K34" s="32"/>
    </row>
    <row r="35" spans="1:12" ht="17.100000000000001" customHeight="1" x14ac:dyDescent="0.25">
      <c r="A35" s="32" t="s">
        <v>112</v>
      </c>
      <c r="B35" s="375">
        <f>+Continental!F43</f>
        <v>-5216.57</v>
      </c>
      <c r="C35" s="402">
        <f t="shared" si="0"/>
        <v>-2716.9635416666665</v>
      </c>
      <c r="D35" s="14">
        <f>+Continental!D50</f>
        <v>-17302</v>
      </c>
      <c r="E35" s="70">
        <f t="shared" si="1"/>
        <v>14585.036458333334</v>
      </c>
      <c r="F35" s="398">
        <f>+Continental!A43</f>
        <v>37137</v>
      </c>
      <c r="G35" s="205" t="s">
        <v>162</v>
      </c>
      <c r="H35" s="32" t="s">
        <v>118</v>
      </c>
      <c r="I35" s="32"/>
      <c r="J35" s="32"/>
      <c r="K35" s="32"/>
    </row>
    <row r="36" spans="1:12" ht="17.100000000000001" customHeight="1" x14ac:dyDescent="0.25">
      <c r="A36" s="32" t="s">
        <v>134</v>
      </c>
      <c r="B36" s="375">
        <f>+EPFS!D41</f>
        <v>-23278.13</v>
      </c>
      <c r="C36" s="402">
        <f>+B36/$J$5</f>
        <v>-11816.309644670051</v>
      </c>
      <c r="D36" s="14">
        <f>+EPFS!D47</f>
        <v>5102</v>
      </c>
      <c r="E36" s="70">
        <f t="shared" si="1"/>
        <v>-16918.309644670051</v>
      </c>
      <c r="F36" s="397">
        <f>+EPFS!A41</f>
        <v>37138</v>
      </c>
      <c r="G36" s="205" t="s">
        <v>161</v>
      </c>
      <c r="H36" s="32" t="s">
        <v>105</v>
      </c>
      <c r="I36" s="32"/>
      <c r="J36" s="32"/>
      <c r="K36" s="32"/>
    </row>
    <row r="37" spans="1:12" ht="17.100000000000001" customHeight="1" x14ac:dyDescent="0.25">
      <c r="A37" s="206" t="s">
        <v>82</v>
      </c>
      <c r="B37" s="378">
        <f>+Agave!$D$24</f>
        <v>11931.92</v>
      </c>
      <c r="C37" s="403">
        <f>+B37/$J$4</f>
        <v>6214.541666666667</v>
      </c>
      <c r="D37" s="379">
        <f>+Agave!D31</f>
        <v>-26400</v>
      </c>
      <c r="E37" s="72">
        <f t="shared" si="1"/>
        <v>32614.541666666668</v>
      </c>
      <c r="F37" s="397">
        <f>+Agave!A24</f>
        <v>37137</v>
      </c>
      <c r="G37" s="205" t="s">
        <v>201</v>
      </c>
      <c r="H37" s="206" t="s">
        <v>105</v>
      </c>
      <c r="I37" s="32"/>
      <c r="J37" s="32"/>
      <c r="K37" s="32"/>
    </row>
    <row r="38" spans="1:12" ht="17.100000000000001" customHeight="1" x14ac:dyDescent="0.25">
      <c r="A38" s="153" t="s">
        <v>175</v>
      </c>
      <c r="B38" s="421">
        <f>SUBTOTAL(9,B24:B37)</f>
        <v>3264953.2999999993</v>
      </c>
      <c r="C38" s="428">
        <f>SUBTOTAL(9,C24:C37)</f>
        <v>1700804.226813663</v>
      </c>
      <c r="D38" s="429">
        <f>SUBTOTAL(9,D24:D37)</f>
        <v>314193</v>
      </c>
      <c r="E38" s="430">
        <f>SUBTOTAL(9,E24:E37)</f>
        <v>1386611.226813663</v>
      </c>
      <c r="F38" s="397"/>
      <c r="G38" s="382"/>
      <c r="H38" s="32"/>
      <c r="I38" s="206"/>
      <c r="J38" s="32"/>
      <c r="K38" s="32"/>
      <c r="L38" s="32"/>
    </row>
    <row r="39" spans="1:12" ht="12" customHeight="1" x14ac:dyDescent="0.25">
      <c r="A39" s="206"/>
      <c r="H39" s="32"/>
      <c r="I39" s="206"/>
      <c r="J39" s="32"/>
      <c r="K39" s="32"/>
      <c r="L39" s="32"/>
    </row>
    <row r="40" spans="1:12" ht="17.100000000000001" customHeight="1" x14ac:dyDescent="0.25">
      <c r="A40" s="153" t="s">
        <v>176</v>
      </c>
      <c r="B40" s="421">
        <f>SUBTOTAL(9,B12:B37)</f>
        <v>2128864.9</v>
      </c>
      <c r="C40" s="428">
        <f>SUBTOTAL(9,C12:C37)</f>
        <v>1109346.0300069691</v>
      </c>
      <c r="D40" s="429">
        <f>SUBTOTAL(9,D12:D37)</f>
        <v>138908</v>
      </c>
      <c r="E40" s="430">
        <f>SUBTOTAL(9,E12:E37)</f>
        <v>970438.030006969</v>
      </c>
      <c r="F40" s="397"/>
      <c r="G40" s="206"/>
      <c r="H40" s="32"/>
      <c r="I40" s="206"/>
      <c r="J40" s="32"/>
      <c r="K40" s="32"/>
      <c r="L40" s="32"/>
    </row>
    <row r="41" spans="1:12" ht="12.9" customHeight="1" x14ac:dyDescent="0.25">
      <c r="A41" s="206"/>
      <c r="B41" s="375"/>
      <c r="C41" s="401"/>
      <c r="D41" s="401"/>
      <c r="E41" s="401"/>
      <c r="F41" s="382"/>
      <c r="G41" s="32"/>
      <c r="I41" s="32"/>
      <c r="J41" s="32"/>
      <c r="K41" s="32"/>
      <c r="L41" s="32"/>
    </row>
    <row r="42" spans="1:12" ht="14.1" customHeight="1" x14ac:dyDescent="0.25"/>
    <row r="43" spans="1:12" ht="12.9" customHeight="1" x14ac:dyDescent="0.25"/>
    <row r="44" spans="1:12" ht="13.5" customHeight="1" x14ac:dyDescent="0.25"/>
    <row r="45" spans="1:12" ht="13.5" customHeight="1" outlineLevel="2" x14ac:dyDescent="0.25">
      <c r="A45" s="34" t="s">
        <v>145</v>
      </c>
      <c r="D45" s="7"/>
      <c r="I45" s="416" t="s">
        <v>81</v>
      </c>
      <c r="J45" s="419"/>
      <c r="K45" s="32"/>
    </row>
    <row r="46" spans="1:12" ht="13.5" customHeight="1" outlineLevel="2" x14ac:dyDescent="0.25">
      <c r="D46" s="7"/>
      <c r="I46" s="417" t="s">
        <v>30</v>
      </c>
      <c r="J46" s="420">
        <f>+J3</f>
        <v>1.83</v>
      </c>
      <c r="K46" s="437">
        <f ca="1">NOW()</f>
        <v>37139.73680752315</v>
      </c>
    </row>
    <row r="47" spans="1:12" ht="13.5" customHeight="1" outlineLevel="2" x14ac:dyDescent="0.25">
      <c r="A47" s="34" t="s">
        <v>152</v>
      </c>
      <c r="C47" s="34" t="s">
        <v>5</v>
      </c>
      <c r="D47" s="7"/>
      <c r="I47" s="418" t="s">
        <v>31</v>
      </c>
      <c r="J47" s="420">
        <f>+J4</f>
        <v>1.92</v>
      </c>
      <c r="K47" s="32"/>
    </row>
    <row r="48" spans="1:12" ht="13.5" customHeight="1" outlineLevel="1" x14ac:dyDescent="0.25">
      <c r="D48" s="7"/>
      <c r="I48" s="417" t="s">
        <v>120</v>
      </c>
      <c r="J48" s="420">
        <f>+J5</f>
        <v>1.97</v>
      </c>
      <c r="K48" s="32"/>
    </row>
    <row r="49" spans="1:19" ht="13.5" customHeight="1" outlineLevel="2" x14ac:dyDescent="0.25"/>
    <row r="50" spans="1:19" ht="13.5" customHeight="1" outlineLevel="2" x14ac:dyDescent="0.25">
      <c r="A50" s="435" t="s">
        <v>180</v>
      </c>
      <c r="B50" s="436"/>
    </row>
    <row r="51" spans="1:19" ht="13.5" customHeight="1" outlineLevel="2" x14ac:dyDescent="0.25">
      <c r="A51" s="32"/>
      <c r="C51" s="438" t="s">
        <v>166</v>
      </c>
      <c r="D51" s="12" t="s">
        <v>183</v>
      </c>
      <c r="E51" s="12" t="s">
        <v>185</v>
      </c>
      <c r="F51" s="2" t="s">
        <v>155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ht="13.5" customHeight="1" outlineLevel="2" x14ac:dyDescent="0.25">
      <c r="A52" s="399" t="s">
        <v>92</v>
      </c>
      <c r="B52" s="434" t="s">
        <v>0</v>
      </c>
      <c r="C52" s="411" t="s">
        <v>182</v>
      </c>
      <c r="D52" s="39" t="s">
        <v>184</v>
      </c>
      <c r="E52" s="39" t="s">
        <v>186</v>
      </c>
      <c r="F52" s="39" t="s">
        <v>153</v>
      </c>
      <c r="G52" s="423" t="s">
        <v>159</v>
      </c>
      <c r="H52" s="400" t="s">
        <v>104</v>
      </c>
      <c r="I52" s="399" t="s">
        <v>101</v>
      </c>
      <c r="J52" s="32"/>
      <c r="K52" s="32"/>
      <c r="L52" s="32"/>
      <c r="N52" s="32"/>
      <c r="O52" s="32"/>
      <c r="P52" s="32"/>
      <c r="Q52" s="32"/>
      <c r="R52" s="32"/>
      <c r="S52" s="32"/>
    </row>
    <row r="53" spans="1:19" ht="13.5" customHeight="1" outlineLevel="2" x14ac:dyDescent="0.25">
      <c r="B53" s="296"/>
      <c r="C53" s="252"/>
    </row>
    <row r="54" spans="1:19" ht="13.5" customHeight="1" outlineLevel="1" x14ac:dyDescent="0.25">
      <c r="A54" s="399" t="s">
        <v>169</v>
      </c>
      <c r="B54" s="296"/>
      <c r="C54" s="252"/>
    </row>
    <row r="55" spans="1:19" ht="13.5" customHeight="1" outlineLevel="2" x14ac:dyDescent="0.25">
      <c r="A55" s="32" t="s">
        <v>97</v>
      </c>
      <c r="B55" s="401">
        <f>+Mojave!D40</f>
        <v>144869</v>
      </c>
      <c r="C55" s="375">
        <f>+B55*$J$4</f>
        <v>278148.47999999998</v>
      </c>
      <c r="D55" s="47">
        <f>+Mojave!D47</f>
        <v>112858.6</v>
      </c>
      <c r="E55" s="47">
        <f>+C55-D55</f>
        <v>165289.87999999998</v>
      </c>
      <c r="F55" s="398">
        <f>+Mojave!A40</f>
        <v>37138</v>
      </c>
      <c r="H55" s="32" t="s">
        <v>103</v>
      </c>
      <c r="I55" s="32" t="s">
        <v>189</v>
      </c>
      <c r="J55" s="32"/>
      <c r="K55" s="32"/>
    </row>
    <row r="56" spans="1:19" ht="15" customHeight="1" outlineLevel="2" x14ac:dyDescent="0.25">
      <c r="A56" s="32" t="s">
        <v>33</v>
      </c>
      <c r="B56" s="402">
        <f>+SoCal!F40</f>
        <v>164695</v>
      </c>
      <c r="C56" s="375">
        <f>+B56*$J$4</f>
        <v>316214.39999999997</v>
      </c>
      <c r="D56" s="47">
        <f>+SoCal!D47</f>
        <v>491159.03999999998</v>
      </c>
      <c r="E56" s="47">
        <f>+C56-D56</f>
        <v>-174944.64000000001</v>
      </c>
      <c r="F56" s="398">
        <f>+SoCal!A40</f>
        <v>37138</v>
      </c>
      <c r="H56" s="32" t="s">
        <v>105</v>
      </c>
      <c r="I56" s="32"/>
      <c r="J56" s="32"/>
      <c r="K56" s="32"/>
    </row>
    <row r="57" spans="1:19" ht="15" customHeight="1" outlineLevel="2" x14ac:dyDescent="0.25">
      <c r="A57" s="32" t="s">
        <v>202</v>
      </c>
      <c r="B57" s="401">
        <f>+'El Paso'!C39</f>
        <v>64156</v>
      </c>
      <c r="C57" s="375">
        <f>+B57*$J$4</f>
        <v>123179.51999999999</v>
      </c>
      <c r="D57" s="47">
        <f>+'El Paso'!C46</f>
        <v>-1583274</v>
      </c>
      <c r="E57" s="47">
        <f>+C57-D57</f>
        <v>1706453.52</v>
      </c>
      <c r="F57" s="398">
        <f>+'El Paso'!A39</f>
        <v>37138</v>
      </c>
      <c r="G57" s="475"/>
      <c r="H57" s="32" t="s">
        <v>103</v>
      </c>
      <c r="I57" s="32" t="s">
        <v>193</v>
      </c>
      <c r="J57" s="32"/>
      <c r="K57" s="32"/>
    </row>
    <row r="58" spans="1:19" ht="15" customHeight="1" outlineLevel="1" x14ac:dyDescent="0.25">
      <c r="A58" s="32" t="s">
        <v>117</v>
      </c>
      <c r="B58" s="403">
        <f>+'PG&amp;E'!D40</f>
        <v>50219</v>
      </c>
      <c r="C58" s="378">
        <f>+B58*$J$4</f>
        <v>96420.479999999996</v>
      </c>
      <c r="D58" s="378">
        <f>+'PG&amp;E'!D47</f>
        <v>-91625.16</v>
      </c>
      <c r="E58" s="378">
        <f>+C58-D58</f>
        <v>188045.64</v>
      </c>
      <c r="F58" s="398">
        <f>+'PG&amp;E'!A40</f>
        <v>37138</v>
      </c>
      <c r="H58" s="32" t="s">
        <v>105</v>
      </c>
      <c r="I58" s="32"/>
      <c r="J58" s="32"/>
      <c r="K58" s="32"/>
    </row>
    <row r="59" spans="1:19" ht="15" customHeight="1" x14ac:dyDescent="0.25">
      <c r="A59" s="2" t="s">
        <v>170</v>
      </c>
      <c r="B59" s="428">
        <f>SUBTOTAL(9,B55:B58)</f>
        <v>423939</v>
      </c>
      <c r="C59" s="421">
        <f>SUBTOTAL(9,C55:C58)</f>
        <v>813962.87999999989</v>
      </c>
      <c r="D59" s="421">
        <f>SUBTOTAL(9,D55:D58)</f>
        <v>-1070881.52</v>
      </c>
      <c r="E59" s="421">
        <f>SUBTOTAL(9,E55:E58)</f>
        <v>1884844.4</v>
      </c>
      <c r="F59" s="398"/>
      <c r="G59" s="205"/>
      <c r="H59" s="32"/>
      <c r="I59" s="32"/>
      <c r="J59" s="32"/>
      <c r="K59" s="32"/>
    </row>
    <row r="60" spans="1:19" ht="12.9" customHeight="1" x14ac:dyDescent="0.25">
      <c r="B60" s="296"/>
      <c r="C60" s="252"/>
      <c r="G60" s="205"/>
    </row>
    <row r="61" spans="1:19" ht="15" customHeight="1" x14ac:dyDescent="0.25">
      <c r="A61" s="399" t="s">
        <v>59</v>
      </c>
      <c r="B61" s="296"/>
      <c r="C61" s="252"/>
      <c r="G61" s="205"/>
    </row>
    <row r="62" spans="1:19" x14ac:dyDescent="0.25">
      <c r="A62" s="206" t="s">
        <v>29</v>
      </c>
      <c r="B62" s="401">
        <f>+williams!J40</f>
        <v>256565</v>
      </c>
      <c r="C62" s="375">
        <f>+B62*$J$3</f>
        <v>469513.95</v>
      </c>
      <c r="D62" s="47">
        <f>+williams!D48</f>
        <v>1252509.6200000001</v>
      </c>
      <c r="E62" s="47">
        <f>+C62-D62</f>
        <v>-782995.67000000016</v>
      </c>
      <c r="F62" s="397">
        <f>+williams!A40</f>
        <v>37138</v>
      </c>
      <c r="G62" s="205" t="s">
        <v>161</v>
      </c>
      <c r="H62" s="206" t="s">
        <v>151</v>
      </c>
      <c r="I62" s="32" t="s">
        <v>192</v>
      </c>
      <c r="J62" s="32"/>
      <c r="K62" s="32"/>
    </row>
    <row r="63" spans="1:19" x14ac:dyDescent="0.25">
      <c r="A63" s="32" t="s">
        <v>24</v>
      </c>
      <c r="B63" s="401">
        <f>+'Red C'!F43</f>
        <v>139027</v>
      </c>
      <c r="C63" s="376">
        <f>+B63*J3</f>
        <v>254419.41</v>
      </c>
      <c r="D63" s="202">
        <f>+'Red C'!D52</f>
        <v>669247.78</v>
      </c>
      <c r="E63" s="47">
        <f>+C63-D63</f>
        <v>-414828.37</v>
      </c>
      <c r="F63" s="397">
        <f>+'Red C'!B43</f>
        <v>37137</v>
      </c>
      <c r="G63" s="205" t="s">
        <v>161</v>
      </c>
      <c r="H63" s="32" t="s">
        <v>118</v>
      </c>
      <c r="I63" s="32" t="s">
        <v>190</v>
      </c>
      <c r="J63" s="32"/>
      <c r="K63" s="32"/>
    </row>
    <row r="64" spans="1:19" x14ac:dyDescent="0.25">
      <c r="A64" s="32" t="s">
        <v>6</v>
      </c>
      <c r="B64" s="401">
        <f>+Amoco!D40</f>
        <v>82337</v>
      </c>
      <c r="C64" s="375">
        <f>+B64*$J$3</f>
        <v>150676.71</v>
      </c>
      <c r="D64" s="47">
        <f>+Amoco!D47</f>
        <v>489303.2</v>
      </c>
      <c r="E64" s="47">
        <f>+C64-D64</f>
        <v>-338626.49</v>
      </c>
      <c r="F64" s="398">
        <f>+Amoco!A40</f>
        <v>37137</v>
      </c>
      <c r="G64" s="205" t="s">
        <v>161</v>
      </c>
      <c r="H64" s="32" t="s">
        <v>118</v>
      </c>
      <c r="I64" s="32" t="s">
        <v>191</v>
      </c>
      <c r="J64" s="32"/>
      <c r="K64" s="32"/>
    </row>
    <row r="65" spans="1:12" x14ac:dyDescent="0.25">
      <c r="A65" s="32" t="s">
        <v>203</v>
      </c>
      <c r="B65" s="401">
        <f>+'El Paso'!E39</f>
        <v>-74583</v>
      </c>
      <c r="C65" s="375">
        <f>+B65*$J$3</f>
        <v>-136486.89000000001</v>
      </c>
      <c r="D65" s="47">
        <f>+'El Paso'!F46</f>
        <v>-661223.94999999995</v>
      </c>
      <c r="E65" s="47">
        <f>+C65-D65</f>
        <v>524737.05999999994</v>
      </c>
      <c r="F65" s="398">
        <f>+'El Paso'!A39</f>
        <v>37138</v>
      </c>
      <c r="G65" s="475"/>
      <c r="H65" s="32" t="s">
        <v>103</v>
      </c>
      <c r="I65" s="32" t="s">
        <v>193</v>
      </c>
      <c r="J65" s="32"/>
      <c r="K65" s="32"/>
    </row>
    <row r="66" spans="1:12" x14ac:dyDescent="0.25">
      <c r="A66" s="32" t="s">
        <v>1</v>
      </c>
      <c r="B66" s="403">
        <f>+NW!$F$41</f>
        <v>69057</v>
      </c>
      <c r="C66" s="378">
        <f>+B66*$J$3</f>
        <v>126374.31</v>
      </c>
      <c r="D66" s="378">
        <f>+NW!E49</f>
        <v>-320031.25</v>
      </c>
      <c r="E66" s="378">
        <f>+C66-D66</f>
        <v>446405.56</v>
      </c>
      <c r="F66" s="397">
        <f>+NW!B41</f>
        <v>37138</v>
      </c>
      <c r="G66" s="205" t="s">
        <v>161</v>
      </c>
      <c r="H66" s="32" t="s">
        <v>118</v>
      </c>
      <c r="I66" s="32"/>
      <c r="J66" s="32"/>
      <c r="K66" s="32"/>
    </row>
    <row r="67" spans="1:12" x14ac:dyDescent="0.25">
      <c r="A67" s="32" t="s">
        <v>171</v>
      </c>
      <c r="B67" s="428">
        <f>SUBTOTAL(9,B62:B66)</f>
        <v>472403</v>
      </c>
      <c r="C67" s="421">
        <f>SUBTOTAL(9,C62:C66)</f>
        <v>864497.49</v>
      </c>
      <c r="D67" s="421">
        <f>SUBTOTAL(9,D62:D66)</f>
        <v>1429805.4000000001</v>
      </c>
      <c r="E67" s="421">
        <f>SUBTOTAL(9,E62:E66)</f>
        <v>-565307.91000000015</v>
      </c>
      <c r="F67" s="397"/>
      <c r="G67" s="205"/>
      <c r="H67" s="32"/>
      <c r="I67" s="32"/>
      <c r="J67" s="32"/>
      <c r="K67" s="32"/>
    </row>
    <row r="68" spans="1:12" x14ac:dyDescent="0.25">
      <c r="B68" s="296"/>
      <c r="C68" s="252"/>
      <c r="G68" s="205"/>
    </row>
    <row r="69" spans="1:12" x14ac:dyDescent="0.25">
      <c r="A69" s="399" t="s">
        <v>173</v>
      </c>
      <c r="B69" s="296"/>
      <c r="C69" s="252"/>
      <c r="G69" s="205"/>
    </row>
    <row r="70" spans="1:12" x14ac:dyDescent="0.25">
      <c r="A70" s="32" t="s">
        <v>91</v>
      </c>
      <c r="B70" s="401">
        <f>+NGPL!F38</f>
        <v>173774</v>
      </c>
      <c r="C70" s="375">
        <f>+B70*$J$4</f>
        <v>333646.08000000002</v>
      </c>
      <c r="D70" s="47">
        <f>+NGPL!D45</f>
        <v>420485.32</v>
      </c>
      <c r="E70" s="47">
        <f>+C70-D70</f>
        <v>-86839.239999999991</v>
      </c>
      <c r="F70" s="398">
        <f>+NGPL!A38</f>
        <v>37138</v>
      </c>
      <c r="G70" s="205"/>
      <c r="H70" s="32" t="s">
        <v>118</v>
      </c>
      <c r="I70" s="32"/>
      <c r="J70" s="32"/>
      <c r="K70" s="32"/>
    </row>
    <row r="71" spans="1:12" x14ac:dyDescent="0.25">
      <c r="A71" s="32" t="s">
        <v>148</v>
      </c>
      <c r="B71" s="401">
        <f>+PEPL!D41</f>
        <v>71207</v>
      </c>
      <c r="C71" s="376">
        <f>+B71*$J$4</f>
        <v>136717.44</v>
      </c>
      <c r="D71" s="47">
        <f>+PEPL!D47</f>
        <v>315089.96000000002</v>
      </c>
      <c r="E71" s="47">
        <f>+C71-D71</f>
        <v>-178372.52000000002</v>
      </c>
      <c r="F71" s="398">
        <f>+PEPL!A41</f>
        <v>37138</v>
      </c>
      <c r="H71" s="32" t="s">
        <v>103</v>
      </c>
      <c r="I71" s="32" t="s">
        <v>147</v>
      </c>
      <c r="J71" s="32"/>
      <c r="K71" s="32"/>
    </row>
    <row r="72" spans="1:12" x14ac:dyDescent="0.25">
      <c r="A72" s="32" t="s">
        <v>7</v>
      </c>
      <c r="B72" s="402">
        <f>+Oasis!D40</f>
        <v>44057</v>
      </c>
      <c r="C72" s="375">
        <f>+B72*$J$4</f>
        <v>84589.440000000002</v>
      </c>
      <c r="D72" s="47">
        <f>+Oasis!D47</f>
        <v>-265130.56</v>
      </c>
      <c r="E72" s="47">
        <f>+C72-D72</f>
        <v>349720</v>
      </c>
      <c r="F72" s="398">
        <f>+Oasis!B40</f>
        <v>37137</v>
      </c>
      <c r="H72" s="32" t="s">
        <v>105</v>
      </c>
      <c r="I72" s="32"/>
      <c r="J72" s="32"/>
      <c r="K72" s="32"/>
    </row>
    <row r="73" spans="1:12" x14ac:dyDescent="0.25">
      <c r="A73" s="32" t="s">
        <v>32</v>
      </c>
      <c r="B73" s="405">
        <f>+Lonestar!F42</f>
        <v>74374</v>
      </c>
      <c r="C73" s="378">
        <f>+B73*$J$4</f>
        <v>142798.07999999999</v>
      </c>
      <c r="D73" s="378">
        <f>+Lonestar!D49</f>
        <v>74223.320000000007</v>
      </c>
      <c r="E73" s="378">
        <f>+C73-D73</f>
        <v>68574.75999999998</v>
      </c>
      <c r="F73" s="397">
        <f>+Lonestar!B42</f>
        <v>37138</v>
      </c>
      <c r="H73" s="32" t="s">
        <v>105</v>
      </c>
      <c r="I73" s="32"/>
      <c r="J73" s="32"/>
      <c r="K73" s="32"/>
    </row>
    <row r="74" spans="1:12" x14ac:dyDescent="0.25">
      <c r="A74" s="2" t="s">
        <v>174</v>
      </c>
      <c r="B74" s="422">
        <f>SUBTOTAL(9,B70:B73)</f>
        <v>363412</v>
      </c>
      <c r="C74" s="421">
        <f>SUBTOTAL(9,C70:C73)</f>
        <v>697751.03999999992</v>
      </c>
      <c r="D74" s="421">
        <f>SUBTOTAL(9,D70:D73)</f>
        <v>544668.04</v>
      </c>
      <c r="E74" s="421">
        <f>SUBTOTAL(9,E70:E73)</f>
        <v>153082.99999999997</v>
      </c>
      <c r="F74" s="397"/>
      <c r="H74" s="32"/>
      <c r="I74" s="32"/>
      <c r="J74" s="32"/>
      <c r="K74" s="32"/>
    </row>
    <row r="75" spans="1:12" x14ac:dyDescent="0.25">
      <c r="B75" s="296"/>
      <c r="C75" s="252"/>
    </row>
    <row r="76" spans="1:12" x14ac:dyDescent="0.25">
      <c r="A76" s="2" t="s">
        <v>181</v>
      </c>
      <c r="B76" s="422">
        <f>SUBTOTAL(9,B55:B73)</f>
        <v>1259754</v>
      </c>
      <c r="C76" s="421">
        <f>SUBTOTAL(9,C55:C73)</f>
        <v>2376211.4099999997</v>
      </c>
      <c r="D76" s="421">
        <f>SUBTOTAL(9,D55:D73)</f>
        <v>903591.92000000016</v>
      </c>
      <c r="E76" s="421">
        <f>SUBTOTAL(9,E55:E73)</f>
        <v>1472619.4899999998</v>
      </c>
      <c r="F76" s="397"/>
      <c r="H76" s="32"/>
      <c r="I76" s="32"/>
      <c r="J76" s="32"/>
      <c r="K76" s="32"/>
    </row>
    <row r="77" spans="1:12" x14ac:dyDescent="0.25">
      <c r="A77" s="32"/>
      <c r="B77" s="375"/>
      <c r="C77" s="402"/>
      <c r="D77" s="375"/>
      <c r="E77" s="375"/>
      <c r="F77" s="397"/>
      <c r="H77" s="32"/>
      <c r="I77" s="32"/>
      <c r="J77" s="32"/>
      <c r="K77" s="32"/>
    </row>
    <row r="78" spans="1:12" x14ac:dyDescent="0.25">
      <c r="A78" s="32"/>
      <c r="B78" s="378"/>
      <c r="C78" s="401"/>
      <c r="D78" s="304"/>
      <c r="E78" s="304"/>
      <c r="F78" s="397"/>
      <c r="G78" s="32"/>
      <c r="I78" s="32"/>
      <c r="J78" s="32"/>
      <c r="K78" s="32"/>
      <c r="L78" s="32"/>
    </row>
    <row r="79" spans="1:12" ht="13.8" thickBot="1" x14ac:dyDescent="0.3">
      <c r="A79" s="2" t="s">
        <v>187</v>
      </c>
      <c r="B79" s="431">
        <f>+C76+B40</f>
        <v>4505076.3099999996</v>
      </c>
      <c r="C79" s="208"/>
      <c r="D79" s="375"/>
      <c r="E79" s="375"/>
      <c r="F79" s="382"/>
      <c r="H79" s="32"/>
      <c r="I79" s="32"/>
      <c r="J79" s="32"/>
      <c r="K79" s="32"/>
    </row>
    <row r="80" spans="1:12" ht="13.8" thickTop="1" x14ac:dyDescent="0.25">
      <c r="A80" s="2" t="s">
        <v>188</v>
      </c>
      <c r="B80" s="14">
        <f>+B76+C40</f>
        <v>2369100.0300069693</v>
      </c>
      <c r="C80" s="404"/>
      <c r="D80" s="478"/>
      <c r="E80" s="304"/>
      <c r="F80" s="382"/>
      <c r="G80" s="32"/>
      <c r="H80" s="32"/>
      <c r="I80" s="32"/>
      <c r="J80" s="32"/>
    </row>
    <row r="81" spans="1:10" x14ac:dyDescent="0.25">
      <c r="A81" s="32"/>
      <c r="B81" s="47"/>
      <c r="C81" s="406"/>
      <c r="D81" s="304"/>
      <c r="E81" s="304"/>
      <c r="F81" s="206"/>
      <c r="G81" s="32"/>
      <c r="H81" s="32"/>
      <c r="I81" s="32"/>
      <c r="J81" s="32"/>
    </row>
    <row r="82" spans="1:10" x14ac:dyDescent="0.25">
      <c r="A82" s="32"/>
      <c r="B82" s="47"/>
      <c r="C82" s="69"/>
      <c r="E82" s="32"/>
      <c r="F82" s="32"/>
      <c r="G82" s="32"/>
      <c r="H82" s="32"/>
      <c r="I82" s="32"/>
    </row>
    <row r="83" spans="1:10" x14ac:dyDescent="0.25">
      <c r="A83" s="32"/>
      <c r="B83" s="47"/>
      <c r="C83" s="69"/>
      <c r="D83" s="32"/>
      <c r="E83" s="32"/>
      <c r="F83" s="32"/>
      <c r="G83" s="32"/>
      <c r="H83" s="32"/>
    </row>
    <row r="84" spans="1:10" x14ac:dyDescent="0.25">
      <c r="A84" s="32"/>
      <c r="B84" s="202"/>
      <c r="C84" s="305"/>
      <c r="D84" s="16"/>
      <c r="E84" s="32"/>
      <c r="F84" s="32"/>
      <c r="G84" s="32"/>
      <c r="H84" s="32"/>
    </row>
    <row r="90" spans="1:10" x14ac:dyDescent="0.25">
      <c r="A90" s="32"/>
      <c r="B90" s="202"/>
      <c r="C90" s="69"/>
      <c r="D90" s="70"/>
      <c r="E90" s="32"/>
      <c r="F90" s="32"/>
      <c r="G90" s="32"/>
      <c r="H90" s="32"/>
    </row>
    <row r="91" spans="1:10" x14ac:dyDescent="0.25">
      <c r="A91" s="32"/>
      <c r="B91" s="47"/>
      <c r="C91" s="14"/>
      <c r="D91" s="32"/>
      <c r="E91" s="32"/>
      <c r="F91" s="32"/>
      <c r="G91" s="32"/>
      <c r="H91" s="32"/>
    </row>
    <row r="92" spans="1:10" x14ac:dyDescent="0.25">
      <c r="A92" s="32"/>
      <c r="B92" s="47"/>
      <c r="C92" s="14"/>
      <c r="D92" s="32"/>
      <c r="E92" s="32"/>
      <c r="F92" s="32"/>
      <c r="G92" s="32"/>
      <c r="H92" s="32"/>
    </row>
    <row r="93" spans="1:10" x14ac:dyDescent="0.25">
      <c r="A93" s="32"/>
      <c r="B93" s="202"/>
      <c r="C93" s="14"/>
      <c r="D93" s="70"/>
      <c r="E93" s="32"/>
      <c r="F93" s="32"/>
      <c r="G93" s="32"/>
      <c r="H93" s="32"/>
    </row>
    <row r="94" spans="1:10" x14ac:dyDescent="0.25">
      <c r="A94" s="32"/>
      <c r="B94" s="202"/>
      <c r="C94" s="69"/>
      <c r="D94" s="70"/>
      <c r="E94" s="32"/>
      <c r="F94" s="32"/>
      <c r="G94" s="32"/>
      <c r="H94" s="32"/>
    </row>
    <row r="95" spans="1:10" x14ac:dyDescent="0.25">
      <c r="A95" s="32"/>
      <c r="B95" s="202"/>
      <c r="C95" s="69"/>
      <c r="D95" s="32"/>
      <c r="E95" s="32"/>
      <c r="F95" s="32"/>
      <c r="G95" s="32"/>
      <c r="H95" s="32"/>
    </row>
    <row r="96" spans="1:10" x14ac:dyDescent="0.25">
      <c r="A96" s="32"/>
      <c r="B96" s="202"/>
      <c r="C96" s="395"/>
      <c r="D96" s="32"/>
      <c r="E96" s="32"/>
      <c r="F96" s="32"/>
      <c r="G96" s="32"/>
      <c r="H96" s="32"/>
    </row>
    <row r="97" spans="1:8" x14ac:dyDescent="0.25">
      <c r="A97" s="32"/>
      <c r="B97" s="47"/>
      <c r="C97" s="69"/>
      <c r="D97" s="32"/>
      <c r="E97" s="32"/>
      <c r="F97" s="32"/>
      <c r="G97" s="32"/>
      <c r="H97" s="32"/>
    </row>
    <row r="98" spans="1:8" x14ac:dyDescent="0.25">
      <c r="A98" s="32"/>
      <c r="B98" s="47"/>
      <c r="D98" s="32"/>
      <c r="E98" s="32"/>
      <c r="F98" s="32"/>
      <c r="G98" s="32"/>
      <c r="H98" s="32"/>
    </row>
    <row r="99" spans="1:8" x14ac:dyDescent="0.25">
      <c r="A99" s="32"/>
      <c r="B99" s="47"/>
      <c r="D99" s="32"/>
      <c r="E99" s="32"/>
      <c r="F99" s="32"/>
      <c r="G99" s="32"/>
      <c r="H99" s="32"/>
    </row>
    <row r="100" spans="1:8" x14ac:dyDescent="0.25">
      <c r="A100" s="32"/>
      <c r="B100" s="47"/>
      <c r="D100" s="32"/>
      <c r="E100" s="32"/>
      <c r="F100" s="32"/>
      <c r="G100" s="32"/>
      <c r="H100" s="32"/>
    </row>
    <row r="101" spans="1:8" x14ac:dyDescent="0.25">
      <c r="A101" s="32"/>
      <c r="B101" s="47"/>
      <c r="D101" s="32"/>
      <c r="E101" s="32"/>
      <c r="F101" s="32"/>
      <c r="G101" s="32"/>
      <c r="H101" s="32"/>
    </row>
    <row r="102" spans="1:8" x14ac:dyDescent="0.25">
      <c r="A102" s="32"/>
      <c r="B102" s="47"/>
      <c r="D102" s="32"/>
      <c r="E102" s="32"/>
      <c r="F102" s="32"/>
      <c r="G102" s="32"/>
      <c r="H102" s="32"/>
    </row>
    <row r="103" spans="1:8" x14ac:dyDescent="0.25">
      <c r="A103" s="32"/>
      <c r="B103" s="47"/>
      <c r="D103" s="32"/>
      <c r="E103" s="32"/>
      <c r="F103" s="32"/>
      <c r="G103" s="32"/>
      <c r="H103" s="32"/>
    </row>
    <row r="104" spans="1:8" x14ac:dyDescent="0.25">
      <c r="A104" s="32"/>
      <c r="B104" s="47"/>
      <c r="D104" s="32"/>
      <c r="E104" s="32"/>
      <c r="F104" s="32"/>
      <c r="G104" s="32"/>
      <c r="H104" s="32"/>
    </row>
    <row r="105" spans="1:8" x14ac:dyDescent="0.25">
      <c r="A105" s="32"/>
      <c r="B105" s="47"/>
      <c r="D105" s="32"/>
      <c r="E105" s="32"/>
      <c r="F105" s="32"/>
      <c r="G105" s="32"/>
      <c r="H105" s="32"/>
    </row>
    <row r="106" spans="1:8" x14ac:dyDescent="0.25">
      <c r="A106" s="32"/>
      <c r="B106" s="47"/>
      <c r="D106" s="32"/>
      <c r="E106" s="32"/>
      <c r="F106" s="32"/>
      <c r="G106" s="32"/>
      <c r="H106" s="32"/>
    </row>
    <row r="107" spans="1:8" x14ac:dyDescent="0.25">
      <c r="A107" s="32"/>
      <c r="B107" s="47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>
        <v>300</v>
      </c>
      <c r="B116" s="47"/>
      <c r="D116" s="32"/>
      <c r="E116" s="32"/>
      <c r="F116" s="32"/>
      <c r="G116" s="32"/>
      <c r="H116" s="32"/>
    </row>
    <row r="117" spans="1:8" x14ac:dyDescent="0.25">
      <c r="A117" s="32">
        <v>35</v>
      </c>
      <c r="B117" s="47"/>
      <c r="D117" s="32"/>
      <c r="E117" s="32"/>
      <c r="F117" s="32"/>
      <c r="G117" s="32"/>
      <c r="H117" s="32"/>
    </row>
    <row r="118" spans="1:8" x14ac:dyDescent="0.25">
      <c r="A118" s="32">
        <f>+A117*A116</f>
        <v>10500</v>
      </c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C122" s="69"/>
      <c r="D122" s="32"/>
      <c r="E122" s="32"/>
      <c r="F122" s="32"/>
      <c r="G122" s="32"/>
      <c r="H122" s="32"/>
    </row>
    <row r="123" spans="1:8" x14ac:dyDescent="0.25">
      <c r="A123" s="32"/>
      <c r="B123" s="47"/>
      <c r="C123" s="69"/>
      <c r="D123" s="32"/>
      <c r="E123" s="32"/>
      <c r="F123" s="32"/>
      <c r="G123" s="32"/>
      <c r="H123" s="32"/>
    </row>
    <row r="124" spans="1:8" x14ac:dyDescent="0.25">
      <c r="A124" s="32"/>
      <c r="B124" s="47"/>
      <c r="C124" s="69"/>
      <c r="D124" s="32"/>
      <c r="E124" s="32"/>
      <c r="F124" s="32"/>
      <c r="G124" s="32"/>
      <c r="H124" s="32"/>
    </row>
    <row r="125" spans="1:8" x14ac:dyDescent="0.25">
      <c r="A125" s="32"/>
      <c r="B125" s="47"/>
      <c r="C125" s="69"/>
      <c r="D125" s="32"/>
      <c r="E125" s="32"/>
      <c r="F125" s="32"/>
      <c r="G125" s="32"/>
      <c r="H125" s="32"/>
    </row>
    <row r="126" spans="1:8" x14ac:dyDescent="0.25">
      <c r="A126" s="32"/>
      <c r="B126" s="47"/>
      <c r="C126" s="69"/>
      <c r="D126" s="32"/>
      <c r="E126" s="32"/>
      <c r="F126" s="32"/>
      <c r="G126" s="32"/>
      <c r="H126" s="32"/>
    </row>
    <row r="127" spans="1:8" x14ac:dyDescent="0.25">
      <c r="A127" s="32"/>
      <c r="B127" s="47"/>
      <c r="C127" s="69"/>
      <c r="D127" s="32"/>
      <c r="E127" s="32"/>
      <c r="F127" s="32"/>
      <c r="G127" s="32"/>
      <c r="H127" s="32"/>
    </row>
    <row r="128" spans="1:8" x14ac:dyDescent="0.25">
      <c r="A128" s="32"/>
      <c r="B128" s="47"/>
      <c r="C128" s="69"/>
      <c r="D128" s="32"/>
      <c r="E128" s="32"/>
      <c r="F128" s="32"/>
      <c r="G128" s="32"/>
      <c r="H12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workbookViewId="3">
      <selection activeCell="D11" sqref="D11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5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5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156920</v>
      </c>
      <c r="C8" s="11">
        <v>156264</v>
      </c>
      <c r="D8" s="11">
        <v>12722</v>
      </c>
      <c r="E8" s="11">
        <v>12532</v>
      </c>
      <c r="F8" s="11">
        <f>+C8-B8+E8-D8</f>
        <v>-846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157223</v>
      </c>
      <c r="C9" s="11">
        <v>156534</v>
      </c>
      <c r="D9" s="11">
        <v>12253</v>
      </c>
      <c r="E9" s="11">
        <v>12532</v>
      </c>
      <c r="F9" s="11">
        <f t="shared" ref="F9:F39" si="5">+C9-B9+E9-D9</f>
        <v>-410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156228</v>
      </c>
      <c r="C10" s="11">
        <v>156410</v>
      </c>
      <c r="D10" s="11">
        <v>12192</v>
      </c>
      <c r="E10" s="11">
        <v>12532</v>
      </c>
      <c r="F10" s="11">
        <f t="shared" si="5"/>
        <v>522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/>
      <c r="C11" s="11"/>
      <c r="D11" s="11"/>
      <c r="E11" s="11"/>
      <c r="F11" s="11">
        <f t="shared" si="5"/>
        <v>0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/>
      <c r="C12" s="11"/>
      <c r="D12" s="11"/>
      <c r="E12" s="11"/>
      <c r="F12" s="11">
        <f t="shared" si="5"/>
        <v>0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1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1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1"/>
      <c r="C24" s="11"/>
      <c r="D24" s="11"/>
      <c r="E24" s="11"/>
      <c r="F24" s="11">
        <f t="shared" si="5"/>
        <v>0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52</v>
      </c>
      <c r="B25" s="11"/>
      <c r="C25" s="11"/>
      <c r="D25" s="11"/>
      <c r="E25" s="11"/>
      <c r="F25" s="11">
        <f t="shared" si="5"/>
        <v>0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485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470371</v>
      </c>
      <c r="C39" s="150">
        <f>SUM(C8:C38)</f>
        <v>469208</v>
      </c>
      <c r="D39" s="150">
        <f>SUM(D8:D38)</f>
        <v>37167</v>
      </c>
      <c r="E39" s="150">
        <f>SUM(E8:E38)</f>
        <v>37596</v>
      </c>
      <c r="F39" s="11">
        <f t="shared" si="5"/>
        <v>-734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37134</v>
      </c>
      <c r="C42" s="153"/>
      <c r="D42" s="153"/>
      <c r="E42" s="153"/>
      <c r="F42" s="446">
        <v>139761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37137</v>
      </c>
      <c r="C43" s="142"/>
      <c r="D43" s="142"/>
      <c r="E43" s="142"/>
      <c r="F43" s="150">
        <f>+F42+F39</f>
        <v>139027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427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167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+B42</f>
        <v>37134</v>
      </c>
      <c r="B50" s="32"/>
      <c r="C50" s="32"/>
      <c r="D50" s="440">
        <v>670591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+B43</f>
        <v>37137</v>
      </c>
      <c r="B51" s="32"/>
      <c r="C51" s="32"/>
      <c r="D51" s="408">
        <f>+F39*'by type'!J3</f>
        <v>-1343.22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202">
        <f>+D51+D50</f>
        <v>669247.78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409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409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409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409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5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" workbookViewId="3">
      <selection activeCell="C7" sqref="C7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-142080</v>
      </c>
      <c r="C5" s="24">
        <v>-142462</v>
      </c>
      <c r="D5" s="24">
        <f>+C5-B5</f>
        <v>-382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-138699</v>
      </c>
      <c r="C6" s="51">
        <v>-136853</v>
      </c>
      <c r="D6" s="24">
        <f t="shared" ref="D6:D36" si="0">+C6-B6</f>
        <v>1846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-135130</v>
      </c>
      <c r="C7" s="51">
        <v>-133387</v>
      </c>
      <c r="D7" s="24">
        <f t="shared" si="0"/>
        <v>1743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/>
      <c r="C8" s="51"/>
      <c r="D8" s="24">
        <f t="shared" si="0"/>
        <v>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2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5">
      <c r="A36" s="12"/>
      <c r="B36" s="24">
        <f>SUM(B5:B35)</f>
        <v>-415909</v>
      </c>
      <c r="C36" s="24">
        <f>SUM(C5:C35)</f>
        <v>-412702</v>
      </c>
      <c r="D36" s="24">
        <f t="shared" si="0"/>
        <v>3207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5">
      <c r="B38" s="255">
        <v>37134</v>
      </c>
      <c r="C38" s="24"/>
      <c r="D38" s="439">
        <v>40850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5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8" thickBot="1" x14ac:dyDescent="0.3">
      <c r="B40" s="255">
        <v>37137</v>
      </c>
      <c r="C40" s="24"/>
      <c r="D40" s="195">
        <f>+D36+D38</f>
        <v>44057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8" thickTop="1" x14ac:dyDescent="0.25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5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5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5">
      <c r="A44" s="32" t="s">
        <v>158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5">
      <c r="A45" s="49">
        <f>+B38</f>
        <v>37134</v>
      </c>
      <c r="B45" s="32"/>
      <c r="C45" s="32"/>
      <c r="D45" s="440">
        <v>-271288</v>
      </c>
    </row>
    <row r="46" spans="1:65" x14ac:dyDescent="0.25">
      <c r="A46" s="49">
        <f>+B40</f>
        <v>37137</v>
      </c>
      <c r="B46" s="32"/>
      <c r="C46" s="32"/>
      <c r="D46" s="408">
        <f>+D36*'by type'!J4</f>
        <v>6157.44</v>
      </c>
    </row>
    <row r="47" spans="1:65" x14ac:dyDescent="0.25">
      <c r="A47" s="32"/>
      <c r="B47" s="32"/>
      <c r="C47" s="32"/>
      <c r="D47" s="202">
        <f>+D46+D45</f>
        <v>-265130.56</v>
      </c>
    </row>
    <row r="48" spans="1:65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C18" sqref="C18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56339</v>
      </c>
      <c r="B5" s="90">
        <v>103877</v>
      </c>
      <c r="C5" s="90">
        <v>102838</v>
      </c>
      <c r="D5" s="90">
        <f>+C5-B5</f>
        <v>-1039</v>
      </c>
      <c r="E5" s="285"/>
      <c r="F5" s="283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5">
      <c r="A7" s="87">
        <v>500238</v>
      </c>
      <c r="B7" s="90">
        <v>85286</v>
      </c>
      <c r="C7" s="90">
        <v>105971</v>
      </c>
      <c r="D7" s="90">
        <f t="shared" si="0"/>
        <v>20685</v>
      </c>
      <c r="E7" s="285"/>
      <c r="F7" s="283"/>
      <c r="L7" t="s">
        <v>26</v>
      </c>
      <c r="M7">
        <v>7.6</v>
      </c>
    </row>
    <row r="8" spans="1:13" x14ac:dyDescent="0.25">
      <c r="A8" s="87">
        <v>500239</v>
      </c>
      <c r="B8" s="319">
        <v>54839</v>
      </c>
      <c r="C8" s="90">
        <v>67549</v>
      </c>
      <c r="D8" s="90">
        <f t="shared" si="0"/>
        <v>12710</v>
      </c>
      <c r="E8" s="285"/>
      <c r="F8" s="283"/>
    </row>
    <row r="9" spans="1:13" x14ac:dyDescent="0.25">
      <c r="A9" s="87">
        <v>500293</v>
      </c>
      <c r="B9" s="90">
        <v>42816</v>
      </c>
      <c r="C9" s="90">
        <v>61217</v>
      </c>
      <c r="D9" s="90">
        <f t="shared" si="0"/>
        <v>18401</v>
      </c>
      <c r="E9" s="285"/>
      <c r="F9" s="283"/>
    </row>
    <row r="10" spans="1:13" x14ac:dyDescent="0.25">
      <c r="A10" s="87">
        <v>500302</v>
      </c>
      <c r="B10" s="319"/>
      <c r="C10" s="319">
        <v>1062</v>
      </c>
      <c r="D10" s="90">
        <f t="shared" si="0"/>
        <v>1062</v>
      </c>
      <c r="E10" s="285"/>
      <c r="F10" s="283"/>
    </row>
    <row r="11" spans="1:13" x14ac:dyDescent="0.25">
      <c r="A11" s="87">
        <v>500303</v>
      </c>
      <c r="B11" s="319">
        <v>22961</v>
      </c>
      <c r="C11" s="90">
        <v>33401</v>
      </c>
      <c r="D11" s="90">
        <f t="shared" si="0"/>
        <v>10440</v>
      </c>
      <c r="E11" s="285"/>
      <c r="F11" s="283"/>
    </row>
    <row r="12" spans="1:13" x14ac:dyDescent="0.25">
      <c r="A12" s="91">
        <v>500305</v>
      </c>
      <c r="B12" s="319">
        <v>105403</v>
      </c>
      <c r="C12" s="90">
        <v>132235</v>
      </c>
      <c r="D12" s="90">
        <f t="shared" si="0"/>
        <v>26832</v>
      </c>
      <c r="E12" s="286"/>
      <c r="F12" s="283"/>
    </row>
    <row r="13" spans="1:13" x14ac:dyDescent="0.25">
      <c r="A13" s="87">
        <v>500307</v>
      </c>
      <c r="B13" s="319">
        <v>4541</v>
      </c>
      <c r="C13" s="90">
        <v>6556</v>
      </c>
      <c r="D13" s="90">
        <f t="shared" si="0"/>
        <v>2015</v>
      </c>
      <c r="E13" s="285"/>
      <c r="F13" s="283"/>
    </row>
    <row r="14" spans="1:13" x14ac:dyDescent="0.25">
      <c r="A14" s="87">
        <v>500313</v>
      </c>
      <c r="B14" s="90"/>
      <c r="C14" s="319">
        <v>313</v>
      </c>
      <c r="D14" s="90">
        <f t="shared" si="0"/>
        <v>313</v>
      </c>
      <c r="E14" s="285"/>
      <c r="F14" s="28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5">
      <c r="A16" s="87">
        <v>500655</v>
      </c>
      <c r="B16" s="325">
        <v>64515</v>
      </c>
      <c r="C16" s="90"/>
      <c r="D16" s="90">
        <f t="shared" si="0"/>
        <v>-64515</v>
      </c>
      <c r="E16" s="285"/>
      <c r="F16" s="283"/>
    </row>
    <row r="17" spans="1:6" x14ac:dyDescent="0.25">
      <c r="A17" s="87">
        <v>500657</v>
      </c>
      <c r="B17" s="335">
        <v>19221</v>
      </c>
      <c r="C17" s="88">
        <v>3600</v>
      </c>
      <c r="D17" s="94">
        <f t="shared" si="0"/>
        <v>-15621</v>
      </c>
      <c r="E17" s="285"/>
      <c r="F17" s="283"/>
    </row>
    <row r="18" spans="1:6" x14ac:dyDescent="0.25">
      <c r="A18" s="87"/>
      <c r="B18" s="88"/>
      <c r="C18" s="88"/>
      <c r="D18" s="88">
        <f>SUM(D5:D17)</f>
        <v>11283</v>
      </c>
      <c r="E18" s="285"/>
      <c r="F18" s="283"/>
    </row>
    <row r="19" spans="1:6" x14ac:dyDescent="0.25">
      <c r="A19" s="87" t="s">
        <v>84</v>
      </c>
      <c r="B19" s="88"/>
      <c r="C19" s="88"/>
      <c r="D19" s="95">
        <f>+summary!H4</f>
        <v>1.92</v>
      </c>
      <c r="E19" s="287"/>
      <c r="F19" s="283"/>
    </row>
    <row r="20" spans="1:6" x14ac:dyDescent="0.25">
      <c r="A20" s="87"/>
      <c r="B20" s="88"/>
      <c r="C20" s="88"/>
      <c r="D20" s="96">
        <f>+D19*D18</f>
        <v>21663.360000000001</v>
      </c>
      <c r="E20" s="209"/>
      <c r="F20" s="284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37134</v>
      </c>
      <c r="B22" s="88"/>
      <c r="C22" s="88"/>
      <c r="D22" s="452">
        <v>-9731.44</v>
      </c>
      <c r="E22" s="209"/>
      <c r="F22" s="66"/>
    </row>
    <row r="23" spans="1:6" x14ac:dyDescent="0.25">
      <c r="A23" s="87"/>
      <c r="B23" s="88"/>
      <c r="C23" s="88"/>
      <c r="D23" s="322"/>
      <c r="E23" s="209"/>
      <c r="F23" s="66"/>
    </row>
    <row r="24" spans="1:6" ht="13.8" thickBot="1" x14ac:dyDescent="0.3">
      <c r="A24" s="99">
        <v>37137</v>
      </c>
      <c r="B24" s="88"/>
      <c r="C24" s="88"/>
      <c r="D24" s="334">
        <f>+D22+D20</f>
        <v>11931.92</v>
      </c>
      <c r="E24" s="209"/>
      <c r="F24" s="66"/>
    </row>
    <row r="25" spans="1:6" ht="13.8" thickTop="1" x14ac:dyDescent="0.25">
      <c r="E25" s="288"/>
    </row>
    <row r="28" spans="1:6" x14ac:dyDescent="0.25">
      <c r="A28" s="32" t="s">
        <v>157</v>
      </c>
      <c r="B28" s="32"/>
      <c r="C28" s="32"/>
      <c r="D28" s="32"/>
    </row>
    <row r="29" spans="1:6" x14ac:dyDescent="0.25">
      <c r="A29" s="49">
        <f>+A22</f>
        <v>37134</v>
      </c>
      <c r="B29" s="32"/>
      <c r="C29" s="32"/>
      <c r="D29" s="212">
        <v>-37683</v>
      </c>
    </row>
    <row r="30" spans="1:6" x14ac:dyDescent="0.25">
      <c r="A30" s="49">
        <f>+A24</f>
        <v>37137</v>
      </c>
      <c r="B30" s="32"/>
      <c r="C30" s="32"/>
      <c r="D30" s="379">
        <f>+D18</f>
        <v>11283</v>
      </c>
    </row>
    <row r="31" spans="1:6" x14ac:dyDescent="0.25">
      <c r="A31" s="32"/>
      <c r="B31" s="32"/>
      <c r="C31" s="32"/>
      <c r="D31" s="14">
        <f>+D30+D29</f>
        <v>-26400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8" workbookViewId="3">
      <selection activeCell="C48" sqref="C48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61"/>
      <c r="J2" s="2"/>
      <c r="K2" s="2"/>
      <c r="L2" s="104"/>
      <c r="M2" s="143" t="s">
        <v>197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61" t="s">
        <v>40</v>
      </c>
      <c r="I3" s="4" t="s">
        <v>20</v>
      </c>
      <c r="J3" s="4" t="s">
        <v>21</v>
      </c>
      <c r="K3" s="459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28554</v>
      </c>
      <c r="C4" s="11">
        <v>33234</v>
      </c>
      <c r="D4" s="11">
        <v>33359</v>
      </c>
      <c r="E4" s="11">
        <v>35317</v>
      </c>
      <c r="F4" s="25">
        <f>+E4+C4-D4-B4</f>
        <v>6638</v>
      </c>
      <c r="G4" s="25"/>
      <c r="H4" s="461"/>
      <c r="I4" s="14"/>
      <c r="J4" s="14"/>
      <c r="K4" s="14">
        <f t="shared" ref="K4:K9" si="0">+J4-I4</f>
        <v>0</v>
      </c>
      <c r="L4" s="390"/>
      <c r="M4" s="75">
        <f t="shared" ref="M4:M9" si="1">+L4*K4</f>
        <v>0</v>
      </c>
    </row>
    <row r="5" spans="1:14" x14ac:dyDescent="0.2">
      <c r="A5" s="41">
        <v>2</v>
      </c>
      <c r="B5" s="11">
        <v>15625</v>
      </c>
      <c r="C5" s="11">
        <v>16488</v>
      </c>
      <c r="D5" s="11">
        <v>35760</v>
      </c>
      <c r="E5" s="11">
        <v>37983</v>
      </c>
      <c r="F5" s="25">
        <f t="shared" ref="F5:F34" si="2">+E5+C5-D5-B5</f>
        <v>3086</v>
      </c>
      <c r="G5" s="25"/>
      <c r="H5" s="46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90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28573</v>
      </c>
      <c r="C6" s="11">
        <v>29845</v>
      </c>
      <c r="D6" s="11">
        <v>33221</v>
      </c>
      <c r="E6" s="11">
        <v>34952</v>
      </c>
      <c r="F6" s="25">
        <f t="shared" si="2"/>
        <v>3003</v>
      </c>
      <c r="G6" s="25"/>
      <c r="H6" s="46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90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25754</v>
      </c>
      <c r="C7" s="11">
        <v>30000</v>
      </c>
      <c r="D7" s="11">
        <v>32149</v>
      </c>
      <c r="E7" s="11">
        <v>33000</v>
      </c>
      <c r="F7" s="25">
        <f t="shared" si="2"/>
        <v>5097</v>
      </c>
      <c r="G7" s="25"/>
      <c r="H7" s="46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90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/>
      <c r="C8" s="11"/>
      <c r="D8" s="11"/>
      <c r="E8" s="11"/>
      <c r="F8" s="25">
        <f t="shared" si="2"/>
        <v>0</v>
      </c>
      <c r="G8" s="25"/>
      <c r="H8" s="46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90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6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90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61"/>
      <c r="I10" s="14"/>
      <c r="J10" s="14"/>
      <c r="K10" s="14"/>
      <c r="L10" s="390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 t="shared" si="2"/>
        <v>0</v>
      </c>
      <c r="G11" s="25"/>
      <c r="H11" s="461"/>
      <c r="I11" s="14"/>
      <c r="J11" s="14"/>
      <c r="K11" s="15"/>
      <c r="L11" s="390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 t="shared" si="2"/>
        <v>0</v>
      </c>
      <c r="G12" s="25"/>
      <c r="H12" s="461"/>
      <c r="I12" s="24"/>
      <c r="J12" s="24"/>
      <c r="K12" s="110"/>
      <c r="L12" s="463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63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98506</v>
      </c>
      <c r="C35" s="11">
        <f>SUM(C4:C34)</f>
        <v>109567</v>
      </c>
      <c r="D35" s="11">
        <f>SUM(D4:D34)</f>
        <v>134489</v>
      </c>
      <c r="E35" s="11">
        <f>SUM(E4:E34)</f>
        <v>141252</v>
      </c>
      <c r="F35" s="11">
        <f>+E35-D35+C35-B35</f>
        <v>17824</v>
      </c>
    </row>
    <row r="36" spans="1:7" x14ac:dyDescent="0.2">
      <c r="A36" s="45"/>
      <c r="C36" s="14">
        <f>+C35-B35</f>
        <v>11061</v>
      </c>
      <c r="D36" s="14"/>
      <c r="E36" s="14">
        <f>+E35-D35</f>
        <v>6763</v>
      </c>
      <c r="F36" s="47"/>
    </row>
    <row r="37" spans="1:7" x14ac:dyDescent="0.2">
      <c r="C37" s="15">
        <f>+summary!H4</f>
        <v>1.92</v>
      </c>
      <c r="D37" s="15"/>
      <c r="E37" s="15">
        <f>+C37</f>
        <v>1.92</v>
      </c>
      <c r="F37" s="24"/>
    </row>
    <row r="38" spans="1:7" x14ac:dyDescent="0.2">
      <c r="C38" s="48">
        <f>+C37*C36</f>
        <v>21237.119999999999</v>
      </c>
      <c r="D38" s="47"/>
      <c r="E38" s="48">
        <f>+E37*E36</f>
        <v>12984.96</v>
      </c>
      <c r="F38" s="46">
        <f>+E38+C38</f>
        <v>34222.080000000002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37134</v>
      </c>
      <c r="C40" s="451">
        <v>441785.89</v>
      </c>
      <c r="D40" s="111"/>
      <c r="E40" s="451">
        <v>100797.53</v>
      </c>
      <c r="F40" s="352">
        <f>+E40+C40</f>
        <v>542583.42000000004</v>
      </c>
      <c r="G40" s="25"/>
    </row>
    <row r="41" spans="1:7" x14ac:dyDescent="0.2">
      <c r="A41" s="57">
        <v>37138</v>
      </c>
      <c r="C41" s="106">
        <f>+C40+C38</f>
        <v>463023.01</v>
      </c>
      <c r="D41" s="106"/>
      <c r="E41" s="106">
        <f>+E40+E38</f>
        <v>113782.48999999999</v>
      </c>
      <c r="F41" s="106">
        <f>+E41+C41</f>
        <v>576805.5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157</v>
      </c>
      <c r="E45" s="11"/>
      <c r="F45" s="11"/>
      <c r="G45" s="25"/>
    </row>
    <row r="46" spans="1:7" x14ac:dyDescent="0.2">
      <c r="A46" s="49">
        <f>+A40</f>
        <v>37134</v>
      </c>
      <c r="D46" s="212">
        <v>69826</v>
      </c>
      <c r="E46" s="11"/>
      <c r="F46" s="11"/>
      <c r="G46" s="25"/>
    </row>
    <row r="47" spans="1:7" x14ac:dyDescent="0.2">
      <c r="A47" s="49">
        <f>+A41</f>
        <v>37138</v>
      </c>
      <c r="D47" s="379">
        <f>+F35</f>
        <v>17824</v>
      </c>
      <c r="E47" s="11"/>
      <c r="F47" s="11"/>
      <c r="G47" s="25"/>
    </row>
    <row r="48" spans="1:7" x14ac:dyDescent="0.2">
      <c r="D48" s="14">
        <f>+D47+D46</f>
        <v>87650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workbookViewId="3">
      <selection activeCell="E9" sqref="E9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5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5">
      <c r="A5" s="10">
        <v>1</v>
      </c>
      <c r="B5" s="11">
        <v>126397</v>
      </c>
      <c r="C5" s="11">
        <v>140595</v>
      </c>
      <c r="D5" s="11"/>
      <c r="E5" s="11">
        <v>-14918</v>
      </c>
      <c r="F5" s="11">
        <f>+C5+E5-B5-D5</f>
        <v>-720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130730</v>
      </c>
      <c r="C6" s="11">
        <v>150891</v>
      </c>
      <c r="D6" s="11"/>
      <c r="E6" s="11">
        <v>-21381</v>
      </c>
      <c r="F6" s="11">
        <f t="shared" ref="F6:F35" si="2">+C6+E6-B6-D6</f>
        <v>-1220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160915</v>
      </c>
      <c r="C7" s="11">
        <v>162126</v>
      </c>
      <c r="D7" s="11"/>
      <c r="E7" s="11"/>
      <c r="F7" s="11">
        <f t="shared" si="2"/>
        <v>1211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146983</v>
      </c>
      <c r="C8" s="11">
        <v>153572</v>
      </c>
      <c r="D8" s="11"/>
      <c r="E8" s="11">
        <v>-6935</v>
      </c>
      <c r="F8" s="11">
        <f t="shared" si="2"/>
        <v>-346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/>
      <c r="C9" s="11"/>
      <c r="D9" s="11"/>
      <c r="E9" s="11"/>
      <c r="F9" s="11">
        <f t="shared" si="2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565025</v>
      </c>
      <c r="C36" s="11">
        <f>SUM(C5:C35)</f>
        <v>607184</v>
      </c>
      <c r="D36" s="11">
        <f>SUM(D5:D35)</f>
        <v>0</v>
      </c>
      <c r="E36" s="11">
        <f>SUM(E5:E35)</f>
        <v>-43234</v>
      </c>
      <c r="F36" s="11">
        <f>SUM(F5:F35)</f>
        <v>-1075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37134</v>
      </c>
      <c r="F39" s="441">
        <v>70132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37138</v>
      </c>
      <c r="F41" s="353">
        <f>+F39+F36</f>
        <v>69057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158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37134</v>
      </c>
      <c r="C47" s="32"/>
      <c r="D47" s="32"/>
      <c r="E47" s="440">
        <v>-318064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37138</v>
      </c>
      <c r="C48" s="32"/>
      <c r="D48" s="32"/>
      <c r="E48" s="408">
        <f>+F36*'by type'!J3</f>
        <v>-1967.25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2">
        <f>+E48+E47</f>
        <v>-320031.25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7" workbookViewId="3">
      <selection activeCell="B35" sqref="B35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74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101561</v>
      </c>
      <c r="C8" s="11">
        <v>99387</v>
      </c>
      <c r="D8" s="11">
        <f>+C8-B8</f>
        <v>-2174</v>
      </c>
      <c r="E8" s="10"/>
      <c r="F8" s="11"/>
      <c r="G8" s="11"/>
      <c r="H8" s="11"/>
    </row>
    <row r="9" spans="1:8" x14ac:dyDescent="0.25">
      <c r="A9" s="10">
        <v>2</v>
      </c>
      <c r="B9" s="11">
        <v>104070</v>
      </c>
      <c r="C9" s="11">
        <v>104668</v>
      </c>
      <c r="D9" s="11">
        <f t="shared" ref="D9:D38" si="0">+C9-B9</f>
        <v>598</v>
      </c>
      <c r="E9" s="10"/>
      <c r="F9" s="11"/>
      <c r="G9" s="11"/>
      <c r="H9" s="11"/>
    </row>
    <row r="10" spans="1:8" x14ac:dyDescent="0.25">
      <c r="A10" s="10">
        <v>3</v>
      </c>
      <c r="B10" s="11">
        <v>102908</v>
      </c>
      <c r="C10" s="11">
        <v>102434</v>
      </c>
      <c r="D10" s="11">
        <f t="shared" si="0"/>
        <v>-474</v>
      </c>
      <c r="E10" s="10"/>
      <c r="F10" s="11"/>
      <c r="G10" s="11"/>
      <c r="H10" s="11"/>
    </row>
    <row r="11" spans="1:8" x14ac:dyDescent="0.25">
      <c r="A11" s="10">
        <v>4</v>
      </c>
      <c r="B11" s="11">
        <v>84772</v>
      </c>
      <c r="C11" s="11">
        <v>83676</v>
      </c>
      <c r="D11" s="11">
        <f t="shared" si="0"/>
        <v>-1096</v>
      </c>
      <c r="E11" s="10"/>
      <c r="F11" s="11"/>
      <c r="G11" s="11"/>
      <c r="H11" s="11"/>
    </row>
    <row r="12" spans="1:8" x14ac:dyDescent="0.25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5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5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5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5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5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08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393311</v>
      </c>
      <c r="C39" s="11">
        <f>SUM(C8:C38)</f>
        <v>390165</v>
      </c>
      <c r="D39" s="11">
        <f>SUM(D8:D38)</f>
        <v>-3146</v>
      </c>
      <c r="E39" s="10"/>
      <c r="F39" s="11"/>
      <c r="G39" s="11"/>
      <c r="H39" s="11"/>
    </row>
    <row r="40" spans="1:8" x14ac:dyDescent="0.25">
      <c r="A40" s="26"/>
      <c r="D40" s="75">
        <f>+summary!H4</f>
        <v>1.92</v>
      </c>
      <c r="E40" s="26"/>
      <c r="H40" s="75"/>
    </row>
    <row r="41" spans="1:8" x14ac:dyDescent="0.25">
      <c r="D41" s="197">
        <f>+D40*D39</f>
        <v>-6040.32</v>
      </c>
      <c r="F41" s="252"/>
      <c r="H41" s="197"/>
    </row>
    <row r="42" spans="1:8" x14ac:dyDescent="0.25">
      <c r="A42" s="57">
        <v>37134</v>
      </c>
      <c r="D42" s="456">
        <v>40807</v>
      </c>
      <c r="E42" s="57"/>
      <c r="H42" s="197"/>
    </row>
    <row r="43" spans="1:8" x14ac:dyDescent="0.25">
      <c r="A43" s="57">
        <v>37138</v>
      </c>
      <c r="D43" s="198">
        <f>+D42+D41</f>
        <v>34766.68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  <row r="47" spans="1:8" x14ac:dyDescent="0.25">
      <c r="A47" s="32" t="s">
        <v>157</v>
      </c>
      <c r="B47" s="32"/>
      <c r="C47" s="32"/>
      <c r="D47" s="32"/>
    </row>
    <row r="48" spans="1:8" x14ac:dyDescent="0.25">
      <c r="A48" s="49">
        <f>+A42</f>
        <v>37134</v>
      </c>
      <c r="B48" s="32"/>
      <c r="C48" s="32"/>
      <c r="D48" s="212">
        <v>-36542</v>
      </c>
    </row>
    <row r="49" spans="1:4" x14ac:dyDescent="0.25">
      <c r="A49" s="49">
        <f>+A43</f>
        <v>37138</v>
      </c>
      <c r="B49" s="32"/>
      <c r="C49" s="32"/>
      <c r="D49" s="379">
        <f>+D39</f>
        <v>-3146</v>
      </c>
    </row>
    <row r="50" spans="1:4" x14ac:dyDescent="0.25">
      <c r="A50" s="32"/>
      <c r="B50" s="32"/>
      <c r="C50" s="32"/>
      <c r="D50" s="14">
        <f>+D49+D48</f>
        <v>-39688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workbookViewId="3">
      <selection activeCell="B13" sqref="B13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</cols>
  <sheetData>
    <row r="2" spans="1:10" x14ac:dyDescent="0.25">
      <c r="A2" s="2" t="s">
        <v>96</v>
      </c>
      <c r="G2" s="32"/>
      <c r="H2" s="15"/>
      <c r="I2" s="32"/>
      <c r="J2" s="32"/>
    </row>
    <row r="3" spans="1:10" x14ac:dyDescent="0.25">
      <c r="A3" s="2" t="s">
        <v>75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6">
        <v>37134</v>
      </c>
      <c r="C5" s="454">
        <v>1299640.6599999999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37137</v>
      </c>
      <c r="J7" s="32"/>
    </row>
    <row r="8" spans="1:10" x14ac:dyDescent="0.25">
      <c r="A8" s="253">
        <v>60874</v>
      </c>
      <c r="B8" s="361">
        <v>516</v>
      </c>
      <c r="J8" s="32"/>
    </row>
    <row r="9" spans="1:10" x14ac:dyDescent="0.25">
      <c r="A9" s="253">
        <v>78169</v>
      </c>
      <c r="B9" s="361"/>
      <c r="J9" s="32"/>
    </row>
    <row r="10" spans="1:10" x14ac:dyDescent="0.25">
      <c r="A10" s="32">
        <v>500235</v>
      </c>
      <c r="B10" s="14"/>
      <c r="J10" s="32"/>
    </row>
    <row r="11" spans="1:10" x14ac:dyDescent="0.25">
      <c r="A11" s="253">
        <v>500248</v>
      </c>
      <c r="B11" s="363"/>
      <c r="J11" s="32"/>
    </row>
    <row r="12" spans="1:10" x14ac:dyDescent="0.25">
      <c r="A12" s="253">
        <v>500251</v>
      </c>
      <c r="B12" s="332">
        <f>1590-1807</f>
        <v>-217</v>
      </c>
      <c r="J12" s="32"/>
    </row>
    <row r="13" spans="1:10" x14ac:dyDescent="0.25">
      <c r="A13" s="253">
        <v>500254</v>
      </c>
      <c r="B13" s="332">
        <f>360-239</f>
        <v>121</v>
      </c>
      <c r="J13" s="32"/>
    </row>
    <row r="14" spans="1:10" x14ac:dyDescent="0.25">
      <c r="A14" s="32">
        <v>500255</v>
      </c>
      <c r="B14" s="332">
        <f>1800-1714</f>
        <v>86</v>
      </c>
      <c r="J14" s="32"/>
    </row>
    <row r="15" spans="1:10" x14ac:dyDescent="0.25">
      <c r="A15" s="32">
        <v>500262</v>
      </c>
      <c r="B15" s="332">
        <f>780-767</f>
        <v>13</v>
      </c>
      <c r="J15" s="32"/>
    </row>
    <row r="16" spans="1:10" x14ac:dyDescent="0.25">
      <c r="A16" s="290">
        <v>500267</v>
      </c>
      <c r="B16" s="362">
        <f>142873-168834</f>
        <v>-25961</v>
      </c>
      <c r="J16" s="32"/>
    </row>
    <row r="17" spans="1:10" x14ac:dyDescent="0.25">
      <c r="B17" s="14">
        <f>SUM(B8:B16)</f>
        <v>-25442</v>
      </c>
      <c r="J17" s="32"/>
    </row>
    <row r="18" spans="1:10" x14ac:dyDescent="0.25">
      <c r="B18" s="15">
        <f>+B31</f>
        <v>1.92</v>
      </c>
      <c r="C18" s="201">
        <f>+B18*B17</f>
        <v>-48848.639999999999</v>
      </c>
      <c r="G18" s="32"/>
      <c r="H18" s="413"/>
      <c r="I18" s="14"/>
      <c r="J18" s="32"/>
    </row>
    <row r="19" spans="1:10" x14ac:dyDescent="0.25">
      <c r="C19" s="339">
        <f>+C18+C5</f>
        <v>1250792.02</v>
      </c>
      <c r="E19" s="15"/>
      <c r="G19" s="32"/>
      <c r="H19" s="413"/>
      <c r="I19" s="14"/>
      <c r="J19" s="32"/>
    </row>
    <row r="20" spans="1:10" x14ac:dyDescent="0.25">
      <c r="E20" s="15"/>
      <c r="G20" s="32"/>
      <c r="H20" s="413"/>
      <c r="I20" s="14"/>
      <c r="J20" s="32"/>
    </row>
    <row r="21" spans="1:10" x14ac:dyDescent="0.25">
      <c r="A21" s="32" t="s">
        <v>89</v>
      </c>
      <c r="G21" s="32"/>
      <c r="H21" s="413"/>
      <c r="I21" s="14"/>
      <c r="J21" s="32"/>
    </row>
    <row r="22" spans="1:10" x14ac:dyDescent="0.25">
      <c r="A22" s="2" t="s">
        <v>76</v>
      </c>
      <c r="G22" s="32"/>
      <c r="H22" s="413"/>
      <c r="I22" s="14"/>
      <c r="J22" s="32"/>
    </row>
    <row r="23" spans="1:10" x14ac:dyDescent="0.25">
      <c r="G23" s="32"/>
      <c r="H23" s="413"/>
      <c r="I23" s="14"/>
      <c r="J23" s="32"/>
    </row>
    <row r="24" spans="1:10" x14ac:dyDescent="0.25">
      <c r="G24" s="32"/>
      <c r="H24" s="413"/>
      <c r="I24" s="14"/>
      <c r="J24" s="32"/>
    </row>
    <row r="25" spans="1:10" x14ac:dyDescent="0.25">
      <c r="A25" s="200">
        <v>37134</v>
      </c>
      <c r="C25" s="454">
        <v>275313.71999999997</v>
      </c>
      <c r="G25" s="32"/>
      <c r="H25" s="15"/>
      <c r="I25" s="14"/>
      <c r="J25" s="32"/>
    </row>
    <row r="26" spans="1:10" x14ac:dyDescent="0.25">
      <c r="F26" s="267"/>
      <c r="G26" s="32"/>
      <c r="H26" s="15"/>
      <c r="I26" s="32"/>
      <c r="J26" s="32"/>
    </row>
    <row r="27" spans="1:10" x14ac:dyDescent="0.25">
      <c r="A27" s="57">
        <v>37134</v>
      </c>
      <c r="G27" s="32"/>
      <c r="H27" s="15"/>
      <c r="I27" s="32"/>
      <c r="J27" s="32"/>
    </row>
    <row r="28" spans="1:10" x14ac:dyDescent="0.25">
      <c r="A28" s="32">
        <v>9164</v>
      </c>
      <c r="B28" s="212"/>
      <c r="G28" s="32"/>
      <c r="H28" s="15"/>
      <c r="I28" s="32"/>
      <c r="J28" s="32"/>
    </row>
    <row r="29" spans="1:10" x14ac:dyDescent="0.25">
      <c r="A29" s="32">
        <v>9167</v>
      </c>
      <c r="B29" s="212"/>
    </row>
    <row r="30" spans="1:10" x14ac:dyDescent="0.25">
      <c r="B30" s="14">
        <f>+B29+B28</f>
        <v>0</v>
      </c>
    </row>
    <row r="31" spans="1:10" x14ac:dyDescent="0.25">
      <c r="B31" s="15">
        <f>+summary!H4</f>
        <v>1.92</v>
      </c>
      <c r="C31" s="201">
        <f>+B31*B30</f>
        <v>0</v>
      </c>
    </row>
    <row r="32" spans="1:10" x14ac:dyDescent="0.25">
      <c r="C32" s="339">
        <f>+C31+C25</f>
        <v>275313.71999999997</v>
      </c>
      <c r="E32" s="15"/>
    </row>
    <row r="34" spans="1:9" x14ac:dyDescent="0.25">
      <c r="E34" s="272"/>
    </row>
    <row r="35" spans="1:9" x14ac:dyDescent="0.25">
      <c r="A35" s="32" t="s">
        <v>89</v>
      </c>
      <c r="E35" s="15"/>
    </row>
    <row r="36" spans="1:9" x14ac:dyDescent="0.25">
      <c r="A36" s="32" t="s">
        <v>77</v>
      </c>
      <c r="E36" s="32" t="s">
        <v>157</v>
      </c>
      <c r="F36" s="381">
        <v>24268</v>
      </c>
      <c r="G36" s="381">
        <v>24693</v>
      </c>
      <c r="H36" s="381">
        <v>24361</v>
      </c>
    </row>
    <row r="37" spans="1:9" x14ac:dyDescent="0.25">
      <c r="E37" s="49">
        <f>+A5</f>
        <v>37134</v>
      </c>
      <c r="F37" s="212">
        <v>272432</v>
      </c>
      <c r="G37" s="14">
        <v>117857</v>
      </c>
      <c r="H37" s="212">
        <v>148659</v>
      </c>
      <c r="I37" s="14"/>
    </row>
    <row r="38" spans="1:9" x14ac:dyDescent="0.25">
      <c r="E38" s="49">
        <f>+A7</f>
        <v>37137</v>
      </c>
      <c r="F38" s="379">
        <f>+B17</f>
        <v>-25442</v>
      </c>
      <c r="G38" s="379">
        <f>+B30</f>
        <v>0</v>
      </c>
      <c r="H38" s="379">
        <f>+B45</f>
        <v>935</v>
      </c>
      <c r="I38" s="14"/>
    </row>
    <row r="39" spans="1:9" x14ac:dyDescent="0.25">
      <c r="A39" s="49">
        <v>37134</v>
      </c>
      <c r="C39" s="454">
        <v>759991.94</v>
      </c>
      <c r="F39" s="14">
        <f>+F38+F37</f>
        <v>246990</v>
      </c>
      <c r="G39" s="14">
        <f>+G38+G37</f>
        <v>117857</v>
      </c>
      <c r="H39" s="14">
        <f>+H38+H37</f>
        <v>149594</v>
      </c>
      <c r="I39" s="14">
        <f>+H39+G39+F39</f>
        <v>514441</v>
      </c>
    </row>
    <row r="40" spans="1:9" x14ac:dyDescent="0.25">
      <c r="G40" s="32"/>
      <c r="H40" s="15"/>
      <c r="I40" s="32"/>
    </row>
    <row r="41" spans="1:9" x14ac:dyDescent="0.25">
      <c r="A41" s="249">
        <v>37137</v>
      </c>
      <c r="G41" s="32"/>
    </row>
    <row r="42" spans="1:9" x14ac:dyDescent="0.25">
      <c r="A42" s="253">
        <v>500241</v>
      </c>
      <c r="B42" s="14"/>
      <c r="G42" s="32"/>
    </row>
    <row r="43" spans="1:9" x14ac:dyDescent="0.25">
      <c r="A43" s="32">
        <v>500391</v>
      </c>
      <c r="B43" s="212">
        <v>719</v>
      </c>
      <c r="G43" s="32"/>
      <c r="H43" s="414"/>
      <c r="I43" s="14"/>
    </row>
    <row r="44" spans="1:9" x14ac:dyDescent="0.25">
      <c r="A44" s="32">
        <v>500392</v>
      </c>
      <c r="B44" s="257">
        <v>216</v>
      </c>
      <c r="G44" s="32"/>
      <c r="H44" s="414"/>
      <c r="I44" s="14"/>
    </row>
    <row r="45" spans="1:9" x14ac:dyDescent="0.25">
      <c r="B45" s="14">
        <f>SUM(B42:B44)</f>
        <v>935</v>
      </c>
      <c r="G45" s="32"/>
      <c r="H45" s="414"/>
      <c r="I45" s="14"/>
    </row>
    <row r="46" spans="1:9" x14ac:dyDescent="0.25">
      <c r="B46" s="201">
        <f>+B31</f>
        <v>1.92</v>
      </c>
      <c r="C46" s="201">
        <f>+B46*B45</f>
        <v>1795.2</v>
      </c>
      <c r="H46" s="414"/>
      <c r="I46" s="14"/>
    </row>
    <row r="47" spans="1:9" x14ac:dyDescent="0.25">
      <c r="C47" s="339">
        <f>+C46+C39</f>
        <v>761787.1399999999</v>
      </c>
      <c r="E47" s="206"/>
      <c r="H47" s="414"/>
      <c r="I47" s="14"/>
    </row>
    <row r="48" spans="1:9" x14ac:dyDescent="0.25">
      <c r="E48" s="216"/>
      <c r="H48" s="414"/>
      <c r="I48" s="14"/>
    </row>
    <row r="49" spans="1:9" x14ac:dyDescent="0.25">
      <c r="E49" s="206"/>
      <c r="H49" s="414"/>
      <c r="I49" s="14"/>
    </row>
    <row r="50" spans="1:9" x14ac:dyDescent="0.25">
      <c r="C50" s="324"/>
      <c r="E50" s="216"/>
    </row>
    <row r="51" spans="1:9" x14ac:dyDescent="0.25">
      <c r="A51" s="32" t="s">
        <v>89</v>
      </c>
      <c r="C51" s="254"/>
    </row>
    <row r="52" spans="1:9" x14ac:dyDescent="0.25">
      <c r="A52" s="32">
        <v>21665</v>
      </c>
      <c r="B52" s="15" t="s">
        <v>142</v>
      </c>
      <c r="C52" s="453">
        <v>73449.16</v>
      </c>
      <c r="D52" s="32" t="s">
        <v>123</v>
      </c>
      <c r="E52" s="50"/>
      <c r="H52" s="414">
        <v>21665</v>
      </c>
      <c r="I52" s="14">
        <v>36403</v>
      </c>
    </row>
    <row r="53" spans="1:9" x14ac:dyDescent="0.25">
      <c r="A53" s="32">
        <v>22664</v>
      </c>
      <c r="B53" s="15" t="s">
        <v>142</v>
      </c>
      <c r="C53" s="477">
        <v>23612.35</v>
      </c>
      <c r="D53" s="32" t="s">
        <v>124</v>
      </c>
      <c r="H53" s="414">
        <v>22664</v>
      </c>
      <c r="I53" s="208">
        <v>18932</v>
      </c>
    </row>
    <row r="54" spans="1:9" x14ac:dyDescent="0.25">
      <c r="H54" s="415"/>
      <c r="I54" s="16"/>
    </row>
    <row r="55" spans="1:9" x14ac:dyDescent="0.25">
      <c r="C55" s="476"/>
    </row>
    <row r="56" spans="1:9" x14ac:dyDescent="0.25">
      <c r="C56" s="331">
        <f>+C53+C52+C47+C32+C19</f>
        <v>2384954.3899999997</v>
      </c>
      <c r="I56" s="14">
        <f>SUM(I39:I53)</f>
        <v>569776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7" workbookViewId="3">
      <selection activeCell="E59" sqref="E59"/>
    </sheetView>
  </sheetViews>
  <sheetFormatPr defaultRowHeight="13.2" x14ac:dyDescent="0.25"/>
  <cols>
    <col min="3" max="3" width="9.88671875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28">
        <v>23995</v>
      </c>
      <c r="C1" s="235"/>
      <c r="D1" s="327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194</v>
      </c>
      <c r="G3" s="6"/>
      <c r="H3" s="115"/>
    </row>
    <row r="4" spans="1:10" x14ac:dyDescent="0.25">
      <c r="A4" s="10">
        <v>1</v>
      </c>
      <c r="B4" s="11"/>
      <c r="C4" s="11"/>
      <c r="D4" s="11">
        <v>25469</v>
      </c>
      <c r="E4" s="11">
        <v>23994</v>
      </c>
      <c r="F4" s="11">
        <f>+E4+C4-D4-B4</f>
        <v>-1475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24783</v>
      </c>
      <c r="E5" s="11">
        <v>22824</v>
      </c>
      <c r="F5" s="11">
        <f t="shared" ref="F5:F34" si="0">+E5+C5-D5-B5</f>
        <v>-1959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25183</v>
      </c>
      <c r="E6" s="11">
        <v>23383</v>
      </c>
      <c r="F6" s="11">
        <f t="shared" si="0"/>
        <v>-1800</v>
      </c>
      <c r="G6" s="11"/>
      <c r="I6" s="11"/>
      <c r="J6" s="24"/>
    </row>
    <row r="7" spans="1:10" x14ac:dyDescent="0.25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5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5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157</v>
      </c>
      <c r="I33" s="381">
        <v>23995</v>
      </c>
      <c r="J33" s="381">
        <v>22051</v>
      </c>
      <c r="K33" s="381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37134</v>
      </c>
      <c r="I34" s="212">
        <v>-178519</v>
      </c>
      <c r="J34" s="212">
        <v>-46913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75435</v>
      </c>
      <c r="E35" s="11">
        <f>SUM(E4:E34)</f>
        <v>70201</v>
      </c>
      <c r="F35" s="11">
        <f>SUM(F4:F34)</f>
        <v>-5234</v>
      </c>
      <c r="G35" s="11"/>
      <c r="H35" s="49">
        <f>+A40</f>
        <v>37137</v>
      </c>
      <c r="I35" s="379">
        <f>+C36</f>
        <v>0</v>
      </c>
      <c r="J35" s="379">
        <f>+E36</f>
        <v>-5234</v>
      </c>
      <c r="K35" s="208"/>
      <c r="L35" s="14"/>
    </row>
    <row r="36" spans="1:13" x14ac:dyDescent="0.25">
      <c r="C36" s="25">
        <f>+C35-B35</f>
        <v>0</v>
      </c>
      <c r="E36" s="25">
        <f>+E35-D35</f>
        <v>-5234</v>
      </c>
      <c r="F36" s="25">
        <f>+E36+C36</f>
        <v>-5234</v>
      </c>
      <c r="H36" s="32"/>
      <c r="I36" s="14">
        <f>+I35+I34</f>
        <v>-178519</v>
      </c>
      <c r="J36" s="14">
        <f>+J35+J34</f>
        <v>-52147</v>
      </c>
      <c r="K36" s="14">
        <f>+J36+I36</f>
        <v>-230666</v>
      </c>
      <c r="L36" s="14"/>
    </row>
    <row r="37" spans="1:13" x14ac:dyDescent="0.25">
      <c r="C37" s="329">
        <f>+summary!H5</f>
        <v>1.97</v>
      </c>
      <c r="E37" s="104">
        <f>+C37</f>
        <v>1.97</v>
      </c>
      <c r="F37" s="138">
        <f>+F36*E37</f>
        <v>-10310.98</v>
      </c>
    </row>
    <row r="38" spans="1:13" x14ac:dyDescent="0.25">
      <c r="C38" s="138">
        <f>+C37*C36</f>
        <v>0</v>
      </c>
      <c r="E38" s="136">
        <f>+E37*E36</f>
        <v>-10310.98</v>
      </c>
      <c r="F38" s="138">
        <f>+E38+C38</f>
        <v>-10310.98</v>
      </c>
    </row>
    <row r="39" spans="1:13" x14ac:dyDescent="0.25">
      <c r="A39" s="57">
        <v>37134</v>
      </c>
      <c r="B39" s="2" t="s">
        <v>46</v>
      </c>
      <c r="C39" s="369">
        <v>-1023263</v>
      </c>
      <c r="D39" s="338"/>
      <c r="E39" s="449">
        <v>-400229</v>
      </c>
      <c r="F39" s="337">
        <f>+E39+C39</f>
        <v>-1423492</v>
      </c>
    </row>
    <row r="40" spans="1:13" x14ac:dyDescent="0.25">
      <c r="A40" s="57">
        <v>37137</v>
      </c>
      <c r="B40" s="2" t="s">
        <v>46</v>
      </c>
      <c r="C40" s="330">
        <f>+C39+C38</f>
        <v>-1023263</v>
      </c>
      <c r="D40" s="259"/>
      <c r="E40" s="330">
        <f>+E39+E38</f>
        <v>-410539.98</v>
      </c>
      <c r="F40" s="330">
        <f>+E40+C40</f>
        <v>-1433802.98</v>
      </c>
      <c r="H40" s="131"/>
    </row>
    <row r="41" spans="1:13" x14ac:dyDescent="0.25">
      <c r="C41" s="348"/>
      <c r="D41" s="250"/>
      <c r="E41" s="250"/>
      <c r="H41" s="31"/>
    </row>
    <row r="42" spans="1:13" x14ac:dyDescent="0.25">
      <c r="C42" s="250"/>
      <c r="D42" s="250"/>
      <c r="E42" s="250"/>
    </row>
    <row r="43" spans="1:13" x14ac:dyDescent="0.25">
      <c r="C43" s="250"/>
      <c r="D43" s="250"/>
      <c r="E43" s="12" t="s">
        <v>115</v>
      </c>
    </row>
    <row r="44" spans="1:13" x14ac:dyDescent="0.25">
      <c r="C44" s="250"/>
      <c r="D44" s="250"/>
      <c r="E44" s="12">
        <v>22864</v>
      </c>
      <c r="F44" s="454">
        <v>-58339.66</v>
      </c>
      <c r="G44" s="254" t="s">
        <v>49</v>
      </c>
      <c r="J44" s="12">
        <v>22864</v>
      </c>
      <c r="K44" s="14">
        <v>-24566</v>
      </c>
    </row>
    <row r="45" spans="1:13" x14ac:dyDescent="0.25">
      <c r="C45" s="250"/>
      <c r="D45" s="250"/>
      <c r="E45" s="12">
        <v>20379</v>
      </c>
      <c r="F45" s="454">
        <v>-51695.87</v>
      </c>
      <c r="G45" s="254" t="s">
        <v>126</v>
      </c>
      <c r="J45" s="12">
        <v>20379</v>
      </c>
      <c r="K45" s="14">
        <v>2979</v>
      </c>
      <c r="M45" s="14"/>
    </row>
    <row r="46" spans="1:13" x14ac:dyDescent="0.25">
      <c r="C46" s="250"/>
      <c r="D46" s="250"/>
      <c r="E46" s="12">
        <v>26357</v>
      </c>
      <c r="F46" s="371">
        <v>44144.84</v>
      </c>
      <c r="G46" s="254" t="s">
        <v>127</v>
      </c>
      <c r="J46" s="12">
        <v>26357</v>
      </c>
      <c r="K46" s="14">
        <v>26521</v>
      </c>
    </row>
    <row r="47" spans="1:13" x14ac:dyDescent="0.25">
      <c r="C47" s="250"/>
      <c r="D47" s="250"/>
      <c r="E47" s="12">
        <v>21544</v>
      </c>
      <c r="F47" s="454">
        <v>61340.160000000003</v>
      </c>
      <c r="G47" s="254" t="s">
        <v>128</v>
      </c>
      <c r="J47" s="12">
        <v>21544</v>
      </c>
      <c r="K47" s="14">
        <v>36108</v>
      </c>
    </row>
    <row r="48" spans="1:13" x14ac:dyDescent="0.25">
      <c r="C48" s="250"/>
      <c r="D48" s="250"/>
      <c r="E48" s="12">
        <v>24532</v>
      </c>
      <c r="F48" s="455">
        <v>-762222.24</v>
      </c>
      <c r="G48" s="254" t="s">
        <v>125</v>
      </c>
      <c r="J48" s="12">
        <v>24532</v>
      </c>
      <c r="K48" s="212">
        <v>17769</v>
      </c>
    </row>
    <row r="49" spans="3:13" x14ac:dyDescent="0.25">
      <c r="C49" s="250"/>
      <c r="D49" s="250"/>
      <c r="F49" s="349">
        <f>SUM(F40:F48)</f>
        <v>-2200575.75</v>
      </c>
      <c r="G49" s="250"/>
      <c r="K49" s="14">
        <f>SUM(K36:K48)</f>
        <v>-171855</v>
      </c>
    </row>
    <row r="50" spans="3:13" x14ac:dyDescent="0.25">
      <c r="C50" s="250"/>
      <c r="D50" s="250"/>
      <c r="F50" s="250"/>
      <c r="G50" s="250"/>
    </row>
    <row r="51" spans="3:13" x14ac:dyDescent="0.25">
      <c r="E51" s="2" t="s">
        <v>143</v>
      </c>
      <c r="F51" s="138">
        <f>+Duke!C56</f>
        <v>2384954.3899999997</v>
      </c>
      <c r="M51" s="14">
        <f>+Duke!I56</f>
        <v>569776</v>
      </c>
    </row>
    <row r="53" spans="3:13" x14ac:dyDescent="0.25">
      <c r="F53" s="104">
        <f>+F51+F49</f>
        <v>184378.63999999966</v>
      </c>
      <c r="M53" s="16">
        <f>+M51+K49</f>
        <v>397921</v>
      </c>
    </row>
    <row r="59" spans="3:13" x14ac:dyDescent="0.25">
      <c r="H59" s="258"/>
    </row>
    <row r="60" spans="3:13" x14ac:dyDescent="0.25">
      <c r="H60" s="258"/>
    </row>
    <row r="61" spans="3:13" x14ac:dyDescent="0.25">
      <c r="H61" s="258"/>
    </row>
    <row r="62" spans="3:13" x14ac:dyDescent="0.25">
      <c r="H62" s="367"/>
    </row>
    <row r="63" spans="3:13" x14ac:dyDescent="0.25">
      <c r="F63" s="367"/>
    </row>
    <row r="64" spans="3:13" x14ac:dyDescent="0.25">
      <c r="F64" s="36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4" workbookViewId="3">
      <selection activeCell="K5" sqref="K5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72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6668</v>
      </c>
      <c r="C8" s="11">
        <v>6386</v>
      </c>
      <c r="D8" s="11"/>
      <c r="E8" s="11"/>
      <c r="F8" s="11">
        <v>983</v>
      </c>
      <c r="G8" s="11">
        <v>1674</v>
      </c>
      <c r="H8" s="11">
        <v>1840</v>
      </c>
      <c r="I8" s="11">
        <v>1258</v>
      </c>
      <c r="J8" s="25">
        <f>+C8-B8+E8-D8+G8-F8+I8-H8</f>
        <v>-173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6597</v>
      </c>
      <c r="C9" s="11">
        <v>6386</v>
      </c>
      <c r="D9" s="11"/>
      <c r="E9" s="11"/>
      <c r="F9" s="11">
        <v>971</v>
      </c>
      <c r="G9" s="11">
        <v>1305</v>
      </c>
      <c r="H9" s="11">
        <v>1770</v>
      </c>
      <c r="I9" s="11">
        <v>1258</v>
      </c>
      <c r="J9" s="25">
        <f t="shared" ref="J9:J38" si="0">+C9-B9+E9-D9+G9-F9+I9-H9</f>
        <v>-389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/>
      <c r="C10" s="11"/>
      <c r="D10" s="11"/>
      <c r="E10" s="11"/>
      <c r="F10" s="11">
        <v>1013</v>
      </c>
      <c r="G10" s="11">
        <v>1612</v>
      </c>
      <c r="H10" s="11">
        <v>2100</v>
      </c>
      <c r="I10" s="11">
        <v>1258</v>
      </c>
      <c r="J10" s="25">
        <f t="shared" si="0"/>
        <v>-243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/>
      <c r="C11" s="11"/>
      <c r="D11" s="11"/>
      <c r="E11" s="11"/>
      <c r="F11" s="11"/>
      <c r="G11" s="11"/>
      <c r="H11" s="11"/>
      <c r="I11" s="11"/>
      <c r="J11" s="25">
        <f t="shared" si="0"/>
        <v>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/>
      <c r="C12" s="11"/>
      <c r="D12" s="11"/>
      <c r="E12" s="11"/>
      <c r="F12" s="11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/>
      <c r="C13" s="11"/>
      <c r="D13" s="11"/>
      <c r="E13" s="11"/>
      <c r="F13" s="11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/>
      <c r="C14" s="11"/>
      <c r="D14" s="11"/>
      <c r="E14" s="11"/>
      <c r="F14" s="11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5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5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5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13265</v>
      </c>
      <c r="C39" s="11">
        <f t="shared" si="1"/>
        <v>12772</v>
      </c>
      <c r="D39" s="11">
        <f t="shared" si="1"/>
        <v>0</v>
      </c>
      <c r="E39" s="11">
        <f t="shared" si="1"/>
        <v>0</v>
      </c>
      <c r="F39" s="11">
        <f t="shared" si="1"/>
        <v>2967</v>
      </c>
      <c r="G39" s="11">
        <f t="shared" si="1"/>
        <v>4591</v>
      </c>
      <c r="H39" s="11">
        <f t="shared" si="1"/>
        <v>5710</v>
      </c>
      <c r="I39" s="11">
        <f t="shared" si="1"/>
        <v>3774</v>
      </c>
      <c r="J39" s="25">
        <f t="shared" si="1"/>
        <v>-805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0">
        <f>+summary!H4</f>
        <v>1.92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-1545.6</v>
      </c>
      <c r="L41"/>
      <c r="R41" s="138"/>
      <c r="X41" s="138"/>
    </row>
    <row r="42" spans="1:24" x14ac:dyDescent="0.25">
      <c r="A42" s="57">
        <v>37134</v>
      </c>
      <c r="C42" s="15"/>
      <c r="J42" s="359">
        <v>320982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37137</v>
      </c>
      <c r="C43" s="48"/>
      <c r="J43" s="138">
        <f>+J42+J41</f>
        <v>319436.40000000002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157</v>
      </c>
      <c r="B46" s="32"/>
      <c r="C46" s="32"/>
      <c r="D46" s="32"/>
      <c r="L46"/>
    </row>
    <row r="47" spans="1:24" x14ac:dyDescent="0.25">
      <c r="A47" s="49">
        <f>+A42</f>
        <v>37134</v>
      </c>
      <c r="B47" s="32"/>
      <c r="C47" s="32"/>
      <c r="D47" s="212">
        <v>127683</v>
      </c>
      <c r="L47"/>
    </row>
    <row r="48" spans="1:24" x14ac:dyDescent="0.25">
      <c r="A48" s="49">
        <f>+A43</f>
        <v>37137</v>
      </c>
      <c r="B48" s="32"/>
      <c r="C48" s="32"/>
      <c r="D48" s="379">
        <f>+J39</f>
        <v>-805</v>
      </c>
      <c r="L48"/>
    </row>
    <row r="49" spans="1:12" x14ac:dyDescent="0.25">
      <c r="A49" s="32"/>
      <c r="B49" s="32"/>
      <c r="C49" s="32"/>
      <c r="D49" s="14">
        <f>+D48+D47</f>
        <v>126878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7" workbookViewId="3">
      <selection activeCell="A44" sqref="A44"/>
    </sheetView>
  </sheetViews>
  <sheetFormatPr defaultRowHeight="13.2" x14ac:dyDescent="0.25"/>
  <cols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"/>
      <c r="B6" s="1" t="s">
        <v>73</v>
      </c>
      <c r="D6" s="1" t="s">
        <v>146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5">
      <c r="A8" s="10">
        <v>1</v>
      </c>
      <c r="B8" s="11">
        <v>11248</v>
      </c>
      <c r="C8" s="11">
        <v>11294</v>
      </c>
      <c r="D8" s="11">
        <v>-98</v>
      </c>
      <c r="E8" s="11"/>
      <c r="F8" s="25">
        <f>+C8-B8+E8-D8</f>
        <v>144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5">
      <c r="A9" s="10">
        <v>2</v>
      </c>
      <c r="B9" s="11">
        <v>11633</v>
      </c>
      <c r="C9" s="11">
        <v>11294</v>
      </c>
      <c r="D9" s="11">
        <v>-72</v>
      </c>
      <c r="E9" s="11"/>
      <c r="F9" s="25">
        <f t="shared" ref="F9:F38" si="0">+C9-B9+E9-D9</f>
        <v>-267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5">
      <c r="A10" s="10">
        <v>3</v>
      </c>
      <c r="B10" s="11">
        <v>11027</v>
      </c>
      <c r="C10" s="11">
        <v>11294</v>
      </c>
      <c r="D10" s="11">
        <v>-114</v>
      </c>
      <c r="E10" s="11"/>
      <c r="F10" s="25">
        <f t="shared" si="0"/>
        <v>381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5">
      <c r="A11" s="10">
        <v>4</v>
      </c>
      <c r="B11" s="11"/>
      <c r="C11" s="11"/>
      <c r="D11" s="11"/>
      <c r="E11" s="11"/>
      <c r="F11" s="25">
        <f t="shared" si="0"/>
        <v>0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5">
      <c r="A12" s="10">
        <v>5</v>
      </c>
      <c r="B12" s="11"/>
      <c r="C12" s="11"/>
      <c r="D12" s="11"/>
      <c r="E12" s="11"/>
      <c r="F12" s="25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5">
      <c r="A13" s="10">
        <v>6</v>
      </c>
      <c r="B13" s="11"/>
      <c r="C13" s="11"/>
      <c r="D13" s="11"/>
      <c r="E13" s="11"/>
      <c r="F13" s="25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5">
      <c r="A14" s="10">
        <v>7</v>
      </c>
      <c r="B14" s="11"/>
      <c r="C14" s="11"/>
      <c r="D14" s="11"/>
      <c r="E14" s="11"/>
      <c r="F14" s="25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5">
      <c r="A15" s="10">
        <v>8</v>
      </c>
      <c r="B15" s="11"/>
      <c r="C15" s="11"/>
      <c r="D15" s="11"/>
      <c r="E15" s="11"/>
      <c r="F15" s="25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5">
      <c r="A16" s="10">
        <v>9</v>
      </c>
      <c r="B16" s="11"/>
      <c r="C16" s="11"/>
      <c r="D16" s="11"/>
      <c r="E16" s="11"/>
      <c r="F16" s="25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5">
      <c r="A20" s="10">
        <v>13</v>
      </c>
      <c r="B20" s="11"/>
      <c r="C20" s="11"/>
      <c r="D20" s="11"/>
      <c r="E20" s="11"/>
      <c r="F20" s="25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5">
      <c r="A21" s="10">
        <v>14</v>
      </c>
      <c r="B21" s="11"/>
      <c r="C21" s="11"/>
      <c r="D21" s="11"/>
      <c r="E21" s="11"/>
      <c r="F21" s="25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5">
      <c r="A22" s="10">
        <v>15</v>
      </c>
      <c r="B22" s="11"/>
      <c r="C22" s="11"/>
      <c r="D22" s="11"/>
      <c r="E22" s="11"/>
      <c r="F22" s="25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5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5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5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5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5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5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5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5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5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5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5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5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5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5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5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5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5">
      <c r="A39" s="10"/>
      <c r="B39" s="11">
        <f>SUM(B8:B38)</f>
        <v>33908</v>
      </c>
      <c r="C39" s="11">
        <f>SUM(C8:C38)</f>
        <v>33882</v>
      </c>
      <c r="D39" s="11">
        <f>SUM(D8:D38)</f>
        <v>-284</v>
      </c>
      <c r="E39" s="11">
        <f>SUM(E8:E38)</f>
        <v>0</v>
      </c>
      <c r="F39" s="11">
        <f>SUM(F8:F38)</f>
        <v>258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5">
      <c r="A40" s="26"/>
      <c r="C40" s="14"/>
      <c r="D40" s="14"/>
      <c r="E40" s="14"/>
      <c r="F40" s="106">
        <f>+summary!H4</f>
        <v>1.92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5">
      <c r="F41" s="138">
        <f>+F40*F39</f>
        <v>495.35999999999996</v>
      </c>
      <c r="J41" s="138"/>
      <c r="N41" s="138"/>
      <c r="R41" s="138"/>
      <c r="V41" s="138"/>
      <c r="Z41" s="138"/>
    </row>
    <row r="42" spans="1:26" x14ac:dyDescent="0.25">
      <c r="A42" s="57">
        <v>37134</v>
      </c>
      <c r="C42" s="15"/>
      <c r="D42" s="15"/>
      <c r="E42" s="15"/>
      <c r="F42" s="450">
        <v>428201.87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5">
      <c r="A43" s="57">
        <v>37137</v>
      </c>
      <c r="C43" s="48"/>
      <c r="D43" s="48"/>
      <c r="E43" s="48"/>
      <c r="F43" s="110">
        <f>+F42+F41</f>
        <v>428697.23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157</v>
      </c>
      <c r="B46" s="32"/>
      <c r="C46" s="32"/>
      <c r="D46" s="32"/>
      <c r="E46" s="11"/>
    </row>
    <row r="47" spans="1:26" x14ac:dyDescent="0.25">
      <c r="A47" s="49">
        <f>+A42</f>
        <v>37134</v>
      </c>
      <c r="B47" s="32"/>
      <c r="C47" s="32"/>
      <c r="D47" s="212">
        <v>-240823</v>
      </c>
      <c r="E47" s="11"/>
    </row>
    <row r="48" spans="1:26" x14ac:dyDescent="0.25">
      <c r="A48" s="49">
        <f>+A43</f>
        <v>37137</v>
      </c>
      <c r="B48" s="32"/>
      <c r="C48" s="32"/>
      <c r="D48" s="379">
        <f>+F39</f>
        <v>258</v>
      </c>
      <c r="E48" s="11"/>
    </row>
    <row r="49" spans="1:5" x14ac:dyDescent="0.25">
      <c r="A49" s="32"/>
      <c r="B49" s="32"/>
      <c r="C49" s="32"/>
      <c r="D49" s="14">
        <f>+D48+D47</f>
        <v>-240565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abSelected="1" topLeftCell="A16" workbookViewId="0">
      <selection activeCell="B15" sqref="B15"/>
    </sheetView>
    <sheetView topLeftCell="A7" workbookViewId="1">
      <selection activeCell="B16" sqref="B16"/>
    </sheetView>
    <sheetView tabSelected="1" topLeftCell="A41" workbookViewId="2">
      <selection activeCell="B10" sqref="B10"/>
    </sheetView>
    <sheetView topLeftCell="A35" workbookViewId="3">
      <selection activeCell="C14" sqref="C14"/>
    </sheetView>
  </sheetViews>
  <sheetFormatPr defaultRowHeight="13.2" x14ac:dyDescent="0.25"/>
  <cols>
    <col min="1" max="1" width="16.44140625" style="295" customWidth="1"/>
    <col min="2" max="2" width="12.33203125" style="252" bestFit="1" customWidth="1"/>
    <col min="3" max="3" width="11.5546875" style="296" customWidth="1"/>
    <col min="4" max="4" width="5.109375" style="7" customWidth="1"/>
    <col min="5" max="5" width="11.109375" bestFit="1" customWidth="1"/>
    <col min="6" max="6" width="12.88671875" bestFit="1" customWidth="1"/>
    <col min="9" max="9" width="10.44140625" customWidth="1"/>
    <col min="10" max="10" width="8.44140625" customWidth="1"/>
    <col min="11" max="11" width="5.109375" customWidth="1"/>
  </cols>
  <sheetData>
    <row r="2" spans="1:32" ht="20.100000000000001" customHeight="1" x14ac:dyDescent="0.25">
      <c r="A2" s="365" t="s">
        <v>145</v>
      </c>
      <c r="G2" s="396" t="s">
        <v>81</v>
      </c>
      <c r="H2" s="373"/>
    </row>
    <row r="3" spans="1:32" ht="15" customHeight="1" x14ac:dyDescent="0.25">
      <c r="G3" s="299" t="s">
        <v>30</v>
      </c>
      <c r="H3" s="372">
        <f>+'[1]0701'!$K$39</f>
        <v>1.83</v>
      </c>
      <c r="I3" s="407">
        <f ca="1">NOW()</f>
        <v>37139.73680752315</v>
      </c>
    </row>
    <row r="4" spans="1:32" ht="15" customHeight="1" x14ac:dyDescent="0.25">
      <c r="A4" s="34" t="s">
        <v>152</v>
      </c>
      <c r="C4" s="34" t="s">
        <v>5</v>
      </c>
      <c r="G4" s="300" t="s">
        <v>31</v>
      </c>
      <c r="H4" s="301">
        <f>+'[1]0701'!$M$39</f>
        <v>1.92</v>
      </c>
    </row>
    <row r="5" spans="1:32" ht="15" customHeight="1" x14ac:dyDescent="0.25">
      <c r="B5" s="367"/>
      <c r="G5" s="299" t="s">
        <v>120</v>
      </c>
      <c r="H5" s="372">
        <f>+'[1]0701'!$H$39</f>
        <v>1.97</v>
      </c>
    </row>
    <row r="6" spans="1:32" ht="9.9" customHeight="1" x14ac:dyDescent="0.25"/>
    <row r="7" spans="1:32" ht="15" customHeight="1" x14ac:dyDescent="0.25">
      <c r="A7" s="355" t="s">
        <v>92</v>
      </c>
      <c r="B7" s="356" t="s">
        <v>17</v>
      </c>
      <c r="C7" s="357" t="s">
        <v>0</v>
      </c>
      <c r="D7" s="5" t="s">
        <v>153</v>
      </c>
      <c r="E7" s="355" t="s">
        <v>93</v>
      </c>
      <c r="F7" s="358" t="s">
        <v>104</v>
      </c>
      <c r="G7" s="355" t="s">
        <v>101</v>
      </c>
    </row>
    <row r="8" spans="1:32" ht="15" customHeight="1" x14ac:dyDescent="0.25">
      <c r="A8" s="253" t="s">
        <v>83</v>
      </c>
      <c r="B8" s="375">
        <f>+Conoco!$F$41</f>
        <v>576805.5</v>
      </c>
      <c r="C8" s="285">
        <f>+B8/$H$4</f>
        <v>300419.53125</v>
      </c>
      <c r="D8" s="397">
        <f>+Conoco!A41</f>
        <v>37138</v>
      </c>
      <c r="E8" s="32" t="s">
        <v>88</v>
      </c>
      <c r="F8" s="32" t="s">
        <v>116</v>
      </c>
      <c r="G8" s="32" t="s">
        <v>149</v>
      </c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253" t="s">
        <v>154</v>
      </c>
      <c r="B9" s="375">
        <f>+PGETX!$H$39</f>
        <v>474540.56</v>
      </c>
      <c r="C9" s="285">
        <f>+B9/$H$4</f>
        <v>247156.54166666669</v>
      </c>
      <c r="D9" s="398">
        <f>+PGETX!E39</f>
        <v>37138</v>
      </c>
      <c r="E9" s="32" t="s">
        <v>88</v>
      </c>
      <c r="F9" s="32" t="s">
        <v>105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374" t="s">
        <v>29</v>
      </c>
      <c r="B10" s="375">
        <f>+C10*$H$3</f>
        <v>469513.95</v>
      </c>
      <c r="C10" s="285">
        <f>+williams!J40</f>
        <v>256565</v>
      </c>
      <c r="D10" s="397">
        <f>+williams!A40</f>
        <v>37138</v>
      </c>
      <c r="E10" s="206" t="s">
        <v>87</v>
      </c>
      <c r="F10" s="206" t="s">
        <v>151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253" t="s">
        <v>3</v>
      </c>
      <c r="B11" s="375">
        <f>+'Amoco Abo'!$F$43</f>
        <v>428697.23</v>
      </c>
      <c r="C11" s="285">
        <f>+B11/$H$4</f>
        <v>223279.80729166666</v>
      </c>
      <c r="D11" s="398">
        <f>+'Amoco Abo'!A43</f>
        <v>37137</v>
      </c>
      <c r="E11" s="32" t="s">
        <v>88</v>
      </c>
      <c r="F11" s="32" t="s">
        <v>118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253" t="s">
        <v>113</v>
      </c>
      <c r="B12" s="375">
        <f>+CIG!$D$43</f>
        <v>395643.28</v>
      </c>
      <c r="C12" s="285">
        <f>+B12/$H$4</f>
        <v>206064.20833333334</v>
      </c>
      <c r="D12" s="398">
        <f>+CIG!A43</f>
        <v>37137</v>
      </c>
      <c r="E12" s="32" t="s">
        <v>88</v>
      </c>
      <c r="F12" s="32" t="s">
        <v>116</v>
      </c>
      <c r="G12" s="32" t="s">
        <v>205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374" t="s">
        <v>90</v>
      </c>
      <c r="B13" s="375">
        <f>+NNG!$D$24</f>
        <v>381800.36</v>
      </c>
      <c r="C13" s="285">
        <f>+B13/$H$4</f>
        <v>198854.35416666666</v>
      </c>
      <c r="D13" s="397">
        <f>+NNG!A24</f>
        <v>37137</v>
      </c>
      <c r="E13" s="206" t="s">
        <v>88</v>
      </c>
      <c r="F13" s="206" t="s">
        <v>103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253" t="s">
        <v>91</v>
      </c>
      <c r="B14" s="375">
        <f>+C14*$H$4</f>
        <v>333646.08000000002</v>
      </c>
      <c r="C14" s="285">
        <f>+NGPL!F38</f>
        <v>173774</v>
      </c>
      <c r="D14" s="398">
        <f>+NGPL!A38</f>
        <v>37138</v>
      </c>
      <c r="E14" s="32" t="s">
        <v>87</v>
      </c>
      <c r="F14" s="32" t="s">
        <v>118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5">
      <c r="A15" s="253" t="s">
        <v>2</v>
      </c>
      <c r="B15" s="375">
        <f>+mewborne!$J$43</f>
        <v>319436.40000000002</v>
      </c>
      <c r="C15" s="285">
        <f>+B15/$H$4</f>
        <v>166373.12500000003</v>
      </c>
      <c r="D15" s="398">
        <f>+mewborne!A43</f>
        <v>37137</v>
      </c>
      <c r="E15" s="32" t="s">
        <v>88</v>
      </c>
      <c r="F15" s="32" t="s">
        <v>102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5">
      <c r="A16" s="374" t="s">
        <v>33</v>
      </c>
      <c r="B16" s="375">
        <f>+C16*$H$4</f>
        <v>316214.39999999997</v>
      </c>
      <c r="C16" s="208">
        <f>+SoCal!F40</f>
        <v>164695</v>
      </c>
      <c r="D16" s="397">
        <f>+SoCal!A40</f>
        <v>37138</v>
      </c>
      <c r="E16" s="206" t="s">
        <v>87</v>
      </c>
      <c r="F16" s="206" t="s">
        <v>105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5">
      <c r="A17" s="253" t="s">
        <v>97</v>
      </c>
      <c r="B17" s="375">
        <f>+C17*$H$4</f>
        <v>278148.47999999998</v>
      </c>
      <c r="C17" s="285">
        <f>+Mojave!D40</f>
        <v>144869</v>
      </c>
      <c r="D17" s="398">
        <f>+Mojave!A40</f>
        <v>37138</v>
      </c>
      <c r="E17" s="32" t="s">
        <v>87</v>
      </c>
      <c r="F17" s="32" t="s">
        <v>103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5">
      <c r="A18" s="253" t="s">
        <v>110</v>
      </c>
      <c r="B18" s="375">
        <f>+KN_Westar!F41</f>
        <v>271971.56</v>
      </c>
      <c r="C18" s="285">
        <f>+B18/$H$4</f>
        <v>141651.85416666666</v>
      </c>
      <c r="D18" s="398">
        <f>+KN_Westar!A41</f>
        <v>37137</v>
      </c>
      <c r="E18" s="32" t="s">
        <v>88</v>
      </c>
      <c r="F18" s="32" t="s">
        <v>103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5">
      <c r="A19" s="253" t="s">
        <v>24</v>
      </c>
      <c r="B19" s="458">
        <f>+C19*$H$3</f>
        <v>254419.41</v>
      </c>
      <c r="C19" s="377">
        <f>+'Red C'!F43</f>
        <v>139027</v>
      </c>
      <c r="D19" s="397">
        <f>+'Red C'!B43</f>
        <v>37137</v>
      </c>
      <c r="E19" s="206" t="s">
        <v>87</v>
      </c>
      <c r="F19" s="32" t="s">
        <v>118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5">
      <c r="A20" s="253" t="s">
        <v>131</v>
      </c>
      <c r="B20" s="375">
        <f>+DEFS!F53</f>
        <v>184378.63999999966</v>
      </c>
      <c r="C20" s="208">
        <f>+B20/$H$4</f>
        <v>96030.541666666497</v>
      </c>
      <c r="D20" s="398">
        <f>+DEFS!A40</f>
        <v>37137</v>
      </c>
      <c r="E20" s="32" t="s">
        <v>88</v>
      </c>
      <c r="F20" s="32" t="s">
        <v>103</v>
      </c>
      <c r="G20" s="32" t="s">
        <v>121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5">
      <c r="A21" s="253" t="s">
        <v>6</v>
      </c>
      <c r="B21" s="375">
        <f>+C21*$H$3</f>
        <v>150676.71</v>
      </c>
      <c r="C21" s="285">
        <f>+Amoco!D40</f>
        <v>82337</v>
      </c>
      <c r="D21" s="398">
        <f>+Amoco!A40</f>
        <v>37137</v>
      </c>
      <c r="E21" s="32" t="s">
        <v>87</v>
      </c>
      <c r="F21" s="32" t="s">
        <v>118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5">
      <c r="A22" s="253" t="s">
        <v>32</v>
      </c>
      <c r="B22" s="375">
        <f>+C22*$H$4</f>
        <v>142798.07999999999</v>
      </c>
      <c r="C22" s="285">
        <f>+Lonestar!F42</f>
        <v>74374</v>
      </c>
      <c r="D22" s="397">
        <f>+Lonestar!B42</f>
        <v>37138</v>
      </c>
      <c r="E22" s="32" t="s">
        <v>87</v>
      </c>
      <c r="F22" s="32" t="s">
        <v>105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5">
      <c r="A23" s="253" t="s">
        <v>148</v>
      </c>
      <c r="B23" s="376">
        <f>+C23*$H$4</f>
        <v>136717.44</v>
      </c>
      <c r="C23" s="377">
        <f>+PEPL!D41</f>
        <v>71207</v>
      </c>
      <c r="D23" s="398">
        <f>+PEPL!A41</f>
        <v>37138</v>
      </c>
      <c r="E23" s="32" t="s">
        <v>87</v>
      </c>
      <c r="F23" s="32" t="s">
        <v>103</v>
      </c>
      <c r="G23" s="32" t="s">
        <v>147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5">
      <c r="A24" s="253" t="s">
        <v>1</v>
      </c>
      <c r="B24" s="375">
        <f>+C24*$H$3</f>
        <v>126374.31</v>
      </c>
      <c r="C24" s="208">
        <f>+NW!$F$41</f>
        <v>69057</v>
      </c>
      <c r="D24" s="397">
        <f>+NW!B41</f>
        <v>37138</v>
      </c>
      <c r="E24" s="32" t="s">
        <v>87</v>
      </c>
      <c r="F24" s="32" t="s">
        <v>118</v>
      </c>
      <c r="G24" s="381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5">
      <c r="A25" s="253" t="s">
        <v>85</v>
      </c>
      <c r="B25" s="375">
        <f>+PNM!$D$23</f>
        <v>123036.28000000001</v>
      </c>
      <c r="C25" s="285">
        <f>+B25/$H$4</f>
        <v>64081.395833333343</v>
      </c>
      <c r="D25" s="398">
        <f>+PNM!A23</f>
        <v>37137</v>
      </c>
      <c r="E25" s="32" t="s">
        <v>88</v>
      </c>
      <c r="F25" s="32" t="s">
        <v>118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5">
      <c r="A26" s="253" t="s">
        <v>117</v>
      </c>
      <c r="B26" s="375">
        <f>+C26*$H$4</f>
        <v>96420.479999999996</v>
      </c>
      <c r="C26" s="208">
        <f>+'PG&amp;E'!D40</f>
        <v>50219</v>
      </c>
      <c r="D26" s="398">
        <f>+'PG&amp;E'!A40</f>
        <v>37138</v>
      </c>
      <c r="E26" s="32" t="s">
        <v>87</v>
      </c>
      <c r="F26" s="32" t="s">
        <v>105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5">
      <c r="A27" s="253" t="s">
        <v>106</v>
      </c>
      <c r="B27" s="375">
        <f>+EOG!J41</f>
        <v>95925.36</v>
      </c>
      <c r="C27" s="285">
        <f>+B27/$H$4</f>
        <v>49961.125</v>
      </c>
      <c r="D27" s="397">
        <f>+EOG!A41</f>
        <v>37137</v>
      </c>
      <c r="E27" s="32" t="s">
        <v>88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5">
      <c r="A28" s="374" t="s">
        <v>132</v>
      </c>
      <c r="B28" s="375">
        <f>+Calpine!D41</f>
        <v>92723.76</v>
      </c>
      <c r="C28" s="208">
        <f>+B28/$H$4</f>
        <v>48293.625</v>
      </c>
      <c r="D28" s="397">
        <f>+Calpine!A41</f>
        <v>37138</v>
      </c>
      <c r="E28" s="206" t="s">
        <v>88</v>
      </c>
      <c r="F28" s="206" t="s">
        <v>102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5">
      <c r="A29" s="253" t="s">
        <v>7</v>
      </c>
      <c r="B29" s="375">
        <f>+C29*$H$4</f>
        <v>84589.440000000002</v>
      </c>
      <c r="C29" s="208">
        <f>+Oasis!D40</f>
        <v>44057</v>
      </c>
      <c r="D29" s="398">
        <f>+Oasis!B40</f>
        <v>37137</v>
      </c>
      <c r="E29" s="32" t="s">
        <v>87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5">
      <c r="A30" s="374" t="s">
        <v>74</v>
      </c>
      <c r="B30" s="376">
        <f>+transcol!$D$43</f>
        <v>34766.68</v>
      </c>
      <c r="C30" s="377">
        <f>+B30/$H$4</f>
        <v>18107.645833333336</v>
      </c>
      <c r="D30" s="397">
        <f>+transcol!A43</f>
        <v>37138</v>
      </c>
      <c r="E30" s="206" t="s">
        <v>88</v>
      </c>
      <c r="F30" s="206" t="s">
        <v>118</v>
      </c>
      <c r="G30" s="304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2.9" customHeight="1" x14ac:dyDescent="0.25">
      <c r="A31" s="253" t="s">
        <v>136</v>
      </c>
      <c r="B31" s="375">
        <f>+SidR!D41</f>
        <v>29280.91</v>
      </c>
      <c r="C31" s="285">
        <f>+B31/$H$4</f>
        <v>15250.473958333334</v>
      </c>
      <c r="D31" s="398">
        <f>+SidR!A41</f>
        <v>37138</v>
      </c>
      <c r="E31" s="32" t="s">
        <v>88</v>
      </c>
      <c r="F31" s="32" t="s">
        <v>105</v>
      </c>
      <c r="G31" s="32" t="s">
        <v>168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5">
      <c r="A32" s="374" t="s">
        <v>82</v>
      </c>
      <c r="B32" s="375">
        <f>+Agave!$D$24</f>
        <v>11931.92</v>
      </c>
      <c r="C32" s="208">
        <f>+B32/$H$4</f>
        <v>6214.541666666667</v>
      </c>
      <c r="D32" s="397">
        <f>+Agave!A24</f>
        <v>37137</v>
      </c>
      <c r="E32" s="206" t="s">
        <v>88</v>
      </c>
      <c r="F32" s="206" t="s">
        <v>105</v>
      </c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5">
      <c r="A33" s="374" t="s">
        <v>98</v>
      </c>
      <c r="B33" s="378">
        <f>+burlington!D42</f>
        <v>9936.130000000001</v>
      </c>
      <c r="C33" s="71">
        <f>+B33/$H$3</f>
        <v>5429.579234972678</v>
      </c>
      <c r="D33" s="397">
        <f>+burlington!A42</f>
        <v>37138</v>
      </c>
      <c r="E33" s="206" t="s">
        <v>88</v>
      </c>
      <c r="F33" s="32" t="s">
        <v>116</v>
      </c>
      <c r="G33" s="32" t="s">
        <v>150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8" customHeight="1" x14ac:dyDescent="0.25">
      <c r="A34" s="32" t="s">
        <v>99</v>
      </c>
      <c r="B34" s="47">
        <f>SUM(B8:B33)</f>
        <v>5820393.3500000006</v>
      </c>
      <c r="C34" s="69">
        <f>SUM(C8:C33)</f>
        <v>3057349.3500683061</v>
      </c>
      <c r="D34" s="205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5">
      <c r="A35" s="32"/>
      <c r="B35" s="47"/>
      <c r="C35" s="69"/>
      <c r="D35" s="205"/>
      <c r="E35" s="32"/>
      <c r="F35" s="380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5">
      <c r="A36" s="355" t="s">
        <v>92</v>
      </c>
      <c r="B36" s="356" t="s">
        <v>17</v>
      </c>
      <c r="C36" s="357" t="s">
        <v>0</v>
      </c>
      <c r="D36" s="366" t="s">
        <v>153</v>
      </c>
      <c r="E36" s="355" t="s">
        <v>93</v>
      </c>
      <c r="F36" s="358" t="s">
        <v>104</v>
      </c>
      <c r="G36" s="355" t="s">
        <v>101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2.9" customHeight="1" x14ac:dyDescent="0.25">
      <c r="A37" s="374" t="s">
        <v>140</v>
      </c>
      <c r="B37" s="375">
        <f>+Citizens!D18</f>
        <v>-733498.61</v>
      </c>
      <c r="C37" s="208">
        <f>+B37/$H$4</f>
        <v>-382030.52604166669</v>
      </c>
      <c r="D37" s="397">
        <f>+Citizens!A18</f>
        <v>37138</v>
      </c>
      <c r="E37" s="206" t="s">
        <v>88</v>
      </c>
      <c r="F37" s="206" t="s">
        <v>102</v>
      </c>
      <c r="G37" s="381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" customHeight="1" x14ac:dyDescent="0.25">
      <c r="A38" s="253" t="s">
        <v>138</v>
      </c>
      <c r="B38" s="375">
        <f>+'NS Steel'!D41</f>
        <v>-425011.68</v>
      </c>
      <c r="C38" s="208">
        <f>+B38/$H$4</f>
        <v>-221360.25</v>
      </c>
      <c r="D38" s="398">
        <f>+'NS Steel'!A41</f>
        <v>37138</v>
      </c>
      <c r="E38" s="32" t="s">
        <v>88</v>
      </c>
      <c r="F38" s="32" t="s">
        <v>103</v>
      </c>
      <c r="G38" s="381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" customHeight="1" x14ac:dyDescent="0.25">
      <c r="A39" s="253" t="s">
        <v>144</v>
      </c>
      <c r="B39" s="375">
        <f>+'Citizens-Griffith'!D41</f>
        <v>-115004.68</v>
      </c>
      <c r="C39" s="285">
        <f>+B39/$H$4</f>
        <v>-59898.270833333328</v>
      </c>
      <c r="D39" s="397">
        <f>+'Citizens-Griffith'!A41</f>
        <v>37138</v>
      </c>
      <c r="E39" s="32" t="s">
        <v>88</v>
      </c>
      <c r="F39" s="32" t="s">
        <v>102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" customHeight="1" x14ac:dyDescent="0.25">
      <c r="A40" s="253" t="s">
        <v>134</v>
      </c>
      <c r="B40" s="375">
        <f>+EPFS!D41</f>
        <v>-23278.13</v>
      </c>
      <c r="C40" s="208">
        <f>+B40/$H$5</f>
        <v>-11816.309644670051</v>
      </c>
      <c r="D40" s="397">
        <f>+EPFS!A41</f>
        <v>37138</v>
      </c>
      <c r="E40" s="32" t="s">
        <v>88</v>
      </c>
      <c r="F40" s="32" t="s">
        <v>105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3.5" customHeight="1" x14ac:dyDescent="0.25">
      <c r="A41" s="253" t="s">
        <v>34</v>
      </c>
      <c r="B41" s="375">
        <f>+'El Paso'!C39*summary!H4+'El Paso'!E39*summary!H3</f>
        <v>-13307.370000000024</v>
      </c>
      <c r="C41" s="285">
        <f>+'El Paso'!H39</f>
        <v>-10427</v>
      </c>
      <c r="D41" s="398">
        <f>+'El Paso'!A39</f>
        <v>37138</v>
      </c>
      <c r="E41" s="32" t="s">
        <v>87</v>
      </c>
      <c r="F41" s="32" t="s">
        <v>103</v>
      </c>
      <c r="G41" s="32" t="s">
        <v>122</v>
      </c>
      <c r="H41" s="206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" customHeight="1" x14ac:dyDescent="0.25">
      <c r="A42" s="253" t="s">
        <v>112</v>
      </c>
      <c r="B42" s="378">
        <f>+Continental!F43</f>
        <v>-5216.57</v>
      </c>
      <c r="C42" s="379">
        <f>+B42/$H$4</f>
        <v>-2716.9635416666665</v>
      </c>
      <c r="D42" s="398">
        <f>+Continental!A43</f>
        <v>37137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5">
      <c r="A43" s="32" t="s">
        <v>100</v>
      </c>
      <c r="B43" s="375">
        <f>SUM(B37:B42)</f>
        <v>-1315317.04</v>
      </c>
      <c r="C43" s="208">
        <f>SUM(C37:C42)</f>
        <v>-688249.32006133685</v>
      </c>
      <c r="D43" s="38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" customHeight="1" x14ac:dyDescent="0.25">
      <c r="A44" s="32"/>
      <c r="B44" s="378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8" thickBot="1" x14ac:dyDescent="0.3">
      <c r="A45" s="2" t="s">
        <v>94</v>
      </c>
      <c r="B45" s="383">
        <f>+B43+B34</f>
        <v>4505076.3100000005</v>
      </c>
      <c r="C45" s="384">
        <f>+C43+C34</f>
        <v>2369100.0300069693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8" thickTop="1" x14ac:dyDescent="0.25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5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5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5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5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5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5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5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5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5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5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385"/>
      <c r="C60" s="386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A64" s="32"/>
      <c r="B64" s="14"/>
      <c r="C64" s="69"/>
      <c r="D64" s="387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14"/>
      <c r="C66" s="305"/>
      <c r="D66" s="388"/>
      <c r="E66" s="389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A67" s="32"/>
      <c r="B67" s="14"/>
      <c r="C67" s="305"/>
      <c r="D67" s="390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A68" s="32"/>
      <c r="B68" s="14"/>
      <c r="C68" s="305"/>
      <c r="D68" s="390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A69" s="32"/>
      <c r="B69" s="14"/>
      <c r="C69" s="305"/>
      <c r="D69" s="39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A70" s="32"/>
      <c r="B70" s="14"/>
      <c r="C70" s="305"/>
      <c r="D70" s="39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A71" s="32"/>
      <c r="B71" s="393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A72" s="32"/>
      <c r="B72" s="393"/>
      <c r="C72" s="69"/>
      <c r="D72" s="387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A73" s="32"/>
      <c r="B73" s="394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A74" s="32"/>
      <c r="B74" s="394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A75" s="32"/>
      <c r="B75" s="393"/>
      <c r="C75" s="14"/>
      <c r="D75" s="387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A76" s="32"/>
      <c r="B76" s="393"/>
      <c r="C76" s="69"/>
      <c r="D76" s="387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A77" s="32"/>
      <c r="B77" s="393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A78" s="32"/>
      <c r="B78" s="385"/>
      <c r="C78" s="395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5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5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5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5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5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5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5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5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5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5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5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5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5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5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5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5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A25" sqref="A25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8" ht="13.2" x14ac:dyDescent="0.25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4">
        <v>-80014</v>
      </c>
      <c r="C6" s="80"/>
      <c r="D6" s="80">
        <f t="shared" ref="D6:D14" si="0">+C6-B6</f>
        <v>80014</v>
      </c>
    </row>
    <row r="7" spans="1:8" x14ac:dyDescent="0.2">
      <c r="A7" s="32">
        <v>3531</v>
      </c>
      <c r="B7" s="323">
        <v>-78768</v>
      </c>
      <c r="C7" s="80">
        <v>-37608</v>
      </c>
      <c r="D7" s="80">
        <f t="shared" si="0"/>
        <v>41160</v>
      </c>
    </row>
    <row r="8" spans="1:8" x14ac:dyDescent="0.2">
      <c r="A8" s="32">
        <v>60667</v>
      </c>
      <c r="B8" s="323">
        <v>-20079</v>
      </c>
      <c r="C8" s="80"/>
      <c r="D8" s="80">
        <f t="shared" si="0"/>
        <v>20079</v>
      </c>
      <c r="H8" s="254"/>
    </row>
    <row r="9" spans="1:8" x14ac:dyDescent="0.2">
      <c r="A9" s="32">
        <v>60749</v>
      </c>
      <c r="B9" s="323">
        <v>94646</v>
      </c>
      <c r="C9" s="80">
        <v>-41449</v>
      </c>
      <c r="D9" s="80">
        <f t="shared" si="0"/>
        <v>-136095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/>
      <c r="C11" s="80"/>
      <c r="D11" s="80">
        <f t="shared" si="0"/>
        <v>0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5158</v>
      </c>
    </row>
    <row r="19" spans="1:5" x14ac:dyDescent="0.2">
      <c r="A19" s="32" t="s">
        <v>84</v>
      </c>
      <c r="B19" s="69"/>
      <c r="C19" s="69"/>
      <c r="D19" s="73">
        <f>+summary!H4</f>
        <v>1.92</v>
      </c>
    </row>
    <row r="20" spans="1:5" x14ac:dyDescent="0.2">
      <c r="B20" s="69"/>
      <c r="C20" s="69"/>
      <c r="D20" s="75">
        <f>+D19*D18</f>
        <v>9903.3599999999988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37134</v>
      </c>
      <c r="B22" s="69"/>
      <c r="C22" s="80"/>
      <c r="D22" s="447">
        <v>371897</v>
      </c>
      <c r="E22" s="254"/>
    </row>
    <row r="23" spans="1:5" x14ac:dyDescent="0.2">
      <c r="B23" s="69"/>
      <c r="C23" s="80"/>
      <c r="D23" s="298"/>
      <c r="E23" s="254"/>
    </row>
    <row r="24" spans="1:5" ht="10.8" thickBot="1" x14ac:dyDescent="0.25">
      <c r="A24" s="49">
        <v>37137</v>
      </c>
      <c r="B24" s="69"/>
      <c r="C24" s="69"/>
      <c r="D24" s="351">
        <f>+D22+D20</f>
        <v>381800.36</v>
      </c>
      <c r="E24" s="254"/>
    </row>
    <row r="25" spans="1:5" ht="10.8" thickTop="1" x14ac:dyDescent="0.2">
      <c r="B25" s="69"/>
      <c r="C25" s="69"/>
      <c r="D25" s="69"/>
      <c r="E25" s="254"/>
    </row>
    <row r="31" spans="1:5" x14ac:dyDescent="0.2">
      <c r="A31" s="32" t="s">
        <v>157</v>
      </c>
    </row>
    <row r="32" spans="1:5" x14ac:dyDescent="0.2">
      <c r="A32" s="49">
        <f>+A22</f>
        <v>37134</v>
      </c>
      <c r="D32" s="212">
        <v>-39871</v>
      </c>
    </row>
    <row r="33" spans="1:4" x14ac:dyDescent="0.2">
      <c r="A33" s="49">
        <f>+A24</f>
        <v>37137</v>
      </c>
      <c r="D33" s="379">
        <f>+D18</f>
        <v>5158</v>
      </c>
    </row>
    <row r="34" spans="1:4" x14ac:dyDescent="0.2">
      <c r="D34" s="14">
        <f>+D33+D32</f>
        <v>-34713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workbookViewId="3">
      <selection activeCell="C6" sqref="C6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86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9236</v>
      </c>
      <c r="B5" s="364">
        <v>-6372</v>
      </c>
      <c r="C5" s="90">
        <v>-4026</v>
      </c>
      <c r="D5" s="90">
        <f t="shared" ref="D5:D13" si="0">+C5-B5</f>
        <v>2346</v>
      </c>
      <c r="E5" s="69"/>
      <c r="F5" s="70"/>
    </row>
    <row r="6" spans="1:13" x14ac:dyDescent="0.25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5">
      <c r="A7" s="87">
        <v>56422</v>
      </c>
      <c r="B7" s="364">
        <v>-335957</v>
      </c>
      <c r="C7" s="90">
        <v>-337379</v>
      </c>
      <c r="D7" s="90">
        <f t="shared" si="0"/>
        <v>-1422</v>
      </c>
      <c r="E7" s="285"/>
      <c r="F7" s="70"/>
    </row>
    <row r="8" spans="1:13" x14ac:dyDescent="0.25">
      <c r="A8" s="87">
        <v>58710</v>
      </c>
      <c r="B8" s="364"/>
      <c r="C8" s="90">
        <v>-138</v>
      </c>
      <c r="D8" s="90">
        <f t="shared" si="0"/>
        <v>-138</v>
      </c>
      <c r="E8" s="285"/>
      <c r="F8" s="70"/>
    </row>
    <row r="9" spans="1:13" x14ac:dyDescent="0.25">
      <c r="A9" s="87">
        <v>60921</v>
      </c>
      <c r="B9" s="319">
        <v>244065</v>
      </c>
      <c r="C9" s="90">
        <v>228114</v>
      </c>
      <c r="D9" s="90">
        <f t="shared" si="0"/>
        <v>-15951</v>
      </c>
      <c r="E9" s="285"/>
      <c r="F9" s="70"/>
    </row>
    <row r="10" spans="1:13" x14ac:dyDescent="0.25">
      <c r="A10" s="87">
        <v>78026</v>
      </c>
      <c r="B10" s="364"/>
      <c r="C10" s="90">
        <v>9947</v>
      </c>
      <c r="D10" s="90">
        <f t="shared" si="0"/>
        <v>9947</v>
      </c>
      <c r="E10" s="285"/>
      <c r="F10" s="283"/>
    </row>
    <row r="11" spans="1:13" x14ac:dyDescent="0.25">
      <c r="A11" s="87">
        <v>500084</v>
      </c>
      <c r="B11" s="364">
        <v>-1948</v>
      </c>
      <c r="C11" s="90">
        <v>-3000</v>
      </c>
      <c r="D11" s="90">
        <f t="shared" si="0"/>
        <v>-1052</v>
      </c>
      <c r="E11" s="286"/>
      <c r="F11" s="283"/>
    </row>
    <row r="12" spans="1:13" x14ac:dyDescent="0.25">
      <c r="A12" s="333">
        <v>500085</v>
      </c>
      <c r="B12" s="364"/>
      <c r="C12" s="90"/>
      <c r="D12" s="90">
        <f t="shared" si="0"/>
        <v>0</v>
      </c>
      <c r="E12" s="285"/>
      <c r="F12" s="283"/>
    </row>
    <row r="13" spans="1:13" x14ac:dyDescent="0.25">
      <c r="A13" s="87">
        <v>500097</v>
      </c>
      <c r="B13" s="336">
        <v>-1012</v>
      </c>
      <c r="C13" s="90"/>
      <c r="D13" s="90">
        <f t="shared" si="0"/>
        <v>1012</v>
      </c>
      <c r="E13" s="285"/>
      <c r="F13" s="283"/>
    </row>
    <row r="14" spans="1:13" x14ac:dyDescent="0.25">
      <c r="A14" s="87"/>
      <c r="B14" s="90"/>
      <c r="C14" s="90"/>
      <c r="D14" s="90"/>
      <c r="E14" s="285"/>
      <c r="F14" s="283"/>
    </row>
    <row r="15" spans="1:13" x14ac:dyDescent="0.25">
      <c r="A15" s="87"/>
      <c r="B15" s="90"/>
      <c r="C15" s="90"/>
      <c r="D15" s="90"/>
      <c r="E15" s="285"/>
      <c r="F15" s="283"/>
    </row>
    <row r="16" spans="1:13" x14ac:dyDescent="0.25">
      <c r="A16" s="87"/>
      <c r="B16" s="88"/>
      <c r="C16" s="88"/>
      <c r="D16" s="94"/>
      <c r="E16" s="285"/>
      <c r="F16" s="283"/>
    </row>
    <row r="17" spans="1:7" x14ac:dyDescent="0.25">
      <c r="A17" s="87"/>
      <c r="B17" s="88"/>
      <c r="C17" s="88"/>
      <c r="D17" s="88">
        <f>SUM(D5:D16)</f>
        <v>-5258</v>
      </c>
      <c r="E17" s="285"/>
      <c r="F17" s="283"/>
    </row>
    <row r="18" spans="1:7" x14ac:dyDescent="0.25">
      <c r="A18" s="87" t="s">
        <v>84</v>
      </c>
      <c r="B18" s="88"/>
      <c r="C18" s="88"/>
      <c r="D18" s="95">
        <f>+summary!H4</f>
        <v>1.92</v>
      </c>
      <c r="E18" s="287"/>
      <c r="F18" s="283"/>
    </row>
    <row r="19" spans="1:7" x14ac:dyDescent="0.25">
      <c r="A19" s="87"/>
      <c r="B19" s="88"/>
      <c r="C19" s="88"/>
      <c r="D19" s="96">
        <f>+D18*D17</f>
        <v>-10095.359999999999</v>
      </c>
      <c r="E19" s="209"/>
      <c r="F19" s="284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37134</v>
      </c>
      <c r="B21" s="88"/>
      <c r="C21" s="88"/>
      <c r="D21" s="452">
        <v>133131.64000000001</v>
      </c>
      <c r="E21" s="209"/>
      <c r="F21" s="66"/>
    </row>
    <row r="22" spans="1:7" x14ac:dyDescent="0.25">
      <c r="A22" s="87"/>
      <c r="B22" s="88"/>
      <c r="C22" s="88"/>
      <c r="D22" s="322"/>
      <c r="E22" s="209"/>
      <c r="F22" s="66"/>
    </row>
    <row r="23" spans="1:7" ht="13.8" thickBot="1" x14ac:dyDescent="0.3">
      <c r="A23" s="99">
        <v>37137</v>
      </c>
      <c r="B23" s="88"/>
      <c r="C23" s="88"/>
      <c r="D23" s="334">
        <f>+D21+D19</f>
        <v>123036.28000000001</v>
      </c>
      <c r="E23" s="209"/>
      <c r="F23" s="66"/>
    </row>
    <row r="24" spans="1:7" ht="13.8" thickTop="1" x14ac:dyDescent="0.25">
      <c r="E24" s="288"/>
    </row>
    <row r="25" spans="1:7" x14ac:dyDescent="0.25">
      <c r="E25" s="288"/>
    </row>
    <row r="27" spans="1:7" x14ac:dyDescent="0.25">
      <c r="A27" s="32" t="s">
        <v>157</v>
      </c>
      <c r="B27" s="32"/>
      <c r="C27" s="32"/>
      <c r="D27" s="32"/>
    </row>
    <row r="28" spans="1:7" x14ac:dyDescent="0.25">
      <c r="A28" s="49">
        <f>+A21</f>
        <v>37134</v>
      </c>
      <c r="B28" s="32"/>
      <c r="C28" s="32"/>
      <c r="D28" s="212">
        <v>8541</v>
      </c>
    </row>
    <row r="29" spans="1:7" x14ac:dyDescent="0.25">
      <c r="A29" s="49">
        <f>+A23</f>
        <v>37137</v>
      </c>
      <c r="B29" s="32"/>
      <c r="C29" s="32"/>
      <c r="D29" s="379">
        <f>+D17</f>
        <v>-5258</v>
      </c>
    </row>
    <row r="30" spans="1:7" x14ac:dyDescent="0.25">
      <c r="A30" s="32"/>
      <c r="B30" s="32"/>
      <c r="C30" s="32"/>
      <c r="D30" s="14">
        <f>+D29+D28</f>
        <v>3283</v>
      </c>
    </row>
    <row r="31" spans="1:7" x14ac:dyDescent="0.25">
      <c r="A31" s="139"/>
      <c r="B31" s="119"/>
      <c r="C31" s="140"/>
      <c r="D31" s="140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05"/>
      <c r="E36" s="69"/>
      <c r="F36" s="70"/>
      <c r="G36" s="32"/>
    </row>
    <row r="37" spans="1:7" x14ac:dyDescent="0.25">
      <c r="B37" s="69"/>
      <c r="C37" s="69"/>
      <c r="D37" s="305"/>
      <c r="E37" s="69"/>
      <c r="F37" s="70"/>
      <c r="G37" s="32"/>
    </row>
    <row r="38" spans="1:7" x14ac:dyDescent="0.25">
      <c r="B38" s="69"/>
      <c r="C38" s="69"/>
      <c r="D38" s="305"/>
      <c r="E38" s="69"/>
      <c r="F38" s="70"/>
      <c r="G38" s="32"/>
    </row>
    <row r="39" spans="1:7" x14ac:dyDescent="0.25">
      <c r="B39" s="69"/>
      <c r="C39" s="69"/>
      <c r="D39" s="305"/>
      <c r="E39" s="69"/>
      <c r="F39" s="70"/>
      <c r="G39" s="32"/>
    </row>
    <row r="40" spans="1:7" x14ac:dyDescent="0.25">
      <c r="B40" s="69"/>
      <c r="C40" s="69"/>
      <c r="D40" s="305"/>
      <c r="E40" s="69"/>
      <c r="F40" s="70"/>
      <c r="G40" s="32"/>
    </row>
    <row r="41" spans="1:7" x14ac:dyDescent="0.25">
      <c r="B41" s="69"/>
      <c r="C41" s="69"/>
      <c r="D41" s="305"/>
      <c r="E41" s="69"/>
      <c r="F41" s="70"/>
      <c r="G41" s="32"/>
    </row>
    <row r="42" spans="1:7" x14ac:dyDescent="0.25">
      <c r="B42" s="69"/>
      <c r="C42" s="69"/>
      <c r="D42" s="305"/>
      <c r="E42" s="69"/>
      <c r="F42" s="70"/>
      <c r="G42" s="32"/>
    </row>
    <row r="43" spans="1:7" x14ac:dyDescent="0.25">
      <c r="B43" s="69"/>
      <c r="C43" s="69"/>
      <c r="D43" s="305"/>
      <c r="E43" s="69"/>
      <c r="F43" s="70"/>
      <c r="G43" s="32"/>
    </row>
    <row r="44" spans="1:7" x14ac:dyDescent="0.25">
      <c r="B44" s="69"/>
      <c r="C44" s="69"/>
      <c r="D44" s="306"/>
      <c r="E44" s="285"/>
      <c r="F44" s="283"/>
      <c r="G44" s="206"/>
    </row>
    <row r="45" spans="1:7" x14ac:dyDescent="0.25">
      <c r="B45" s="69"/>
      <c r="C45" s="69"/>
      <c r="D45" s="306"/>
      <c r="E45" s="285"/>
      <c r="F45" s="283"/>
      <c r="G45" s="206"/>
    </row>
    <row r="46" spans="1:7" x14ac:dyDescent="0.25">
      <c r="A46" s="32"/>
      <c r="B46" s="69"/>
      <c r="C46" s="69"/>
      <c r="D46" s="285"/>
      <c r="E46" s="285"/>
      <c r="F46" s="283"/>
      <c r="G46" s="206"/>
    </row>
    <row r="47" spans="1:7" x14ac:dyDescent="0.25">
      <c r="A47" s="32"/>
      <c r="B47" s="69"/>
      <c r="C47" s="69"/>
      <c r="D47" s="287"/>
      <c r="E47" s="287"/>
      <c r="F47" s="283"/>
      <c r="G47" s="206"/>
    </row>
    <row r="48" spans="1:7" x14ac:dyDescent="0.25">
      <c r="B48" s="69"/>
      <c r="C48" s="69"/>
      <c r="D48" s="285"/>
      <c r="E48" s="285"/>
      <c r="F48" s="284"/>
      <c r="G48" s="206"/>
    </row>
    <row r="49" spans="1:7" x14ac:dyDescent="0.25">
      <c r="B49" s="69"/>
      <c r="C49" s="69"/>
      <c r="D49" s="285"/>
      <c r="E49" s="285"/>
      <c r="F49" s="284"/>
      <c r="G49" s="206"/>
    </row>
    <row r="50" spans="1:7" x14ac:dyDescent="0.25">
      <c r="C50" s="302"/>
      <c r="D50" s="302"/>
      <c r="E50" s="302"/>
      <c r="F50" s="303"/>
      <c r="G50" s="304"/>
    </row>
    <row r="51" spans="1:7" x14ac:dyDescent="0.25">
      <c r="A51" s="32"/>
      <c r="C51" s="302"/>
      <c r="D51" s="302"/>
      <c r="E51" s="302"/>
      <c r="F51" s="303"/>
    </row>
    <row r="52" spans="1:7" x14ac:dyDescent="0.25">
      <c r="A52" s="32"/>
      <c r="C52" s="302"/>
      <c r="D52" s="302"/>
      <c r="E52" s="302"/>
      <c r="F52" s="303"/>
    </row>
    <row r="53" spans="1:7" x14ac:dyDescent="0.25">
      <c r="A53" s="32"/>
      <c r="C53" s="302"/>
      <c r="D53" s="302"/>
      <c r="E53" s="302"/>
      <c r="F53" s="303"/>
    </row>
    <row r="54" spans="1:7" x14ac:dyDescent="0.25">
      <c r="A54" s="32"/>
      <c r="C54" s="302"/>
      <c r="D54" s="302"/>
      <c r="E54" s="302"/>
      <c r="F54" s="303"/>
    </row>
    <row r="55" spans="1:7" x14ac:dyDescent="0.25">
      <c r="A55" s="32"/>
      <c r="C55" s="302"/>
      <c r="D55" s="302"/>
      <c r="E55" s="288"/>
      <c r="F55" s="288"/>
    </row>
    <row r="56" spans="1:7" x14ac:dyDescent="0.25">
      <c r="C56" s="302"/>
      <c r="D56" s="302"/>
      <c r="E56" s="288"/>
      <c r="F56" s="288"/>
    </row>
    <row r="57" spans="1:7" x14ac:dyDescent="0.25">
      <c r="C57" s="302"/>
      <c r="D57" s="302"/>
      <c r="E57" s="288"/>
      <c r="F57" s="288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workbookViewId="3">
      <selection activeCell="A16" sqref="A16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5">
      <c r="A3">
        <v>1</v>
      </c>
      <c r="B3" s="90">
        <v>54408</v>
      </c>
      <c r="C3" s="90">
        <v>54435</v>
      </c>
      <c r="D3" s="90">
        <v>-44839</v>
      </c>
      <c r="E3" s="90">
        <v>-19695</v>
      </c>
      <c r="F3" s="90">
        <f>+E3-D3+C3-B3</f>
        <v>25171</v>
      </c>
    </row>
    <row r="4" spans="1:6" x14ac:dyDescent="0.25">
      <c r="A4">
        <v>2</v>
      </c>
      <c r="B4" s="90">
        <v>54768</v>
      </c>
      <c r="C4" s="90">
        <v>54751</v>
      </c>
      <c r="D4" s="90">
        <v>-48946</v>
      </c>
      <c r="E4" s="90">
        <v>-19695</v>
      </c>
      <c r="F4" s="90">
        <f>+E4-D4+C4-B4</f>
        <v>29234</v>
      </c>
    </row>
    <row r="5" spans="1:6" x14ac:dyDescent="0.25">
      <c r="A5">
        <v>3</v>
      </c>
      <c r="B5" s="90">
        <v>52724</v>
      </c>
      <c r="C5" s="90">
        <v>52734</v>
      </c>
      <c r="D5" s="90">
        <v>-7981</v>
      </c>
      <c r="E5" s="90">
        <v>-19695</v>
      </c>
      <c r="F5" s="90">
        <f>+E5-D5+C5-B5</f>
        <v>-11704</v>
      </c>
    </row>
    <row r="6" spans="1:6" x14ac:dyDescent="0.25">
      <c r="A6">
        <v>4</v>
      </c>
      <c r="B6" s="90">
        <v>53199</v>
      </c>
      <c r="C6" s="90">
        <v>54711</v>
      </c>
      <c r="D6" s="90">
        <v>-10328</v>
      </c>
      <c r="E6" s="90">
        <v>-19695</v>
      </c>
      <c r="F6" s="90">
        <f t="shared" ref="F6:F33" si="0">+E6-D6+C6-B6</f>
        <v>-7855</v>
      </c>
    </row>
    <row r="7" spans="1:6" x14ac:dyDescent="0.25">
      <c r="A7">
        <v>5</v>
      </c>
      <c r="B7" s="90"/>
      <c r="C7" s="90"/>
      <c r="D7" s="90"/>
      <c r="E7" s="90"/>
      <c r="F7" s="90">
        <f t="shared" si="0"/>
        <v>0</v>
      </c>
    </row>
    <row r="8" spans="1:6" x14ac:dyDescent="0.25">
      <c r="A8">
        <v>6</v>
      </c>
      <c r="B8" s="90"/>
      <c r="C8" s="90"/>
      <c r="D8" s="90"/>
      <c r="E8" s="90"/>
      <c r="F8" s="90">
        <f t="shared" si="0"/>
        <v>0</v>
      </c>
    </row>
    <row r="9" spans="1:6" x14ac:dyDescent="0.25">
      <c r="A9">
        <v>7</v>
      </c>
      <c r="B9" s="90"/>
      <c r="C9" s="90"/>
      <c r="D9" s="90"/>
      <c r="E9" s="90"/>
      <c r="F9" s="90">
        <f t="shared" si="0"/>
        <v>0</v>
      </c>
    </row>
    <row r="10" spans="1:6" x14ac:dyDescent="0.25">
      <c r="A10">
        <v>8</v>
      </c>
      <c r="B10" s="90"/>
      <c r="C10" s="90"/>
      <c r="D10" s="90"/>
      <c r="E10" s="90"/>
      <c r="F10" s="90">
        <f t="shared" si="0"/>
        <v>0</v>
      </c>
    </row>
    <row r="11" spans="1:6" x14ac:dyDescent="0.25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5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5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5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5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5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5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5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5">
      <c r="A19">
        <v>17</v>
      </c>
      <c r="B19" s="88"/>
      <c r="C19" s="88"/>
      <c r="D19" s="14"/>
      <c r="E19" s="14"/>
      <c r="F19" s="90">
        <f t="shared" si="0"/>
        <v>0</v>
      </c>
    </row>
    <row r="20" spans="1:6" x14ac:dyDescent="0.25">
      <c r="A20">
        <v>18</v>
      </c>
      <c r="B20" s="346"/>
      <c r="C20" s="346"/>
      <c r="D20" s="14"/>
      <c r="E20" s="14"/>
      <c r="F20" s="90">
        <f t="shared" si="0"/>
        <v>0</v>
      </c>
    </row>
    <row r="21" spans="1:6" x14ac:dyDescent="0.25">
      <c r="A21">
        <v>19</v>
      </c>
      <c r="B21" s="346"/>
      <c r="C21" s="346"/>
      <c r="D21" s="14"/>
      <c r="E21" s="14"/>
      <c r="F21" s="90">
        <f t="shared" si="0"/>
        <v>0</v>
      </c>
    </row>
    <row r="22" spans="1:6" x14ac:dyDescent="0.25">
      <c r="A22">
        <v>20</v>
      </c>
      <c r="B22" s="346"/>
      <c r="C22" s="346"/>
      <c r="D22" s="14"/>
      <c r="E22" s="14"/>
      <c r="F22" s="90">
        <f t="shared" si="0"/>
        <v>0</v>
      </c>
    </row>
    <row r="23" spans="1:6" x14ac:dyDescent="0.25">
      <c r="A23">
        <v>21</v>
      </c>
      <c r="B23" s="346"/>
      <c r="C23" s="346"/>
      <c r="D23" s="14"/>
      <c r="E23" s="14"/>
      <c r="F23" s="90">
        <f t="shared" si="0"/>
        <v>0</v>
      </c>
    </row>
    <row r="24" spans="1:6" x14ac:dyDescent="0.25">
      <c r="A24">
        <v>22</v>
      </c>
      <c r="B24" s="346"/>
      <c r="C24" s="346"/>
      <c r="D24" s="14"/>
      <c r="E24" s="14"/>
      <c r="F24" s="90">
        <f t="shared" si="0"/>
        <v>0</v>
      </c>
    </row>
    <row r="25" spans="1:6" x14ac:dyDescent="0.25">
      <c r="A25">
        <v>23</v>
      </c>
      <c r="B25" s="346"/>
      <c r="C25" s="346"/>
      <c r="D25" s="14"/>
      <c r="E25" s="14"/>
      <c r="F25" s="90">
        <f t="shared" si="0"/>
        <v>0</v>
      </c>
    </row>
    <row r="26" spans="1:6" x14ac:dyDescent="0.25">
      <c r="A26">
        <v>24</v>
      </c>
      <c r="B26" s="346"/>
      <c r="C26" s="346"/>
      <c r="D26" s="14"/>
      <c r="E26" s="14"/>
      <c r="F26" s="90">
        <f t="shared" si="0"/>
        <v>0</v>
      </c>
    </row>
    <row r="27" spans="1:6" x14ac:dyDescent="0.25">
      <c r="A27">
        <v>25</v>
      </c>
      <c r="B27" s="346"/>
      <c r="C27" s="346"/>
      <c r="D27" s="14"/>
      <c r="E27" s="14"/>
      <c r="F27" s="90">
        <f t="shared" si="0"/>
        <v>0</v>
      </c>
    </row>
    <row r="28" spans="1:6" x14ac:dyDescent="0.25">
      <c r="A28">
        <v>26</v>
      </c>
      <c r="B28" s="346"/>
      <c r="C28" s="346"/>
      <c r="D28" s="14"/>
      <c r="E28" s="14"/>
      <c r="F28" s="90">
        <f t="shared" si="0"/>
        <v>0</v>
      </c>
    </row>
    <row r="29" spans="1:6" x14ac:dyDescent="0.25">
      <c r="A29">
        <v>27</v>
      </c>
      <c r="B29" s="346"/>
      <c r="C29" s="346"/>
      <c r="D29" s="14"/>
      <c r="E29" s="14"/>
      <c r="F29" s="90">
        <f t="shared" si="0"/>
        <v>0</v>
      </c>
    </row>
    <row r="30" spans="1:6" x14ac:dyDescent="0.25">
      <c r="A30">
        <v>28</v>
      </c>
      <c r="B30" s="484"/>
      <c r="C30" s="346"/>
      <c r="D30" s="14"/>
      <c r="E30" s="14"/>
      <c r="F30" s="90">
        <f t="shared" si="0"/>
        <v>0</v>
      </c>
    </row>
    <row r="31" spans="1:6" x14ac:dyDescent="0.25">
      <c r="A31">
        <v>29</v>
      </c>
      <c r="B31" s="346"/>
      <c r="C31" s="346"/>
      <c r="D31" s="14"/>
      <c r="E31" s="14"/>
      <c r="F31" s="90">
        <f t="shared" si="0"/>
        <v>0</v>
      </c>
    </row>
    <row r="32" spans="1:6" x14ac:dyDescent="0.25">
      <c r="A32">
        <v>30</v>
      </c>
      <c r="B32" s="346"/>
      <c r="C32" s="346"/>
      <c r="D32" s="14"/>
      <c r="E32" s="14"/>
      <c r="F32" s="90">
        <f t="shared" si="0"/>
        <v>0</v>
      </c>
    </row>
    <row r="33" spans="1:6" x14ac:dyDescent="0.25">
      <c r="A33">
        <v>31</v>
      </c>
      <c r="B33" s="346"/>
      <c r="C33" s="346"/>
      <c r="D33" s="14"/>
      <c r="E33" s="14"/>
      <c r="F33" s="90">
        <f t="shared" si="0"/>
        <v>0</v>
      </c>
    </row>
    <row r="34" spans="1:6" x14ac:dyDescent="0.25">
      <c r="B34" s="297">
        <f>SUM(B3:B33)</f>
        <v>215099</v>
      </c>
      <c r="C34" s="297">
        <f>SUM(C3:C33)</f>
        <v>216631</v>
      </c>
      <c r="D34" s="14">
        <f>SUM(D3:D33)</f>
        <v>-112094</v>
      </c>
      <c r="E34" s="14">
        <f>SUM(E3:E33)</f>
        <v>-78780</v>
      </c>
      <c r="F34" s="14">
        <f>SUM(F3:F33)</f>
        <v>34846</v>
      </c>
    </row>
    <row r="35" spans="1:6" x14ac:dyDescent="0.25">
      <c r="D35" s="14"/>
      <c r="E35" s="14"/>
      <c r="F35" s="14"/>
    </row>
    <row r="36" spans="1:6" x14ac:dyDescent="0.25">
      <c r="F36" s="350"/>
    </row>
    <row r="37" spans="1:6" x14ac:dyDescent="0.25">
      <c r="A37" s="263">
        <v>37134</v>
      </c>
      <c r="B37" s="14"/>
      <c r="C37" s="14"/>
      <c r="D37" s="14"/>
      <c r="E37" s="14"/>
      <c r="F37" s="446">
        <v>138928</v>
      </c>
    </row>
    <row r="38" spans="1:6" x14ac:dyDescent="0.25">
      <c r="A38" s="263">
        <v>37138</v>
      </c>
      <c r="B38" s="14"/>
      <c r="C38" s="14"/>
      <c r="D38" s="14"/>
      <c r="E38" s="14"/>
      <c r="F38" s="150">
        <f>+F37+F34</f>
        <v>173774</v>
      </c>
    </row>
    <row r="39" spans="1:6" x14ac:dyDescent="0.25">
      <c r="F39" s="304"/>
    </row>
    <row r="40" spans="1:6" x14ac:dyDescent="0.25">
      <c r="F40" s="304"/>
    </row>
    <row r="41" spans="1:6" x14ac:dyDescent="0.25">
      <c r="F41" s="304"/>
    </row>
    <row r="42" spans="1:6" x14ac:dyDescent="0.25">
      <c r="A42" s="32" t="s">
        <v>158</v>
      </c>
      <c r="B42" s="32"/>
      <c r="C42" s="32"/>
      <c r="D42" s="47"/>
      <c r="F42" s="304"/>
    </row>
    <row r="43" spans="1:6" x14ac:dyDescent="0.25">
      <c r="A43" s="49">
        <f>+A37</f>
        <v>37134</v>
      </c>
      <c r="B43" s="32"/>
      <c r="C43" s="32"/>
      <c r="D43" s="440">
        <v>353581</v>
      </c>
      <c r="F43" s="304"/>
    </row>
    <row r="44" spans="1:6" x14ac:dyDescent="0.25">
      <c r="A44" s="49">
        <f>+A38</f>
        <v>37138</v>
      </c>
      <c r="B44" s="32"/>
      <c r="C44" s="32"/>
      <c r="D44" s="408">
        <f>+F34*'by type'!J4</f>
        <v>66904.319999999992</v>
      </c>
      <c r="F44" s="304"/>
    </row>
    <row r="45" spans="1:6" x14ac:dyDescent="0.25">
      <c r="A45" s="32"/>
      <c r="B45" s="32"/>
      <c r="C45" s="32"/>
      <c r="D45" s="202">
        <f>+D44+D43</f>
        <v>420485.32</v>
      </c>
      <c r="F45" s="304"/>
    </row>
    <row r="46" spans="1:6" x14ac:dyDescent="0.25">
      <c r="F46" s="304"/>
    </row>
    <row r="47" spans="1:6" x14ac:dyDescent="0.25">
      <c r="F47" s="304"/>
    </row>
    <row r="48" spans="1:6" x14ac:dyDescent="0.25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4" workbookViewId="3">
      <selection activeCell="B41" sqref="B41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-13851</v>
      </c>
      <c r="C4" s="11">
        <v>-21407</v>
      </c>
      <c r="D4" s="25">
        <f>+C4-B4</f>
        <v>-7556</v>
      </c>
    </row>
    <row r="5" spans="1:4" x14ac:dyDescent="0.25">
      <c r="A5" s="10">
        <v>2</v>
      </c>
      <c r="B5" s="11">
        <v>-20005</v>
      </c>
      <c r="C5" s="11">
        <v>-20000</v>
      </c>
      <c r="D5" s="25">
        <f t="shared" ref="D5:D34" si="0">+C5-B5</f>
        <v>5</v>
      </c>
    </row>
    <row r="6" spans="1:4" x14ac:dyDescent="0.25">
      <c r="A6" s="10">
        <v>3</v>
      </c>
      <c r="B6" s="11">
        <v>-20159</v>
      </c>
      <c r="C6" s="11">
        <v>-20000</v>
      </c>
      <c r="D6" s="25">
        <f t="shared" si="0"/>
        <v>159</v>
      </c>
    </row>
    <row r="7" spans="1:4" x14ac:dyDescent="0.25">
      <c r="A7" s="10">
        <v>4</v>
      </c>
      <c r="B7" s="11">
        <v>-20797</v>
      </c>
      <c r="C7" s="11">
        <v>-20000</v>
      </c>
      <c r="D7" s="25">
        <f t="shared" si="0"/>
        <v>797</v>
      </c>
    </row>
    <row r="8" spans="1:4" x14ac:dyDescent="0.25">
      <c r="A8" s="10">
        <v>5</v>
      </c>
      <c r="B8" s="11"/>
      <c r="C8" s="11"/>
      <c r="D8" s="25">
        <f t="shared" si="0"/>
        <v>0</v>
      </c>
    </row>
    <row r="9" spans="1:4" x14ac:dyDescent="0.25">
      <c r="A9" s="10">
        <v>6</v>
      </c>
      <c r="B9" s="11"/>
      <c r="C9" s="11"/>
      <c r="D9" s="25">
        <f t="shared" si="0"/>
        <v>0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-74812</v>
      </c>
      <c r="C35" s="11">
        <f>SUM(C4:C34)</f>
        <v>-81407</v>
      </c>
      <c r="D35" s="11">
        <f>SUM(D4:D34)</f>
        <v>-6595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37134</v>
      </c>
      <c r="D38" s="247">
        <v>151464</v>
      </c>
    </row>
    <row r="39" spans="1:4" x14ac:dyDescent="0.25">
      <c r="A39" s="2"/>
      <c r="D39" s="24"/>
    </row>
    <row r="40" spans="1:4" x14ac:dyDescent="0.25">
      <c r="A40" s="57">
        <v>37138</v>
      </c>
      <c r="D40" s="51">
        <f>+D38+D35</f>
        <v>144869</v>
      </c>
    </row>
    <row r="44" spans="1:4" x14ac:dyDescent="0.25">
      <c r="A44" s="32" t="s">
        <v>158</v>
      </c>
      <c r="B44" s="32"/>
      <c r="C44" s="32"/>
      <c r="D44" s="47"/>
    </row>
    <row r="45" spans="1:4" x14ac:dyDescent="0.25">
      <c r="A45" s="49">
        <f>+A38</f>
        <v>37134</v>
      </c>
      <c r="B45" s="32"/>
      <c r="C45" s="32"/>
      <c r="D45" s="202">
        <v>125521</v>
      </c>
    </row>
    <row r="46" spans="1:4" x14ac:dyDescent="0.25">
      <c r="A46" s="49">
        <f>+A40</f>
        <v>37138</v>
      </c>
      <c r="B46" s="32"/>
      <c r="C46" s="32"/>
      <c r="D46" s="408">
        <f>+D35*'by type'!J4</f>
        <v>-12662.4</v>
      </c>
    </row>
    <row r="47" spans="1:4" x14ac:dyDescent="0.25">
      <c r="A47" s="32"/>
      <c r="B47" s="32"/>
      <c r="C47" s="32"/>
      <c r="D47" s="202">
        <f>+D46+D45</f>
        <v>112858.6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5" workbookViewId="3">
      <selection activeCell="H29" sqref="H29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08">
        <v>19264</v>
      </c>
      <c r="C4" s="11">
        <v>19264</v>
      </c>
      <c r="D4" s="11">
        <v>8730</v>
      </c>
      <c r="E4" s="11">
        <v>9000</v>
      </c>
      <c r="F4" s="11"/>
      <c r="G4" s="11"/>
      <c r="H4" s="11"/>
      <c r="I4" s="11"/>
      <c r="J4" s="11">
        <f t="shared" ref="J4:J34" si="0">+C4+E4+G4+I4-H4-F4-D4-B4</f>
        <v>270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08">
        <v>19264</v>
      </c>
      <c r="C5" s="11">
        <v>19264</v>
      </c>
      <c r="D5" s="11">
        <v>8272</v>
      </c>
      <c r="E5" s="11">
        <v>9000</v>
      </c>
      <c r="F5" s="11"/>
      <c r="G5" s="11"/>
      <c r="H5" s="11">
        <v>3275</v>
      </c>
      <c r="I5" s="11"/>
      <c r="J5" s="11">
        <f t="shared" si="0"/>
        <v>-2547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08">
        <v>19264</v>
      </c>
      <c r="C6" s="11">
        <v>19264</v>
      </c>
      <c r="D6" s="11">
        <v>8090</v>
      </c>
      <c r="E6" s="11">
        <v>9000</v>
      </c>
      <c r="F6" s="11"/>
      <c r="G6" s="11"/>
      <c r="H6" s="11"/>
      <c r="I6" s="11"/>
      <c r="J6" s="11">
        <f t="shared" si="0"/>
        <v>910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08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08"/>
      <c r="C8" s="11"/>
      <c r="D8" s="129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08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08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57792</v>
      </c>
      <c r="C35" s="11">
        <f t="shared" ref="C35:I35" si="1">SUM(C4:C34)</f>
        <v>57792</v>
      </c>
      <c r="D35" s="11">
        <f t="shared" si="1"/>
        <v>25092</v>
      </c>
      <c r="E35" s="11">
        <f t="shared" si="1"/>
        <v>27000</v>
      </c>
      <c r="F35" s="11">
        <f t="shared" si="1"/>
        <v>0</v>
      </c>
      <c r="G35" s="11">
        <f t="shared" si="1"/>
        <v>0</v>
      </c>
      <c r="H35" s="11">
        <f t="shared" si="1"/>
        <v>3275</v>
      </c>
      <c r="I35" s="11">
        <f t="shared" si="1"/>
        <v>0</v>
      </c>
      <c r="J35" s="11">
        <f>SUM(J4:J34)</f>
        <v>-1367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1.92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-2624.64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2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37134</v>
      </c>
      <c r="C39" s="25"/>
      <c r="E39" s="25"/>
      <c r="G39" s="25"/>
      <c r="I39" s="25"/>
      <c r="J39" s="449">
        <v>98550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37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37137</v>
      </c>
      <c r="J41" s="337">
        <f>+J39+J37</f>
        <v>95925.36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2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157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37134</v>
      </c>
      <c r="B46" s="32"/>
      <c r="C46" s="32"/>
      <c r="D46" s="212">
        <v>-78631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37137</v>
      </c>
      <c r="B47" s="32"/>
      <c r="C47" s="32"/>
      <c r="D47" s="379">
        <f>+J35</f>
        <v>-1367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-79998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6" workbookViewId="3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39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5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-13751</v>
      </c>
      <c r="E6" s="24">
        <v>-30508</v>
      </c>
      <c r="F6" s="24">
        <f>+C6+E6-B6-D6</f>
        <v>-16757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-6539</v>
      </c>
      <c r="E7" s="24">
        <v>-32145</v>
      </c>
      <c r="F7" s="24">
        <f t="shared" ref="F7:F36" si="0">+C7+E7-B7-D7</f>
        <v>-25606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-17873</v>
      </c>
      <c r="E8" s="24">
        <v>-31067</v>
      </c>
      <c r="F8" s="24">
        <f t="shared" si="0"/>
        <v>-13194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/>
      <c r="E9" s="24"/>
      <c r="F9" s="24">
        <f t="shared" si="0"/>
        <v>0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/>
      <c r="E10" s="24"/>
      <c r="F10" s="24">
        <f t="shared" si="0"/>
        <v>0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-38163</v>
      </c>
      <c r="E37" s="24">
        <f>SUM(E6:E36)</f>
        <v>-93720</v>
      </c>
      <c r="F37" s="24">
        <f>SUM(F6:F36)</f>
        <v>-55557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1.92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-106669.44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6">
        <v>37134</v>
      </c>
      <c r="E40" s="14"/>
      <c r="F40" s="448">
        <v>378641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6">
        <v>37137</v>
      </c>
      <c r="E41" s="14"/>
      <c r="F41" s="104">
        <f>+F40+F39</f>
        <v>271971.56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157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37134</v>
      </c>
      <c r="B46" s="32"/>
      <c r="C46" s="32"/>
      <c r="D46" s="212">
        <v>-3870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37137</v>
      </c>
      <c r="B47" s="32"/>
      <c r="C47" s="32"/>
      <c r="D47" s="379">
        <f>+F37</f>
        <v>-55557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-59427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32" workbookViewId="3">
      <selection activeCell="A44" sqref="A44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111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5">
      <c r="A40" s="26"/>
      <c r="C40" s="14"/>
      <c r="F40" s="260">
        <f>+summary!H4</f>
        <v>1.92</v>
      </c>
    </row>
    <row r="41" spans="1:6" x14ac:dyDescent="0.25">
      <c r="F41" s="138">
        <f>+F40*F39</f>
        <v>0</v>
      </c>
    </row>
    <row r="42" spans="1:6" x14ac:dyDescent="0.25">
      <c r="A42" s="57">
        <v>37134</v>
      </c>
      <c r="C42" s="15"/>
      <c r="F42" s="359">
        <v>-5216.57</v>
      </c>
    </row>
    <row r="43" spans="1:6" x14ac:dyDescent="0.25">
      <c r="A43" s="57">
        <v>37137</v>
      </c>
      <c r="C43" s="48"/>
      <c r="F43" s="138">
        <f>+F42+F41</f>
        <v>-5216.57</v>
      </c>
    </row>
    <row r="47" spans="1:6" x14ac:dyDescent="0.25">
      <c r="A47" s="32" t="s">
        <v>157</v>
      </c>
      <c r="B47" s="32"/>
      <c r="C47" s="32"/>
      <c r="D47" s="32"/>
    </row>
    <row r="48" spans="1:6" x14ac:dyDescent="0.25">
      <c r="A48" s="49">
        <f>+A42</f>
        <v>37134</v>
      </c>
      <c r="B48" s="32"/>
      <c r="C48" s="32"/>
      <c r="D48" s="212">
        <v>-17302</v>
      </c>
    </row>
    <row r="49" spans="1:4" x14ac:dyDescent="0.25">
      <c r="A49" s="49">
        <f>+A43</f>
        <v>37137</v>
      </c>
      <c r="B49" s="32"/>
      <c r="C49" s="32"/>
      <c r="D49" s="379">
        <f>+F39</f>
        <v>0</v>
      </c>
    </row>
    <row r="50" spans="1:4" x14ac:dyDescent="0.25">
      <c r="A50" s="32"/>
      <c r="B50" s="32"/>
      <c r="C50" s="32"/>
      <c r="D50" s="14">
        <f>+D49+D48</f>
        <v>-17302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7" workbookViewId="3">
      <selection activeCell="B34" sqref="B34"/>
    </sheetView>
  </sheetViews>
  <sheetFormatPr defaultRowHeight="13.2" x14ac:dyDescent="0.25"/>
  <sheetData>
    <row r="5" spans="1:4" ht="13.8" x14ac:dyDescent="0.25">
      <c r="A5" s="134"/>
      <c r="B5" s="34" t="s">
        <v>114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11</v>
      </c>
      <c r="B7" s="6" t="s">
        <v>20</v>
      </c>
      <c r="C7" s="6" t="s">
        <v>21</v>
      </c>
    </row>
    <row r="8" spans="1:4" x14ac:dyDescent="0.25">
      <c r="A8" s="10">
        <v>1</v>
      </c>
      <c r="B8" s="11">
        <v>11969</v>
      </c>
      <c r="C8" s="11"/>
      <c r="D8" s="25">
        <f>+C8-B8</f>
        <v>-11969</v>
      </c>
    </row>
    <row r="9" spans="1:4" x14ac:dyDescent="0.25">
      <c r="A9" s="10">
        <v>2</v>
      </c>
      <c r="B9" s="11">
        <v>11965</v>
      </c>
      <c r="C9" s="11"/>
      <c r="D9" s="25">
        <f t="shared" ref="D9:D38" si="0">+C9-B9</f>
        <v>-11965</v>
      </c>
    </row>
    <row r="10" spans="1:4" x14ac:dyDescent="0.25">
      <c r="A10" s="10">
        <v>3</v>
      </c>
      <c r="B10" s="11">
        <v>4507</v>
      </c>
      <c r="C10" s="11"/>
      <c r="D10" s="25">
        <f t="shared" si="0"/>
        <v>-4507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28441</v>
      </c>
      <c r="C39" s="11">
        <f>SUM(C8:C38)</f>
        <v>0</v>
      </c>
      <c r="D39" s="25">
        <f>SUM(D8:D38)</f>
        <v>-28441</v>
      </c>
    </row>
    <row r="40" spans="1:4" x14ac:dyDescent="0.25">
      <c r="A40" s="26"/>
      <c r="C40" s="14"/>
      <c r="D40" s="260">
        <f>+summary!H4</f>
        <v>1.92</v>
      </c>
    </row>
    <row r="41" spans="1:4" x14ac:dyDescent="0.25">
      <c r="D41" s="138">
        <f>+D40*D39</f>
        <v>-54606.720000000001</v>
      </c>
    </row>
    <row r="42" spans="1:4" x14ac:dyDescent="0.25">
      <c r="A42" s="57">
        <v>37134</v>
      </c>
      <c r="C42" s="15"/>
      <c r="D42" s="368">
        <v>450250</v>
      </c>
    </row>
    <row r="43" spans="1:4" x14ac:dyDescent="0.25">
      <c r="A43" s="57">
        <v>37137</v>
      </c>
      <c r="C43" s="48"/>
      <c r="D43" s="138">
        <f>+D42+D41</f>
        <v>395643.28</v>
      </c>
    </row>
    <row r="46" spans="1:4" x14ac:dyDescent="0.25">
      <c r="A46" s="32" t="s">
        <v>157</v>
      </c>
      <c r="B46" s="32"/>
      <c r="C46" s="32"/>
      <c r="D46" s="32"/>
    </row>
    <row r="47" spans="1:4" x14ac:dyDescent="0.25">
      <c r="A47" s="49">
        <f>+A42</f>
        <v>37134</v>
      </c>
      <c r="B47" s="32"/>
      <c r="C47" s="32"/>
      <c r="D47" s="14">
        <v>50872</v>
      </c>
    </row>
    <row r="48" spans="1:4" x14ac:dyDescent="0.25">
      <c r="A48" s="49">
        <f>+A43</f>
        <v>37137</v>
      </c>
      <c r="B48" s="32"/>
      <c r="C48" s="32"/>
      <c r="D48" s="379">
        <f>+D39</f>
        <v>-28441</v>
      </c>
    </row>
    <row r="49" spans="1:4" x14ac:dyDescent="0.25">
      <c r="A49" s="32"/>
      <c r="B49" s="32"/>
      <c r="C49" s="32"/>
      <c r="D49" s="14">
        <f>+D48+D47</f>
        <v>22431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34" workbookViewId="3">
      <selection activeCell="C41" sqref="C41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</cols>
  <sheetData>
    <row r="3" spans="1:4" ht="13.8" x14ac:dyDescent="0.25">
      <c r="A3" s="134"/>
      <c r="B3" s="34" t="s">
        <v>135</v>
      </c>
    </row>
    <row r="4" spans="1:4" x14ac:dyDescent="0.25">
      <c r="A4" s="3"/>
      <c r="B4" s="1">
        <v>78113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-78239</v>
      </c>
      <c r="C6" s="11">
        <v>-85300</v>
      </c>
      <c r="D6" s="25">
        <f>+C6-B6</f>
        <v>-7061</v>
      </c>
    </row>
    <row r="7" spans="1:4" x14ac:dyDescent="0.25">
      <c r="A7" s="10">
        <v>2</v>
      </c>
      <c r="B7" s="11">
        <v>-74226</v>
      </c>
      <c r="C7" s="11">
        <v>-85101</v>
      </c>
      <c r="D7" s="25">
        <f t="shared" ref="D7:D36" si="0">+C7-B7</f>
        <v>-10875</v>
      </c>
    </row>
    <row r="8" spans="1:4" x14ac:dyDescent="0.25">
      <c r="A8" s="10">
        <v>3</v>
      </c>
      <c r="B8" s="11">
        <v>-78758</v>
      </c>
      <c r="C8" s="11">
        <v>-71658</v>
      </c>
      <c r="D8" s="25">
        <f t="shared" si="0"/>
        <v>7100</v>
      </c>
    </row>
    <row r="9" spans="1:4" x14ac:dyDescent="0.25">
      <c r="A9" s="10">
        <v>4</v>
      </c>
      <c r="B9" s="11">
        <v>-82504</v>
      </c>
      <c r="C9" s="11">
        <v>-65890</v>
      </c>
      <c r="D9" s="25">
        <f t="shared" si="0"/>
        <v>16614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08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08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08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-313727</v>
      </c>
      <c r="C37" s="11">
        <f>SUM(C6:C36)</f>
        <v>-307949</v>
      </c>
      <c r="D37" s="25">
        <f>SUM(D6:D36)</f>
        <v>5778</v>
      </c>
    </row>
    <row r="38" spans="1:4" x14ac:dyDescent="0.25">
      <c r="A38" s="26"/>
      <c r="C38" s="14"/>
      <c r="D38" s="345">
        <f>+summary!H4</f>
        <v>1.92</v>
      </c>
    </row>
    <row r="39" spans="1:4" x14ac:dyDescent="0.25">
      <c r="D39" s="138">
        <f>+D38*D37</f>
        <v>11093.76</v>
      </c>
    </row>
    <row r="40" spans="1:4" x14ac:dyDescent="0.25">
      <c r="A40" s="57">
        <v>37134</v>
      </c>
      <c r="C40" s="15"/>
      <c r="D40" s="457">
        <v>81630</v>
      </c>
    </row>
    <row r="41" spans="1:4" x14ac:dyDescent="0.25">
      <c r="A41" s="57">
        <v>37138</v>
      </c>
      <c r="C41" s="48"/>
      <c r="D41" s="138">
        <f>+D40+D39</f>
        <v>92723.76</v>
      </c>
    </row>
    <row r="44" spans="1:4" x14ac:dyDescent="0.25">
      <c r="A44" s="32" t="s">
        <v>157</v>
      </c>
      <c r="B44" s="32"/>
      <c r="C44" s="32"/>
      <c r="D44" s="32"/>
    </row>
    <row r="45" spans="1:4" x14ac:dyDescent="0.25">
      <c r="A45" s="49">
        <f>+A40</f>
        <v>37134</v>
      </c>
      <c r="B45" s="32"/>
      <c r="C45" s="32"/>
      <c r="D45" s="212">
        <v>130472</v>
      </c>
    </row>
    <row r="46" spans="1:4" x14ac:dyDescent="0.25">
      <c r="A46" s="49">
        <f>+A41</f>
        <v>37138</v>
      </c>
      <c r="B46" s="32"/>
      <c r="C46" s="32"/>
      <c r="D46" s="379">
        <f>+D37</f>
        <v>5778</v>
      </c>
    </row>
    <row r="47" spans="1:4" x14ac:dyDescent="0.25">
      <c r="A47" s="32"/>
      <c r="B47" s="32"/>
      <c r="C47" s="32"/>
      <c r="D47" s="14">
        <f>+D46+D45</f>
        <v>136250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5" workbookViewId="3">
      <selection activeCell="C47" sqref="C47"/>
    </sheetView>
  </sheetViews>
  <sheetFormatPr defaultRowHeight="13.2" x14ac:dyDescent="0.25"/>
  <sheetData>
    <row r="3" spans="1:4" ht="13.8" x14ac:dyDescent="0.25">
      <c r="A3" s="134"/>
      <c r="B3" s="34" t="s">
        <v>133</v>
      </c>
    </row>
    <row r="4" spans="1:4" x14ac:dyDescent="0.25">
      <c r="A4" s="3"/>
      <c r="B4" s="1">
        <v>78093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35974</v>
      </c>
      <c r="C6" s="11">
        <v>36623</v>
      </c>
      <c r="D6" s="25">
        <f>+C6-B6</f>
        <v>649</v>
      </c>
    </row>
    <row r="7" spans="1:4" x14ac:dyDescent="0.25">
      <c r="A7" s="10">
        <v>2</v>
      </c>
      <c r="B7" s="11">
        <v>35392</v>
      </c>
      <c r="C7" s="11">
        <v>33797</v>
      </c>
      <c r="D7" s="25">
        <f t="shared" ref="D7:D36" si="0">+C7-B7</f>
        <v>-1595</v>
      </c>
    </row>
    <row r="8" spans="1:4" x14ac:dyDescent="0.25">
      <c r="A8" s="10">
        <v>3</v>
      </c>
      <c r="B8" s="11">
        <v>33223</v>
      </c>
      <c r="C8" s="11">
        <v>35432</v>
      </c>
      <c r="D8" s="25">
        <f t="shared" si="0"/>
        <v>2209</v>
      </c>
    </row>
    <row r="9" spans="1:4" x14ac:dyDescent="0.25">
      <c r="A9" s="10">
        <v>4</v>
      </c>
      <c r="B9" s="11">
        <v>31492</v>
      </c>
      <c r="C9" s="11">
        <v>36700</v>
      </c>
      <c r="D9" s="25">
        <f t="shared" si="0"/>
        <v>5208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29"/>
      <c r="C13" s="11"/>
      <c r="D13" s="25">
        <f t="shared" si="0"/>
        <v>0</v>
      </c>
    </row>
    <row r="14" spans="1:4" x14ac:dyDescent="0.25">
      <c r="A14" s="10">
        <v>9</v>
      </c>
      <c r="B14" s="129"/>
      <c r="C14" s="11"/>
      <c r="D14" s="25">
        <f t="shared" si="0"/>
        <v>0</v>
      </c>
    </row>
    <row r="15" spans="1:4" x14ac:dyDescent="0.25">
      <c r="A15" s="10">
        <v>10</v>
      </c>
      <c r="B15" s="129"/>
      <c r="C15" s="11"/>
      <c r="D15" s="25">
        <f t="shared" si="0"/>
        <v>0</v>
      </c>
    </row>
    <row r="16" spans="1:4" x14ac:dyDescent="0.25">
      <c r="A16" s="10">
        <v>11</v>
      </c>
      <c r="B16" s="129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29"/>
      <c r="C18" s="11"/>
      <c r="D18" s="25">
        <f t="shared" si="0"/>
        <v>0</v>
      </c>
    </row>
    <row r="19" spans="1:4" x14ac:dyDescent="0.25">
      <c r="A19" s="10">
        <v>14</v>
      </c>
      <c r="B19" s="129"/>
      <c r="C19" s="11"/>
      <c r="D19" s="25">
        <f t="shared" si="0"/>
        <v>0</v>
      </c>
    </row>
    <row r="20" spans="1:4" x14ac:dyDescent="0.25">
      <c r="A20" s="10">
        <v>15</v>
      </c>
      <c r="B20" s="129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136081</v>
      </c>
      <c r="C37" s="11">
        <f>SUM(C6:C36)</f>
        <v>142552</v>
      </c>
      <c r="D37" s="25">
        <f>SUM(D6:D36)</f>
        <v>6471</v>
      </c>
    </row>
    <row r="38" spans="1:4" x14ac:dyDescent="0.25">
      <c r="A38" s="26"/>
      <c r="C38" s="14"/>
      <c r="D38" s="345">
        <f>+summary!H5</f>
        <v>1.97</v>
      </c>
    </row>
    <row r="39" spans="1:4" x14ac:dyDescent="0.25">
      <c r="D39" s="138">
        <f>+D38*D37</f>
        <v>12747.869999999999</v>
      </c>
    </row>
    <row r="40" spans="1:4" x14ac:dyDescent="0.25">
      <c r="A40" s="57">
        <v>37134</v>
      </c>
      <c r="C40" s="15"/>
      <c r="D40" s="359">
        <v>-36026</v>
      </c>
    </row>
    <row r="41" spans="1:4" x14ac:dyDescent="0.25">
      <c r="A41" s="57">
        <v>37138</v>
      </c>
      <c r="C41" s="48"/>
      <c r="D41" s="138">
        <f>+D40+D39</f>
        <v>-23278.13</v>
      </c>
    </row>
    <row r="44" spans="1:4" x14ac:dyDescent="0.25">
      <c r="A44" s="32" t="s">
        <v>157</v>
      </c>
      <c r="B44" s="32"/>
      <c r="C44" s="32"/>
      <c r="D44" s="32"/>
    </row>
    <row r="45" spans="1:4" x14ac:dyDescent="0.25">
      <c r="A45" s="49">
        <f>+A40</f>
        <v>37134</v>
      </c>
      <c r="B45" s="32"/>
      <c r="C45" s="32"/>
      <c r="D45" s="212">
        <v>-1369</v>
      </c>
    </row>
    <row r="46" spans="1:4" x14ac:dyDescent="0.25">
      <c r="A46" s="49">
        <f>+A41</f>
        <v>37138</v>
      </c>
      <c r="B46" s="32"/>
      <c r="C46" s="32"/>
      <c r="D46" s="379">
        <f>+D37</f>
        <v>6471</v>
      </c>
    </row>
    <row r="47" spans="1:4" x14ac:dyDescent="0.25">
      <c r="A47" s="32"/>
      <c r="B47" s="32"/>
      <c r="C47" s="32"/>
      <c r="D47" s="14">
        <f>+D46+D45</f>
        <v>5102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5" workbookViewId="3">
      <selection activeCell="D7" sqref="D7"/>
    </sheetView>
  </sheetViews>
  <sheetFormatPr defaultRowHeight="13.2" x14ac:dyDescent="0.25"/>
  <cols>
    <col min="2" max="2" width="9.88671875" bestFit="1" customWidth="1"/>
    <col min="3" max="3" width="10.6640625" bestFit="1" customWidth="1"/>
    <col min="4" max="5" width="9.88671875" bestFit="1" customWidth="1"/>
    <col min="8" max="8" width="9.88671875" customWidth="1"/>
    <col min="9" max="9" width="9.33203125" bestFit="1" customWidth="1"/>
    <col min="14" max="14" width="9.88671875" bestFit="1" customWidth="1"/>
    <col min="15" max="15" width="12" bestFit="1" customWidth="1"/>
    <col min="16" max="16" width="10.6640625" style="267" bestFit="1" customWidth="1"/>
    <col min="17" max="17" width="8" style="462" bestFit="1" customWidth="1"/>
    <col min="18" max="18" width="11.44140625" style="267" bestFit="1" customWidth="1"/>
  </cols>
  <sheetData>
    <row r="1" spans="1:35" x14ac:dyDescent="0.25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90"/>
      <c r="R2" s="15"/>
      <c r="S2" s="32"/>
      <c r="T2" s="32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61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275259</v>
      </c>
      <c r="C4" s="11">
        <v>281503</v>
      </c>
      <c r="D4" s="11">
        <v>69344</v>
      </c>
      <c r="E4" s="11">
        <v>72956</v>
      </c>
      <c r="F4" s="11">
        <v>70029</v>
      </c>
      <c r="G4" s="11">
        <v>60311</v>
      </c>
      <c r="H4" s="11">
        <v>80665</v>
      </c>
      <c r="I4" s="11">
        <v>75085</v>
      </c>
      <c r="J4" s="11">
        <f t="shared" ref="J4:J34" si="0">+C4+E4+G4+I4-H4-F4-D4-B4</f>
        <v>-5442</v>
      </c>
      <c r="M4" s="461" t="s">
        <v>40</v>
      </c>
      <c r="N4" s="4" t="s">
        <v>20</v>
      </c>
      <c r="O4" s="4" t="s">
        <v>21</v>
      </c>
      <c r="P4" s="459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286090</v>
      </c>
      <c r="C5" s="11">
        <v>306045</v>
      </c>
      <c r="D5" s="11">
        <v>63458</v>
      </c>
      <c r="E5" s="11">
        <v>72956</v>
      </c>
      <c r="F5" s="11">
        <v>59329</v>
      </c>
      <c r="G5" s="11">
        <v>62968</v>
      </c>
      <c r="H5" s="11">
        <v>93352</v>
      </c>
      <c r="I5" s="11">
        <v>60047</v>
      </c>
      <c r="J5" s="11">
        <f t="shared" si="0"/>
        <v>-213</v>
      </c>
      <c r="M5" s="461"/>
      <c r="N5" s="14"/>
      <c r="O5" s="14"/>
      <c r="P5" s="14">
        <f t="shared" ref="P5:P13" si="1">+O5-N5</f>
        <v>0</v>
      </c>
      <c r="Q5" s="390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294630</v>
      </c>
      <c r="C6" s="11">
        <v>290625</v>
      </c>
      <c r="D6" s="11">
        <v>56673</v>
      </c>
      <c r="E6" s="11">
        <v>56673</v>
      </c>
      <c r="F6" s="11">
        <v>58162</v>
      </c>
      <c r="G6" s="11">
        <v>54990</v>
      </c>
      <c r="H6" s="11">
        <v>61099</v>
      </c>
      <c r="I6" s="11">
        <v>60047</v>
      </c>
      <c r="J6" s="11">
        <f t="shared" si="0"/>
        <v>-8229</v>
      </c>
      <c r="M6" s="461">
        <v>36861</v>
      </c>
      <c r="N6" s="24">
        <v>19698194</v>
      </c>
      <c r="O6" s="24">
        <v>19662410</v>
      </c>
      <c r="P6" s="14">
        <f t="shared" si="1"/>
        <v>-35784</v>
      </c>
      <c r="Q6" s="390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305300</v>
      </c>
      <c r="C7" s="11">
        <v>278666</v>
      </c>
      <c r="D7" s="11">
        <v>45173</v>
      </c>
      <c r="E7" s="11">
        <v>72956</v>
      </c>
      <c r="F7" s="11">
        <v>50925</v>
      </c>
      <c r="G7" s="11">
        <v>56783</v>
      </c>
      <c r="H7" s="11">
        <v>70201</v>
      </c>
      <c r="I7" s="11">
        <v>59892</v>
      </c>
      <c r="J7" s="11">
        <f t="shared" si="0"/>
        <v>-3302</v>
      </c>
      <c r="M7" s="461">
        <v>36892</v>
      </c>
      <c r="N7" s="24">
        <v>18949781</v>
      </c>
      <c r="O7" s="14">
        <v>18975457</v>
      </c>
      <c r="P7" s="14">
        <f t="shared" si="1"/>
        <v>25676</v>
      </c>
      <c r="Q7" s="390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/>
      <c r="C8" s="11"/>
      <c r="D8" s="129"/>
      <c r="E8" s="11"/>
      <c r="F8" s="11"/>
      <c r="G8" s="11"/>
      <c r="H8" s="129"/>
      <c r="I8" s="11"/>
      <c r="J8" s="11">
        <f t="shared" si="0"/>
        <v>0</v>
      </c>
      <c r="M8" s="461">
        <v>36923</v>
      </c>
      <c r="N8" s="24">
        <v>15193330</v>
      </c>
      <c r="O8" s="14">
        <v>15256233</v>
      </c>
      <c r="P8" s="14">
        <f t="shared" si="1"/>
        <v>62903</v>
      </c>
      <c r="Q8" s="390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61">
        <v>36951</v>
      </c>
      <c r="N9" s="24">
        <v>17049350</v>
      </c>
      <c r="O9" s="14">
        <v>17089226</v>
      </c>
      <c r="P9" s="14">
        <f t="shared" si="1"/>
        <v>39876</v>
      </c>
      <c r="Q9" s="390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61">
        <v>36982</v>
      </c>
      <c r="N10" s="24">
        <v>17652369</v>
      </c>
      <c r="O10" s="14">
        <v>17743987</v>
      </c>
      <c r="P10" s="14">
        <f t="shared" si="1"/>
        <v>91618</v>
      </c>
      <c r="Q10" s="390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61">
        <v>37012</v>
      </c>
      <c r="N11" s="24">
        <v>16124989</v>
      </c>
      <c r="O11" s="14">
        <v>16282021</v>
      </c>
      <c r="P11" s="14">
        <f t="shared" si="1"/>
        <v>157032</v>
      </c>
      <c r="Q11" s="390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61">
        <v>37043</v>
      </c>
      <c r="N12" s="24">
        <v>15928675</v>
      </c>
      <c r="O12" s="14">
        <v>15936227</v>
      </c>
      <c r="P12" s="14">
        <f t="shared" si="1"/>
        <v>7552</v>
      </c>
      <c r="Q12" s="390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61">
        <v>37073</v>
      </c>
      <c r="N13" s="24">
        <v>16669639</v>
      </c>
      <c r="O13" s="14">
        <v>16693576</v>
      </c>
      <c r="P13" s="14">
        <f t="shared" si="1"/>
        <v>23937</v>
      </c>
      <c r="Q13" s="390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61"/>
      <c r="N17" s="24"/>
      <c r="O17" s="14"/>
      <c r="P17" s="14">
        <f>+O17-N17</f>
        <v>0</v>
      </c>
      <c r="Q17" s="390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61"/>
      <c r="N18" s="24"/>
      <c r="O18" s="14"/>
      <c r="P18" s="14"/>
      <c r="Q18" s="390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M19" s="461"/>
      <c r="N19" s="14"/>
      <c r="O19" s="14"/>
      <c r="P19" s="14"/>
      <c r="Q19" s="390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M20" s="461"/>
      <c r="N20" s="14"/>
      <c r="O20" s="14"/>
      <c r="P20" s="15"/>
      <c r="Q20" s="390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61"/>
      <c r="N21" s="24"/>
      <c r="O21" s="24"/>
      <c r="P21" s="110"/>
      <c r="Q21" s="463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32"/>
      <c r="N22" s="24"/>
      <c r="O22" s="24"/>
      <c r="P22" s="24">
        <f>SUM(P5:P21)</f>
        <v>372810</v>
      </c>
      <c r="Q22" s="463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M23" s="32"/>
      <c r="N23" s="24"/>
      <c r="O23" s="24"/>
      <c r="P23" s="110"/>
      <c r="Q23" s="463"/>
      <c r="R23" s="110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32"/>
      <c r="N24" s="24"/>
      <c r="O24" s="24"/>
      <c r="P24" s="110"/>
      <c r="Q24" s="463"/>
      <c r="R24" s="110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32"/>
      <c r="N25" s="24"/>
      <c r="O25" s="24"/>
      <c r="P25" s="110"/>
      <c r="Q25" s="463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/>
      <c r="O26" s="24"/>
      <c r="P26" s="110"/>
      <c r="Q26" s="463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63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63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63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63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63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90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90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90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1161279</v>
      </c>
      <c r="C35" s="11">
        <f t="shared" ref="C35:I35" si="3">SUM(C4:C34)</f>
        <v>1156839</v>
      </c>
      <c r="D35" s="11">
        <f t="shared" si="3"/>
        <v>234648</v>
      </c>
      <c r="E35" s="11">
        <f t="shared" si="3"/>
        <v>275541</v>
      </c>
      <c r="F35" s="11">
        <f t="shared" si="3"/>
        <v>238445</v>
      </c>
      <c r="G35" s="11">
        <f t="shared" si="3"/>
        <v>235052</v>
      </c>
      <c r="H35" s="11">
        <f t="shared" si="3"/>
        <v>305317</v>
      </c>
      <c r="I35" s="11">
        <f t="shared" si="3"/>
        <v>255071</v>
      </c>
      <c r="J35" s="11">
        <f>SUM(J4:J34)</f>
        <v>-17186</v>
      </c>
      <c r="M35" s="32"/>
      <c r="N35" s="24"/>
      <c r="O35" s="32"/>
      <c r="P35" s="15"/>
      <c r="Q35" s="390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90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90"/>
      <c r="R37" s="110"/>
      <c r="S37" s="19"/>
      <c r="T37" s="104"/>
      <c r="U37" s="16"/>
      <c r="V37" s="15"/>
      <c r="W37" s="13"/>
    </row>
    <row r="38" spans="1:23" x14ac:dyDescent="0.25">
      <c r="A38" s="56">
        <v>37134</v>
      </c>
      <c r="C38" s="25"/>
      <c r="E38" s="25"/>
      <c r="G38" s="25"/>
      <c r="I38" s="25"/>
      <c r="J38" s="439">
        <v>273751</v>
      </c>
      <c r="M38" s="32"/>
      <c r="N38" s="24"/>
      <c r="O38" s="32"/>
      <c r="P38" s="15"/>
      <c r="Q38" s="390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90"/>
      <c r="R39" s="110"/>
      <c r="S39" s="19"/>
      <c r="T39" s="104"/>
      <c r="U39" s="16"/>
      <c r="V39" s="15"/>
      <c r="W39" s="13"/>
    </row>
    <row r="40" spans="1:23" x14ac:dyDescent="0.25">
      <c r="A40" s="33">
        <v>37138</v>
      </c>
      <c r="J40" s="51">
        <f>+J38+J35</f>
        <v>256565</v>
      </c>
      <c r="M40" s="32"/>
      <c r="N40" s="24"/>
      <c r="O40" s="32"/>
      <c r="P40" s="15"/>
      <c r="Q40" s="390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90"/>
      <c r="R41" s="110"/>
      <c r="S41" s="19"/>
      <c r="T41" s="104"/>
      <c r="U41" s="16"/>
      <c r="V41" s="15"/>
      <c r="W41" s="13"/>
    </row>
    <row r="42" spans="1:23" x14ac:dyDescent="0.25">
      <c r="M42" s="32"/>
      <c r="N42" s="24"/>
      <c r="O42" s="32"/>
      <c r="P42" s="15"/>
      <c r="Q42" s="390"/>
      <c r="R42" s="110"/>
      <c r="S42" s="19"/>
      <c r="T42" s="104"/>
      <c r="U42" s="16"/>
      <c r="V42" s="15"/>
      <c r="W42" s="13"/>
    </row>
    <row r="43" spans="1:23" x14ac:dyDescent="0.25">
      <c r="M43" s="32"/>
      <c r="N43" s="24"/>
      <c r="O43" s="32"/>
      <c r="P43" s="15"/>
      <c r="Q43" s="390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01"/>
      <c r="N44" s="24"/>
      <c r="O44" s="32"/>
      <c r="P44" s="15"/>
      <c r="Q44" s="390"/>
      <c r="R44" s="110"/>
      <c r="S44" s="19"/>
      <c r="T44" s="104"/>
      <c r="U44" s="16"/>
      <c r="V44" s="15"/>
      <c r="W44" s="13"/>
    </row>
    <row r="45" spans="1:23" x14ac:dyDescent="0.25">
      <c r="A45" s="32" t="s">
        <v>158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90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37134</v>
      </c>
      <c r="B46" s="32"/>
      <c r="C46" s="32"/>
      <c r="D46" s="440">
        <v>1283960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90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37138</v>
      </c>
      <c r="B47" s="32"/>
      <c r="C47" s="32"/>
      <c r="D47" s="408">
        <f>+J35*'by type'!J3</f>
        <v>-31450.38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90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2">
        <f>+D47+D46</f>
        <v>1252509.6200000001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90"/>
      <c r="R48" s="15"/>
      <c r="S48" s="19"/>
      <c r="T48" s="32"/>
    </row>
    <row r="49" spans="1:20" x14ac:dyDescent="0.25">
      <c r="A49" s="139"/>
      <c r="B49" s="119"/>
      <c r="C49" s="140"/>
      <c r="D49" s="409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90"/>
      <c r="R49" s="15"/>
      <c r="S49" s="32"/>
      <c r="T49" s="32"/>
    </row>
    <row r="50" spans="1:20" x14ac:dyDescent="0.25">
      <c r="A50" s="10"/>
      <c r="B50" s="11"/>
      <c r="C50" s="11"/>
      <c r="D50" s="410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90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90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90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90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90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90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90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90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90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90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90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90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90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90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90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90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90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90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63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63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63"/>
      <c r="R70" s="110"/>
      <c r="S70" s="19"/>
      <c r="T70" s="138"/>
    </row>
    <row r="71" spans="1:20" x14ac:dyDescent="0.25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63"/>
      <c r="R71" s="110"/>
      <c r="S71" s="19"/>
      <c r="T71" s="138"/>
    </row>
    <row r="72" spans="1:20" x14ac:dyDescent="0.25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63"/>
      <c r="R72" s="110"/>
      <c r="S72" s="19"/>
      <c r="T72" s="138"/>
    </row>
    <row r="73" spans="1:20" x14ac:dyDescent="0.25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63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63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63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63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63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63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63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63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63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63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63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63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63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63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63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63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63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90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90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90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90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90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90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90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90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90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90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90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90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90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90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90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90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90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90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90"/>
      <c r="R109" s="15"/>
      <c r="S109" s="32"/>
      <c r="T109" s="32"/>
    </row>
    <row r="110" spans="1:2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64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59"/>
      <c r="Q255" s="143"/>
      <c r="R255" s="459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60"/>
      <c r="Q256" s="465"/>
      <c r="R256" s="460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63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63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63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63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63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63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63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63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63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63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63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63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63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63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63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63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63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63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63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63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63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63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63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63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63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63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63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63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63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63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63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63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64"/>
      <c r="S295" s="1"/>
    </row>
    <row r="296" spans="9:21" x14ac:dyDescent="0.25">
      <c r="K296" s="2"/>
      <c r="M296" s="30"/>
      <c r="N296" s="4"/>
      <c r="O296" s="4"/>
      <c r="P296" s="459"/>
      <c r="Q296" s="143"/>
      <c r="R296" s="459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60"/>
      <c r="Q297" s="465"/>
      <c r="R297" s="460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63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63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63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63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63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63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63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63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63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63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63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63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63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63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63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63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63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63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63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63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63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63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63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63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63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63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63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63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63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63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63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63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64"/>
      <c r="S337" s="1"/>
    </row>
    <row r="338" spans="11:21" x14ac:dyDescent="0.25">
      <c r="K338" s="2"/>
      <c r="M338" s="30"/>
      <c r="N338" s="4"/>
      <c r="O338" s="4"/>
      <c r="P338" s="459"/>
      <c r="Q338" s="143"/>
      <c r="R338" s="459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60"/>
      <c r="Q339" s="465"/>
      <c r="R339" s="460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63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63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63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63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63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63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63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63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63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63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63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63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63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63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63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63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63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63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63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63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63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63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63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63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63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63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63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63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63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63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63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63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64"/>
      <c r="S379" s="1"/>
    </row>
    <row r="380" spans="11:21" x14ac:dyDescent="0.25">
      <c r="K380" s="2"/>
      <c r="M380" s="30"/>
      <c r="N380" s="4"/>
      <c r="O380" s="4"/>
      <c r="P380" s="459"/>
      <c r="Q380" s="143"/>
      <c r="R380" s="459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60"/>
      <c r="Q381" s="465"/>
      <c r="R381" s="460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63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63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63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63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63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63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63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63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63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63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63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63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63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63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63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63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63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63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63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63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63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63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63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63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63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63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63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63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63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63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63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63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64"/>
      <c r="S423" s="1"/>
    </row>
    <row r="424" spans="11:21" x14ac:dyDescent="0.25">
      <c r="K424" s="2"/>
      <c r="M424" s="30"/>
      <c r="N424" s="4"/>
      <c r="O424" s="4"/>
      <c r="P424" s="459"/>
      <c r="Q424" s="143"/>
      <c r="R424" s="459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60"/>
      <c r="Q425" s="465"/>
      <c r="R425" s="460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63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63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63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63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63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63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63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63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63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63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63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63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63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63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63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63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63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63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63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63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63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63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63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63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63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63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63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63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63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63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63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63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64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59"/>
      <c r="Q466" s="143"/>
      <c r="R466" s="45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60"/>
      <c r="Q467" s="465"/>
      <c r="R467" s="46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6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6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6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6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6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6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6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6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6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6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6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6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6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6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6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6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6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6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6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6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6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6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6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6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6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6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6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6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6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6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6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6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3" workbookViewId="3">
      <selection activeCell="C10" sqref="C10"/>
    </sheetView>
  </sheetViews>
  <sheetFormatPr defaultRowHeight="13.2" x14ac:dyDescent="0.25"/>
  <sheetData>
    <row r="3" spans="1:4" ht="13.8" x14ac:dyDescent="0.25">
      <c r="A3" s="134"/>
      <c r="B3" s="34" t="s">
        <v>136</v>
      </c>
    </row>
    <row r="4" spans="1:4" x14ac:dyDescent="0.25">
      <c r="A4" s="3"/>
      <c r="B4" s="59" t="s">
        <v>137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58538</v>
      </c>
      <c r="C6" s="11">
        <v>63848</v>
      </c>
      <c r="D6" s="25">
        <f>+C6-B6</f>
        <v>5310</v>
      </c>
    </row>
    <row r="7" spans="1:4" x14ac:dyDescent="0.25">
      <c r="A7" s="10">
        <v>2</v>
      </c>
      <c r="B7" s="129">
        <v>58642</v>
      </c>
      <c r="C7" s="11">
        <v>55697</v>
      </c>
      <c r="D7" s="25">
        <f t="shared" ref="D7:D36" si="0">+C7-B7</f>
        <v>-2945</v>
      </c>
    </row>
    <row r="8" spans="1:4" x14ac:dyDescent="0.25">
      <c r="A8" s="10">
        <v>3</v>
      </c>
      <c r="B8" s="11">
        <v>58406</v>
      </c>
      <c r="C8" s="11">
        <v>59792</v>
      </c>
      <c r="D8" s="25">
        <f t="shared" si="0"/>
        <v>1386</v>
      </c>
    </row>
    <row r="9" spans="1:4" x14ac:dyDescent="0.25">
      <c r="A9" s="10">
        <v>4</v>
      </c>
      <c r="B9" s="11">
        <v>59692</v>
      </c>
      <c r="C9" s="11">
        <v>63944</v>
      </c>
      <c r="D9" s="25">
        <f t="shared" si="0"/>
        <v>4252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235278</v>
      </c>
      <c r="C37" s="11">
        <f>SUM(C6:C36)</f>
        <v>243281</v>
      </c>
      <c r="D37" s="25">
        <f>SUM(D6:D36)</f>
        <v>8003</v>
      </c>
    </row>
    <row r="38" spans="1:4" x14ac:dyDescent="0.25">
      <c r="A38" s="26"/>
      <c r="C38" s="14"/>
      <c r="D38" s="345">
        <f>+summary!H5</f>
        <v>1.97</v>
      </c>
    </row>
    <row r="39" spans="1:4" x14ac:dyDescent="0.25">
      <c r="D39" s="138">
        <f>+D38*D37</f>
        <v>15765.91</v>
      </c>
    </row>
    <row r="40" spans="1:4" x14ac:dyDescent="0.25">
      <c r="A40" s="57">
        <v>37134</v>
      </c>
      <c r="C40" s="15"/>
      <c r="D40" s="368">
        <v>13515</v>
      </c>
    </row>
    <row r="41" spans="1:4" x14ac:dyDescent="0.25">
      <c r="A41" s="57">
        <v>37138</v>
      </c>
      <c r="C41" s="48"/>
      <c r="D41" s="138">
        <f>+D40+D39</f>
        <v>29280.91</v>
      </c>
    </row>
    <row r="45" spans="1:4" x14ac:dyDescent="0.25">
      <c r="A45" s="32" t="s">
        <v>157</v>
      </c>
      <c r="B45" s="32"/>
      <c r="C45" s="32"/>
      <c r="D45" s="32"/>
    </row>
    <row r="46" spans="1:4" x14ac:dyDescent="0.25">
      <c r="A46" s="49">
        <f>+A40</f>
        <v>37134</v>
      </c>
      <c r="B46" s="32"/>
      <c r="C46" s="32"/>
      <c r="D46" s="212">
        <v>4742</v>
      </c>
    </row>
    <row r="47" spans="1:4" x14ac:dyDescent="0.25">
      <c r="A47" s="49">
        <f>+A41</f>
        <v>37138</v>
      </c>
      <c r="B47" s="32"/>
      <c r="C47" s="32"/>
      <c r="D47" s="379">
        <f>+D37</f>
        <v>8003</v>
      </c>
    </row>
    <row r="48" spans="1:4" x14ac:dyDescent="0.25">
      <c r="A48" s="32"/>
      <c r="B48" s="32"/>
      <c r="C48" s="32"/>
      <c r="D48" s="14">
        <f>+D47+D46</f>
        <v>12745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27" workbookViewId="3">
      <selection activeCell="C32" sqref="C32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138</v>
      </c>
      <c r="C3" s="87"/>
      <c r="D3" s="87"/>
      <c r="E3" s="87"/>
    </row>
    <row r="4" spans="1:13" x14ac:dyDescent="0.25">
      <c r="A4" s="3"/>
      <c r="B4" s="347" t="s">
        <v>139</v>
      </c>
      <c r="C4" s="87"/>
      <c r="D4" s="3"/>
      <c r="E4" s="87"/>
    </row>
    <row r="5" spans="1:13" x14ac:dyDescent="0.25">
      <c r="A5" s="5" t="s">
        <v>11</v>
      </c>
      <c r="B5" s="6" t="s">
        <v>20</v>
      </c>
      <c r="C5" s="6" t="s">
        <v>21</v>
      </c>
    </row>
    <row r="6" spans="1:13" x14ac:dyDescent="0.25">
      <c r="A6" s="10">
        <v>1</v>
      </c>
      <c r="B6" s="11">
        <v>-1376</v>
      </c>
      <c r="C6" s="11">
        <v>-2139</v>
      </c>
      <c r="D6" s="25">
        <f>+C6-B6</f>
        <v>-763</v>
      </c>
    </row>
    <row r="7" spans="1:13" x14ac:dyDescent="0.25">
      <c r="A7" s="10">
        <v>2</v>
      </c>
      <c r="B7" s="11">
        <v>-2054</v>
      </c>
      <c r="C7" s="11">
        <v>-2139</v>
      </c>
      <c r="D7" s="25">
        <f t="shared" ref="D7:D36" si="0">+C7-B7</f>
        <v>-85</v>
      </c>
    </row>
    <row r="8" spans="1:13" x14ac:dyDescent="0.25">
      <c r="A8" s="10">
        <v>3</v>
      </c>
      <c r="B8" s="11">
        <v>-664</v>
      </c>
      <c r="C8" s="11">
        <v>-2139</v>
      </c>
      <c r="D8" s="25">
        <f t="shared" si="0"/>
        <v>-1475</v>
      </c>
    </row>
    <row r="9" spans="1:13" x14ac:dyDescent="0.25">
      <c r="A9" s="10">
        <v>4</v>
      </c>
      <c r="B9" s="11">
        <v>-1983</v>
      </c>
      <c r="C9" s="11">
        <v>-2139</v>
      </c>
      <c r="D9" s="25">
        <f t="shared" si="0"/>
        <v>-156</v>
      </c>
    </row>
    <row r="10" spans="1:13" x14ac:dyDescent="0.25">
      <c r="A10" s="10">
        <v>5</v>
      </c>
      <c r="B10" s="11"/>
      <c r="C10" s="11"/>
      <c r="D10" s="25">
        <f t="shared" si="0"/>
        <v>0</v>
      </c>
    </row>
    <row r="11" spans="1:13" x14ac:dyDescent="0.25">
      <c r="A11" s="10">
        <v>6</v>
      </c>
      <c r="B11" s="11"/>
      <c r="C11" s="11"/>
      <c r="D11" s="25">
        <f t="shared" si="0"/>
        <v>0</v>
      </c>
    </row>
    <row r="12" spans="1:13" x14ac:dyDescent="0.25">
      <c r="A12" s="10">
        <v>7</v>
      </c>
      <c r="B12" s="11"/>
      <c r="C12" s="11"/>
      <c r="D12" s="25">
        <f t="shared" si="0"/>
        <v>0</v>
      </c>
    </row>
    <row r="13" spans="1:13" x14ac:dyDescent="0.25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67" t="s">
        <v>197</v>
      </c>
      <c r="M13" s="189"/>
    </row>
    <row r="14" spans="1:13" x14ac:dyDescent="0.25">
      <c r="A14" s="10">
        <v>9</v>
      </c>
      <c r="B14" s="11"/>
      <c r="C14" s="11"/>
      <c r="D14" s="25">
        <f t="shared" si="0"/>
        <v>0</v>
      </c>
      <c r="H14" s="118" t="s">
        <v>40</v>
      </c>
      <c r="I14" s="468" t="s">
        <v>20</v>
      </c>
      <c r="J14" s="468" t="s">
        <v>21</v>
      </c>
      <c r="K14" s="469" t="s">
        <v>51</v>
      </c>
      <c r="L14" s="467" t="s">
        <v>16</v>
      </c>
      <c r="M14" s="189" t="s">
        <v>28</v>
      </c>
    </row>
    <row r="15" spans="1:13" x14ac:dyDescent="0.25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67">
        <v>8.2100000000000009</v>
      </c>
      <c r="M16" s="472">
        <f t="shared" ref="M16:M22" si="2">+L16*K16</f>
        <v>-148748.78000000003</v>
      </c>
    </row>
    <row r="17" spans="1:15" x14ac:dyDescent="0.25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67">
        <v>5.62</v>
      </c>
      <c r="M17" s="472">
        <f t="shared" si="2"/>
        <v>-91100.2</v>
      </c>
    </row>
    <row r="18" spans="1:15" x14ac:dyDescent="0.25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67">
        <v>4.9800000000000004</v>
      </c>
      <c r="M18" s="472">
        <f t="shared" si="2"/>
        <v>-118748.1</v>
      </c>
    </row>
    <row r="19" spans="1:15" x14ac:dyDescent="0.25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67">
        <v>4.87</v>
      </c>
      <c r="M19" s="472">
        <f t="shared" si="2"/>
        <v>63012.93</v>
      </c>
      <c r="O19" s="267"/>
    </row>
    <row r="20" spans="1:15" x14ac:dyDescent="0.25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67">
        <v>3.82</v>
      </c>
      <c r="M20" s="472">
        <f t="shared" si="2"/>
        <v>32531.119999999999</v>
      </c>
    </row>
    <row r="21" spans="1:15" x14ac:dyDescent="0.25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67">
        <v>3.2</v>
      </c>
      <c r="M21" s="472">
        <f t="shared" si="2"/>
        <v>-47644.800000000003</v>
      </c>
    </row>
    <row r="22" spans="1:15" x14ac:dyDescent="0.25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67">
        <v>2.77</v>
      </c>
      <c r="M22" s="473">
        <f t="shared" si="2"/>
        <v>-43139.98</v>
      </c>
    </row>
    <row r="23" spans="1:15" ht="13.8" thickBot="1" x14ac:dyDescent="0.3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70"/>
      <c r="M23" s="471">
        <f>SUM(M16:M22)</f>
        <v>-353837.81000000006</v>
      </c>
      <c r="O23" s="267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-6077</v>
      </c>
      <c r="C37" s="11">
        <f>SUM(C6:C36)</f>
        <v>-8556</v>
      </c>
      <c r="D37" s="25">
        <f>SUM(D6:D36)</f>
        <v>-2479</v>
      </c>
    </row>
    <row r="38" spans="1:4" x14ac:dyDescent="0.25">
      <c r="A38" s="26"/>
      <c r="C38" s="14"/>
      <c r="D38" s="345">
        <f>+summary!H4</f>
        <v>1.92</v>
      </c>
    </row>
    <row r="39" spans="1:4" x14ac:dyDescent="0.25">
      <c r="D39" s="138">
        <f>+D38*D37</f>
        <v>-4759.6799999999994</v>
      </c>
    </row>
    <row r="40" spans="1:4" x14ac:dyDescent="0.25">
      <c r="A40" s="57">
        <v>37134</v>
      </c>
      <c r="C40" s="15"/>
      <c r="D40" s="359">
        <v>-420252</v>
      </c>
    </row>
    <row r="41" spans="1:4" x14ac:dyDescent="0.25">
      <c r="A41" s="57">
        <v>37138</v>
      </c>
      <c r="C41" s="48"/>
      <c r="D41" s="138">
        <f>+D40+D39</f>
        <v>-425011.68</v>
      </c>
    </row>
    <row r="47" spans="1:4" x14ac:dyDescent="0.25">
      <c r="A47" s="32" t="s">
        <v>157</v>
      </c>
      <c r="B47" s="32"/>
      <c r="C47" s="32"/>
      <c r="D47" s="32"/>
    </row>
    <row r="48" spans="1:4" x14ac:dyDescent="0.25">
      <c r="A48" s="49">
        <f>+A40</f>
        <v>37134</v>
      </c>
      <c r="B48" s="32"/>
      <c r="C48" s="32"/>
      <c r="D48" s="212">
        <v>-77671</v>
      </c>
    </row>
    <row r="49" spans="1:4" x14ac:dyDescent="0.25">
      <c r="A49" s="49">
        <f>+A41</f>
        <v>37138</v>
      </c>
      <c r="B49" s="32"/>
      <c r="C49" s="32"/>
      <c r="D49" s="379">
        <f>+D37</f>
        <v>-2479</v>
      </c>
    </row>
    <row r="50" spans="1:4" x14ac:dyDescent="0.25">
      <c r="A50" s="32"/>
      <c r="B50" s="32"/>
      <c r="C50" s="32"/>
      <c r="D50" s="14">
        <f>+D49+D48</f>
        <v>-80150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7" workbookViewId="3">
      <selection activeCell="C41" sqref="C41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144</v>
      </c>
      <c r="C3" s="87"/>
      <c r="D3" s="87"/>
    </row>
    <row r="4" spans="1:4" x14ac:dyDescent="0.25">
      <c r="A4" s="3"/>
      <c r="B4" s="347" t="s">
        <v>141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-98383</v>
      </c>
      <c r="C6" s="11">
        <v>-75000</v>
      </c>
      <c r="D6" s="25">
        <f>+C6-B6</f>
        <v>23383</v>
      </c>
    </row>
    <row r="7" spans="1:4" x14ac:dyDescent="0.25">
      <c r="A7" s="10">
        <v>2</v>
      </c>
      <c r="B7" s="11">
        <v>-98232</v>
      </c>
      <c r="C7" s="11">
        <v>-95000</v>
      </c>
      <c r="D7" s="25">
        <f t="shared" ref="D7:D36" si="0">+C7-B7</f>
        <v>3232</v>
      </c>
    </row>
    <row r="8" spans="1:4" x14ac:dyDescent="0.25">
      <c r="A8" s="10">
        <v>3</v>
      </c>
      <c r="B8" s="11">
        <v>-47152</v>
      </c>
      <c r="C8" s="11">
        <v>-38250</v>
      </c>
      <c r="D8" s="25">
        <f t="shared" si="0"/>
        <v>8902</v>
      </c>
    </row>
    <row r="9" spans="1:4" x14ac:dyDescent="0.25">
      <c r="A9" s="10">
        <v>4</v>
      </c>
      <c r="B9" s="11">
        <v>-4</v>
      </c>
      <c r="C9" s="11">
        <v>-5000</v>
      </c>
      <c r="D9" s="25">
        <f t="shared" si="0"/>
        <v>-4996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-243771</v>
      </c>
      <c r="C37" s="11">
        <f>SUM(C6:C36)</f>
        <v>-213250</v>
      </c>
      <c r="D37" s="25">
        <f>SUM(D6:D36)</f>
        <v>30521</v>
      </c>
    </row>
    <row r="38" spans="1:4" x14ac:dyDescent="0.25">
      <c r="A38" s="26"/>
      <c r="C38" s="14"/>
      <c r="D38" s="345">
        <f>+summary!H4</f>
        <v>1.92</v>
      </c>
    </row>
    <row r="39" spans="1:4" x14ac:dyDescent="0.25">
      <c r="D39" s="138">
        <f>+D38*D37</f>
        <v>58600.32</v>
      </c>
    </row>
    <row r="40" spans="1:4" x14ac:dyDescent="0.25">
      <c r="A40" s="57">
        <v>37134</v>
      </c>
      <c r="C40" s="15"/>
      <c r="D40" s="359">
        <v>-173605</v>
      </c>
    </row>
    <row r="41" spans="1:4" x14ac:dyDescent="0.25">
      <c r="A41" s="57">
        <v>37138</v>
      </c>
      <c r="C41" s="48"/>
      <c r="D41" s="138">
        <f>+D40+D39</f>
        <v>-115004.68</v>
      </c>
    </row>
    <row r="42" spans="1:4" x14ac:dyDescent="0.25">
      <c r="D42" s="24"/>
    </row>
    <row r="45" spans="1:4" x14ac:dyDescent="0.25">
      <c r="A45" s="32" t="s">
        <v>157</v>
      </c>
      <c r="B45" s="32"/>
      <c r="C45" s="32"/>
      <c r="D45" s="32"/>
    </row>
    <row r="46" spans="1:4" x14ac:dyDescent="0.25">
      <c r="A46" s="49">
        <f>+A40</f>
        <v>37134</v>
      </c>
      <c r="B46" s="32"/>
      <c r="C46" s="32"/>
      <c r="D46" s="212">
        <v>-86184</v>
      </c>
    </row>
    <row r="47" spans="1:4" x14ac:dyDescent="0.25">
      <c r="A47" s="49">
        <f>+A41</f>
        <v>37138</v>
      </c>
      <c r="B47" s="32"/>
      <c r="C47" s="32"/>
      <c r="D47" s="379">
        <f>+D37</f>
        <v>30521</v>
      </c>
    </row>
    <row r="48" spans="1:4" x14ac:dyDescent="0.25">
      <c r="A48" s="32"/>
      <c r="B48" s="32"/>
      <c r="C48" s="32"/>
      <c r="D48" s="14">
        <f>+D47+D46</f>
        <v>-55663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4" workbookViewId="3">
      <selection activeCell="B7" sqref="B7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140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56659</v>
      </c>
      <c r="B5" s="342">
        <f>-3241-1041</f>
        <v>-4282</v>
      </c>
      <c r="C5" s="90">
        <v>-504</v>
      </c>
      <c r="D5" s="90">
        <f>+C5-B5</f>
        <v>3778</v>
      </c>
      <c r="E5" s="285"/>
      <c r="F5" s="283"/>
    </row>
    <row r="6" spans="1:13" x14ac:dyDescent="0.25">
      <c r="A6" s="87">
        <v>500046</v>
      </c>
      <c r="B6" s="90">
        <f>-80-23</f>
        <v>-103</v>
      </c>
      <c r="C6" s="90"/>
      <c r="D6" s="90">
        <f t="shared" ref="D6:D11" si="0">+C6-B6</f>
        <v>103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5">
      <c r="A8" s="87">
        <v>500134</v>
      </c>
      <c r="B8" s="92">
        <f>-6552-2220</f>
        <v>-8772</v>
      </c>
      <c r="C8" s="90"/>
      <c r="D8" s="90">
        <f t="shared" si="0"/>
        <v>8772</v>
      </c>
      <c r="E8" s="285"/>
      <c r="F8" s="283"/>
    </row>
    <row r="9" spans="1:13" x14ac:dyDescent="0.25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5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5">
      <c r="A11" s="87">
        <v>500619</v>
      </c>
      <c r="B11" s="319"/>
      <c r="C11" s="90"/>
      <c r="D11" s="354">
        <f t="shared" si="0"/>
        <v>0</v>
      </c>
      <c r="E11" s="285"/>
      <c r="F11" s="283"/>
    </row>
    <row r="12" spans="1:13" x14ac:dyDescent="0.25">
      <c r="A12" s="87"/>
      <c r="B12" s="88"/>
      <c r="C12" s="88"/>
      <c r="D12" s="88">
        <f>SUM(D5:D11)</f>
        <v>12653</v>
      </c>
      <c r="E12" s="285"/>
      <c r="F12" s="283"/>
    </row>
    <row r="13" spans="1:13" x14ac:dyDescent="0.25">
      <c r="A13" s="87" t="s">
        <v>84</v>
      </c>
      <c r="B13" s="88"/>
      <c r="C13" s="88"/>
      <c r="D13" s="95">
        <f>+summary!H4</f>
        <v>1.92</v>
      </c>
      <c r="E13" s="287"/>
      <c r="F13" s="283"/>
    </row>
    <row r="14" spans="1:13" x14ac:dyDescent="0.25">
      <c r="A14" s="87"/>
      <c r="B14" s="88"/>
      <c r="C14" s="88"/>
      <c r="D14" s="96">
        <f>+D13*D12</f>
        <v>24293.759999999998</v>
      </c>
      <c r="E14" s="209"/>
      <c r="F14" s="284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37134</v>
      </c>
      <c r="B16" s="88"/>
      <c r="C16" s="88"/>
      <c r="D16" s="452">
        <v>-757792.37</v>
      </c>
      <c r="E16" s="209"/>
      <c r="F16" s="66"/>
    </row>
    <row r="17" spans="1:7" x14ac:dyDescent="0.25">
      <c r="A17" s="87"/>
      <c r="B17" s="88"/>
      <c r="C17" s="88"/>
      <c r="D17" s="322"/>
      <c r="E17" s="209"/>
      <c r="F17" s="66"/>
    </row>
    <row r="18" spans="1:7" ht="13.8" thickBot="1" x14ac:dyDescent="0.3">
      <c r="A18" s="99">
        <v>37138</v>
      </c>
      <c r="B18" s="88"/>
      <c r="C18" s="88"/>
      <c r="D18" s="334">
        <f>+D16+D14</f>
        <v>-733498.61</v>
      </c>
      <c r="E18" s="209"/>
      <c r="F18" s="66"/>
    </row>
    <row r="19" spans="1:7" ht="13.8" thickTop="1" x14ac:dyDescent="0.25">
      <c r="E19" s="288"/>
    </row>
    <row r="21" spans="1:7" x14ac:dyDescent="0.25">
      <c r="A21" s="32" t="s">
        <v>157</v>
      </c>
      <c r="B21" s="32"/>
      <c r="C21" s="32"/>
      <c r="D21" s="32"/>
    </row>
    <row r="22" spans="1:7" x14ac:dyDescent="0.25">
      <c r="A22" s="49">
        <f>+A16</f>
        <v>37134</v>
      </c>
      <c r="B22" s="32"/>
      <c r="C22" s="32"/>
      <c r="D22" s="212">
        <v>-152176</v>
      </c>
    </row>
    <row r="23" spans="1:7" x14ac:dyDescent="0.25">
      <c r="A23" s="49">
        <f>+A18</f>
        <v>37138</v>
      </c>
      <c r="B23" s="32"/>
      <c r="C23" s="32"/>
      <c r="D23" s="379">
        <f>+D12</f>
        <v>12653</v>
      </c>
    </row>
    <row r="24" spans="1:7" x14ac:dyDescent="0.25">
      <c r="A24" s="32"/>
      <c r="B24" s="32"/>
      <c r="C24" s="32"/>
      <c r="D24" s="14">
        <f>+D23+D22</f>
        <v>-139523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workbookViewId="3">
      <selection activeCell="C10" sqref="C10"/>
    </sheetView>
  </sheetViews>
  <sheetFormatPr defaultRowHeight="13.2" x14ac:dyDescent="0.25"/>
  <sheetData>
    <row r="3" spans="1:4" ht="13.8" x14ac:dyDescent="0.25">
      <c r="A3" s="134"/>
      <c r="B3" s="34" t="s">
        <v>147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-33502</v>
      </c>
      <c r="C6" s="11">
        <v>-30000</v>
      </c>
      <c r="D6" s="25">
        <f>+C6-B6</f>
        <v>3502</v>
      </c>
    </row>
    <row r="7" spans="1:4" x14ac:dyDescent="0.25">
      <c r="A7" s="10">
        <v>2</v>
      </c>
      <c r="B7" s="11">
        <v>-33521</v>
      </c>
      <c r="C7" s="11">
        <v>-30000</v>
      </c>
      <c r="D7" s="25">
        <f t="shared" ref="D7:D36" si="0">+C7-B7</f>
        <v>3521</v>
      </c>
    </row>
    <row r="8" spans="1:4" x14ac:dyDescent="0.25">
      <c r="A8" s="10">
        <v>3</v>
      </c>
      <c r="B8" s="11">
        <v>-33529</v>
      </c>
      <c r="C8" s="11">
        <v>-30000</v>
      </c>
      <c r="D8" s="25">
        <f t="shared" si="0"/>
        <v>3529</v>
      </c>
    </row>
    <row r="9" spans="1:4" x14ac:dyDescent="0.25">
      <c r="A9" s="10">
        <v>4</v>
      </c>
      <c r="B9" s="11">
        <v>-33511</v>
      </c>
      <c r="C9" s="11">
        <v>-30000</v>
      </c>
      <c r="D9" s="25">
        <f t="shared" si="0"/>
        <v>3511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-134063</v>
      </c>
      <c r="C37" s="11">
        <f>SUM(C6:C36)</f>
        <v>-120000</v>
      </c>
      <c r="D37" s="25">
        <f>SUM(D6:D36)</f>
        <v>14063</v>
      </c>
    </row>
    <row r="38" spans="1:4" x14ac:dyDescent="0.25">
      <c r="A38" s="26"/>
      <c r="C38" s="14"/>
      <c r="D38" s="360"/>
    </row>
    <row r="39" spans="1:4" x14ac:dyDescent="0.25">
      <c r="D39" s="138"/>
    </row>
    <row r="40" spans="1:4" x14ac:dyDescent="0.25">
      <c r="A40" s="57">
        <v>37134</v>
      </c>
      <c r="C40" s="15"/>
      <c r="D40" s="439">
        <v>57144</v>
      </c>
    </row>
    <row r="41" spans="1:4" x14ac:dyDescent="0.25">
      <c r="A41" s="57">
        <v>37138</v>
      </c>
      <c r="C41" s="48"/>
      <c r="D41" s="25">
        <f>+D40+D37</f>
        <v>71207</v>
      </c>
    </row>
    <row r="44" spans="1:4" x14ac:dyDescent="0.25">
      <c r="A44" s="32" t="s">
        <v>158</v>
      </c>
      <c r="B44" s="32"/>
      <c r="C44" s="32"/>
      <c r="D44" s="47"/>
    </row>
    <row r="45" spans="1:4" x14ac:dyDescent="0.25">
      <c r="A45" s="49">
        <f>+A40</f>
        <v>37134</v>
      </c>
      <c r="B45" s="32"/>
      <c r="C45" s="32"/>
      <c r="D45" s="440">
        <v>288089</v>
      </c>
    </row>
    <row r="46" spans="1:4" x14ac:dyDescent="0.25">
      <c r="A46" s="49">
        <f>+A41</f>
        <v>37138</v>
      </c>
      <c r="B46" s="32"/>
      <c r="C46" s="32"/>
      <c r="D46" s="408">
        <f>+D37*'by type'!J4</f>
        <v>27000.959999999999</v>
      </c>
    </row>
    <row r="47" spans="1:4" x14ac:dyDescent="0.25">
      <c r="A47" s="32"/>
      <c r="B47" s="32"/>
      <c r="C47" s="32"/>
      <c r="D47" s="202">
        <f>+D46+D45</f>
        <v>315089.96000000002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3" workbookViewId="3">
      <selection activeCell="C11" sqref="C11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5">
      <c r="A7" s="10">
        <v>1</v>
      </c>
      <c r="B7" s="11">
        <v>138938</v>
      </c>
      <c r="C7" s="11">
        <v>139223</v>
      </c>
      <c r="D7" s="25">
        <f>+C7-B7</f>
        <v>285</v>
      </c>
    </row>
    <row r="8" spans="1:4" x14ac:dyDescent="0.25">
      <c r="A8" s="10">
        <v>2</v>
      </c>
      <c r="B8" s="11">
        <v>155682</v>
      </c>
      <c r="C8" s="11">
        <v>154223</v>
      </c>
      <c r="D8" s="25">
        <f>+C8-B8</f>
        <v>-1459</v>
      </c>
    </row>
    <row r="9" spans="1:4" x14ac:dyDescent="0.25">
      <c r="A9" s="10">
        <v>3</v>
      </c>
      <c r="B9" s="11">
        <v>147918</v>
      </c>
      <c r="C9" s="11">
        <v>148033</v>
      </c>
      <c r="D9" s="25">
        <f t="shared" ref="D9:D37" si="0">+C9-B9</f>
        <v>115</v>
      </c>
    </row>
    <row r="10" spans="1:4" x14ac:dyDescent="0.25">
      <c r="A10" s="10">
        <v>4</v>
      </c>
      <c r="B10" s="11">
        <v>149887</v>
      </c>
      <c r="C10" s="11">
        <v>152957</v>
      </c>
      <c r="D10" s="25">
        <f t="shared" si="0"/>
        <v>3070</v>
      </c>
    </row>
    <row r="11" spans="1:4" x14ac:dyDescent="0.25">
      <c r="A11" s="10">
        <v>5</v>
      </c>
      <c r="B11" s="129"/>
      <c r="C11" s="11"/>
      <c r="D11" s="25">
        <f t="shared" si="0"/>
        <v>0</v>
      </c>
    </row>
    <row r="12" spans="1:4" x14ac:dyDescent="0.25">
      <c r="A12" s="10">
        <v>6</v>
      </c>
      <c r="B12" s="11"/>
      <c r="C12" s="11"/>
      <c r="D12" s="25">
        <f t="shared" si="0"/>
        <v>0</v>
      </c>
    </row>
    <row r="13" spans="1:4" x14ac:dyDescent="0.25">
      <c r="A13" s="10">
        <v>7</v>
      </c>
      <c r="B13" s="129"/>
      <c r="C13" s="11"/>
      <c r="D13" s="25">
        <f t="shared" si="0"/>
        <v>0</v>
      </c>
    </row>
    <row r="14" spans="1:4" x14ac:dyDescent="0.25">
      <c r="A14" s="10">
        <v>8</v>
      </c>
      <c r="B14" s="11"/>
      <c r="C14" s="11"/>
      <c r="D14" s="25">
        <f t="shared" si="0"/>
        <v>0</v>
      </c>
    </row>
    <row r="15" spans="1:4" x14ac:dyDescent="0.25">
      <c r="A15" s="10">
        <v>9</v>
      </c>
      <c r="B15" s="11"/>
      <c r="C15" s="11"/>
      <c r="D15" s="25">
        <f t="shared" si="0"/>
        <v>0</v>
      </c>
    </row>
    <row r="16" spans="1:4" x14ac:dyDescent="0.25">
      <c r="A16" s="10">
        <v>10</v>
      </c>
      <c r="B16" s="11"/>
      <c r="C16" s="11"/>
      <c r="D16" s="25">
        <f t="shared" si="0"/>
        <v>0</v>
      </c>
    </row>
    <row r="17" spans="1:4" x14ac:dyDescent="0.25">
      <c r="A17" s="10">
        <v>11</v>
      </c>
      <c r="B17" s="11"/>
      <c r="C17" s="11"/>
      <c r="D17" s="25">
        <f t="shared" si="0"/>
        <v>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1"/>
      <c r="C26" s="11"/>
      <c r="D26" s="25">
        <f t="shared" si="0"/>
        <v>0</v>
      </c>
    </row>
    <row r="27" spans="1:4" x14ac:dyDescent="0.25">
      <c r="A27" s="10">
        <v>21</v>
      </c>
      <c r="B27" s="11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592425</v>
      </c>
      <c r="C38" s="11">
        <f>SUM(C7:C37)</f>
        <v>594436</v>
      </c>
      <c r="D38" s="11">
        <f>SUM(D7:D37)</f>
        <v>2011</v>
      </c>
    </row>
    <row r="39" spans="1:4" x14ac:dyDescent="0.25">
      <c r="A39" s="26"/>
      <c r="C39" s="14"/>
      <c r="D39" s="106">
        <f>+summary!H3</f>
        <v>1.83</v>
      </c>
    </row>
    <row r="40" spans="1:4" x14ac:dyDescent="0.25">
      <c r="D40" s="138">
        <f>+D39*D38</f>
        <v>3680.13</v>
      </c>
    </row>
    <row r="41" spans="1:4" x14ac:dyDescent="0.25">
      <c r="A41" s="57">
        <v>37134</v>
      </c>
      <c r="C41" s="15"/>
      <c r="D41" s="370">
        <v>6256</v>
      </c>
    </row>
    <row r="42" spans="1:4" x14ac:dyDescent="0.25">
      <c r="A42" s="57">
        <v>37138</v>
      </c>
      <c r="D42" s="337">
        <f>+D41+D40</f>
        <v>9936.130000000001</v>
      </c>
    </row>
    <row r="46" spans="1:4" x14ac:dyDescent="0.25">
      <c r="A46" s="32" t="s">
        <v>157</v>
      </c>
      <c r="B46" s="32"/>
      <c r="C46" s="32"/>
      <c r="D46" s="32"/>
    </row>
    <row r="47" spans="1:4" x14ac:dyDescent="0.25">
      <c r="A47" s="49">
        <f>+A41</f>
        <v>37134</v>
      </c>
      <c r="B47" s="32"/>
      <c r="C47" s="32"/>
      <c r="D47" s="212">
        <v>1478</v>
      </c>
    </row>
    <row r="48" spans="1:4" x14ac:dyDescent="0.25">
      <c r="A48" s="49">
        <f>+A42</f>
        <v>37138</v>
      </c>
      <c r="B48" s="32"/>
      <c r="C48" s="32"/>
      <c r="D48" s="379">
        <f>+D38</f>
        <v>2011</v>
      </c>
    </row>
    <row r="49" spans="1:4" x14ac:dyDescent="0.25">
      <c r="A49" s="32"/>
      <c r="B49" s="32"/>
      <c r="C49" s="32"/>
      <c r="D49" s="14">
        <f>+D48+D47</f>
        <v>3489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4" workbookViewId="3">
      <selection activeCell="C32" sqref="C32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>
        <v>-18474</v>
      </c>
      <c r="C5" s="11">
        <v>-500</v>
      </c>
      <c r="D5" s="11"/>
      <c r="E5" s="11">
        <v>-17302</v>
      </c>
      <c r="F5" s="11">
        <f>+C5-B5+E5-D5</f>
        <v>672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>
        <v>-17798</v>
      </c>
      <c r="C6" s="11">
        <v>-500</v>
      </c>
      <c r="D6" s="11"/>
      <c r="E6" s="11">
        <v>-17302</v>
      </c>
      <c r="F6" s="11">
        <f t="shared" ref="F6:F35" si="0">+C6-B6+E6-D6</f>
        <v>-4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-17797</v>
      </c>
      <c r="C7" s="11">
        <v>-500</v>
      </c>
      <c r="D7" s="11"/>
      <c r="E7" s="11">
        <v>-17302</v>
      </c>
      <c r="F7" s="11">
        <f t="shared" si="0"/>
        <v>-5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-18510</v>
      </c>
      <c r="C8" s="11">
        <v>-500</v>
      </c>
      <c r="D8" s="11"/>
      <c r="E8" s="11">
        <v>-17302</v>
      </c>
      <c r="F8" s="11">
        <f t="shared" si="0"/>
        <v>708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-72579</v>
      </c>
      <c r="C36" s="44">
        <f>SUM(C5:C35)</f>
        <v>-2000</v>
      </c>
      <c r="D36" s="43">
        <f>SUM(D5:D35)</f>
        <v>0</v>
      </c>
      <c r="E36" s="44">
        <f>SUM(E5:E35)</f>
        <v>-69208</v>
      </c>
      <c r="F36" s="11">
        <f>SUM(F5:F35)</f>
        <v>1371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-70579</v>
      </c>
      <c r="D37" s="24"/>
      <c r="E37" s="24">
        <f>+D36-E36</f>
        <v>69208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37134</v>
      </c>
      <c r="C41" s="14"/>
      <c r="D41" s="50"/>
      <c r="E41" s="50"/>
      <c r="F41" s="247">
        <v>73003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37138</v>
      </c>
      <c r="C42" s="14"/>
      <c r="D42" s="50"/>
      <c r="E42" s="50"/>
      <c r="F42" s="51">
        <f>+F41+F36</f>
        <v>74374</v>
      </c>
      <c r="G42" s="32"/>
      <c r="H42" s="49"/>
      <c r="I42" s="14"/>
      <c r="J42" s="50"/>
      <c r="K42" s="50"/>
      <c r="L42" s="51"/>
    </row>
    <row r="43" spans="1:12" x14ac:dyDescent="0.25">
      <c r="B43" s="56"/>
      <c r="F43" s="52"/>
      <c r="L43" s="52"/>
    </row>
    <row r="46" spans="1:12" x14ac:dyDescent="0.25">
      <c r="A46" s="32" t="s">
        <v>158</v>
      </c>
      <c r="B46" s="32"/>
      <c r="C46" s="32"/>
      <c r="D46" s="47"/>
    </row>
    <row r="47" spans="1:12" x14ac:dyDescent="0.25">
      <c r="A47" s="49">
        <f>+B41</f>
        <v>37134</v>
      </c>
      <c r="B47" s="32"/>
      <c r="C47" s="32"/>
      <c r="D47" s="202">
        <v>71591</v>
      </c>
    </row>
    <row r="48" spans="1:12" x14ac:dyDescent="0.25">
      <c r="A48" s="49">
        <f>+B42</f>
        <v>37138</v>
      </c>
      <c r="B48" s="32"/>
      <c r="C48" s="32"/>
      <c r="D48" s="408">
        <f>+F36*'by type'!J4</f>
        <v>2632.3199999999997</v>
      </c>
    </row>
    <row r="49" spans="1:4" x14ac:dyDescent="0.25">
      <c r="A49" s="32"/>
      <c r="B49" s="32"/>
      <c r="C49" s="32"/>
      <c r="D49" s="202">
        <f>+D48+D47</f>
        <v>74223.320000000007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4" workbookViewId="3">
      <selection activeCell="A41" sqref="A41"/>
    </sheetView>
  </sheetViews>
  <sheetFormatPr defaultRowHeight="13.2" x14ac:dyDescent="0.25"/>
  <cols>
    <col min="1" max="1" width="7.8867187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-147113</v>
      </c>
      <c r="C4" s="11">
        <v>-146583</v>
      </c>
      <c r="D4" s="25">
        <f>+C4-B4</f>
        <v>530</v>
      </c>
    </row>
    <row r="5" spans="1:4" x14ac:dyDescent="0.25">
      <c r="A5" s="10">
        <v>2</v>
      </c>
      <c r="B5" s="129">
        <v>-126845</v>
      </c>
      <c r="C5" s="11">
        <v>-126583</v>
      </c>
      <c r="D5" s="25">
        <f t="shared" ref="D5:D34" si="0">+C5-B5</f>
        <v>262</v>
      </c>
    </row>
    <row r="6" spans="1:4" x14ac:dyDescent="0.25">
      <c r="A6" s="10">
        <v>3</v>
      </c>
      <c r="B6" s="129">
        <v>-160795</v>
      </c>
      <c r="C6" s="11">
        <v>-160124</v>
      </c>
      <c r="D6" s="25">
        <f t="shared" si="0"/>
        <v>671</v>
      </c>
    </row>
    <row r="7" spans="1:4" x14ac:dyDescent="0.25">
      <c r="A7" s="10">
        <v>4</v>
      </c>
      <c r="B7" s="129">
        <v>-187604</v>
      </c>
      <c r="C7" s="11">
        <v>-182390</v>
      </c>
      <c r="D7" s="25">
        <f t="shared" si="0"/>
        <v>5214</v>
      </c>
    </row>
    <row r="8" spans="1:4" x14ac:dyDescent="0.25">
      <c r="A8" s="10">
        <v>5</v>
      </c>
      <c r="B8" s="129"/>
      <c r="C8" s="11"/>
      <c r="D8" s="25">
        <f t="shared" si="0"/>
        <v>0</v>
      </c>
    </row>
    <row r="9" spans="1:4" x14ac:dyDescent="0.25">
      <c r="A9" s="10">
        <v>6</v>
      </c>
      <c r="B9" s="129"/>
      <c r="C9" s="11"/>
      <c r="D9" s="25">
        <f t="shared" si="0"/>
        <v>0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08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08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08"/>
      <c r="C32" s="11"/>
      <c r="D32" s="25">
        <f t="shared" si="0"/>
        <v>0</v>
      </c>
    </row>
    <row r="33" spans="1:30" x14ac:dyDescent="0.25">
      <c r="A33" s="10">
        <v>30</v>
      </c>
      <c r="B33" s="108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-622357</v>
      </c>
      <c r="C35" s="11">
        <f>SUM(C4:C34)</f>
        <v>-615680</v>
      </c>
      <c r="D35" s="11">
        <f>SUM(D4:D34)</f>
        <v>6677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49">
        <v>37134</v>
      </c>
      <c r="D38" s="247">
        <v>43542</v>
      </c>
    </row>
    <row r="39" spans="1:30" x14ac:dyDescent="0.25">
      <c r="A39" s="12"/>
      <c r="D39" s="24"/>
    </row>
    <row r="40" spans="1:30" x14ac:dyDescent="0.25">
      <c r="A40" s="249">
        <v>37138</v>
      </c>
      <c r="D40" s="24">
        <f>+D38+D35</f>
        <v>50219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158</v>
      </c>
      <c r="B44" s="32"/>
      <c r="C44" s="32"/>
      <c r="D44" s="47"/>
      <c r="K44"/>
    </row>
    <row r="45" spans="1:30" x14ac:dyDescent="0.25">
      <c r="A45" s="49">
        <f>+A38</f>
        <v>37134</v>
      </c>
      <c r="B45" s="32"/>
      <c r="C45" s="32"/>
      <c r="D45" s="440">
        <v>-104445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37138</v>
      </c>
      <c r="B46" s="32"/>
      <c r="C46" s="32"/>
      <c r="D46" s="408">
        <f>+D35*'by type'!J4</f>
        <v>12819.84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2">
        <f>+D46+D45</f>
        <v>-91625.16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4" workbookViewId="3">
      <selection activeCell="A41" sqref="A41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5">
      <c r="A4" s="10">
        <v>1</v>
      </c>
      <c r="B4" s="11">
        <v>-623008</v>
      </c>
      <c r="C4" s="11">
        <v>-616826</v>
      </c>
      <c r="D4" s="11">
        <v>-25138</v>
      </c>
      <c r="E4" s="11">
        <v>-25000</v>
      </c>
      <c r="F4" s="25">
        <f>+E4+C4-D4-B4</f>
        <v>6320</v>
      </c>
      <c r="H4" s="10"/>
      <c r="I4" s="11"/>
    </row>
    <row r="5" spans="1:11" x14ac:dyDescent="0.25">
      <c r="A5" s="10">
        <v>2</v>
      </c>
      <c r="B5" s="11">
        <v>-610523</v>
      </c>
      <c r="C5" s="11">
        <v>-585078</v>
      </c>
      <c r="D5" s="11">
        <v>-25001</v>
      </c>
      <c r="E5" s="11">
        <v>-25000</v>
      </c>
      <c r="F5" s="25">
        <f t="shared" ref="F5:F34" si="0">+C5-B5+E5-D5</f>
        <v>25446</v>
      </c>
      <c r="H5" s="10"/>
      <c r="I5" s="11"/>
    </row>
    <row r="6" spans="1:11" x14ac:dyDescent="0.25">
      <c r="A6" s="10">
        <v>3</v>
      </c>
      <c r="B6" s="11">
        <v>-663655</v>
      </c>
      <c r="C6" s="11">
        <v>-658037</v>
      </c>
      <c r="D6" s="11">
        <v>-25919</v>
      </c>
      <c r="E6" s="11">
        <v>-25000</v>
      </c>
      <c r="F6" s="25">
        <f t="shared" si="0"/>
        <v>6537</v>
      </c>
      <c r="H6" s="10"/>
      <c r="I6" s="11"/>
    </row>
    <row r="7" spans="1:11" x14ac:dyDescent="0.25">
      <c r="A7" s="10">
        <v>4</v>
      </c>
      <c r="B7" s="11">
        <v>-684927</v>
      </c>
      <c r="C7" s="11">
        <v>-709416</v>
      </c>
      <c r="D7" s="11">
        <v>-24748</v>
      </c>
      <c r="E7" s="11">
        <v>-25000</v>
      </c>
      <c r="F7" s="25">
        <f t="shared" si="0"/>
        <v>-24741</v>
      </c>
      <c r="H7" s="10"/>
      <c r="I7" s="11"/>
      <c r="K7" s="25"/>
    </row>
    <row r="8" spans="1:11" x14ac:dyDescent="0.25">
      <c r="A8" s="10">
        <v>5</v>
      </c>
      <c r="B8" s="129"/>
      <c r="C8" s="11"/>
      <c r="D8" s="11"/>
      <c r="E8" s="11"/>
      <c r="F8" s="25">
        <f t="shared" si="0"/>
        <v>0</v>
      </c>
      <c r="H8" s="10"/>
      <c r="I8" s="11"/>
    </row>
    <row r="9" spans="1:11" x14ac:dyDescent="0.25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5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5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5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5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5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5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08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-2582113</v>
      </c>
      <c r="C35" s="11">
        <f>SUM(C4:C34)</f>
        <v>-2569357</v>
      </c>
      <c r="D35" s="11">
        <f>SUM(D4:D34)</f>
        <v>-100806</v>
      </c>
      <c r="E35" s="11">
        <f>SUM(E4:E34)</f>
        <v>-100000</v>
      </c>
      <c r="F35" s="11">
        <f>SUM(F4:F34)</f>
        <v>13562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37134</v>
      </c>
      <c r="F38" s="446">
        <v>151133</v>
      </c>
    </row>
    <row r="39" spans="1:45" x14ac:dyDescent="0.25">
      <c r="A39" s="2"/>
      <c r="F39" s="24"/>
    </row>
    <row r="40" spans="1:45" x14ac:dyDescent="0.25">
      <c r="A40" s="57">
        <v>37138</v>
      </c>
      <c r="F40" s="51">
        <f>+F38+F35</f>
        <v>164695</v>
      </c>
    </row>
    <row r="42" spans="1:45" x14ac:dyDescent="0.25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6" x14ac:dyDescent="0.3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5">
      <c r="A44" s="32" t="s">
        <v>158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5">
      <c r="A45" s="49">
        <f>+A38</f>
        <v>37134</v>
      </c>
      <c r="B45" s="32"/>
      <c r="C45" s="32"/>
      <c r="D45" s="440">
        <v>465120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5">
      <c r="A46" s="49">
        <f>+A40</f>
        <v>37138</v>
      </c>
      <c r="B46" s="32"/>
      <c r="C46" s="32"/>
      <c r="D46" s="408">
        <f>+F35*'by type'!J4</f>
        <v>26039.039999999997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5">
      <c r="A47" s="32"/>
      <c r="B47" s="32"/>
      <c r="C47" s="32"/>
      <c r="D47" s="202">
        <f>+D46+D45</f>
        <v>491159.03999999998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5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5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5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5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5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5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5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5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5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5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5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5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5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5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5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5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5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5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5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5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5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5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5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1" workbookViewId="3">
      <selection activeCell="E40" sqref="E40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3" width="10.88671875" style="32" bestFit="1" customWidth="1"/>
    <col min="14" max="14" width="12" style="32" bestFit="1" customWidth="1"/>
    <col min="15" max="15" width="9.109375" style="32"/>
    <col min="16" max="16" width="11.6640625" style="32" bestFit="1" customWidth="1"/>
    <col min="17" max="21" width="9.109375" style="32"/>
    <col min="22" max="22" width="10.6640625" style="32" bestFit="1" customWidth="1"/>
    <col min="23" max="16384" width="9.10937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3.2" x14ac:dyDescent="0.25">
      <c r="A4" s="41">
        <v>1</v>
      </c>
      <c r="B4" s="11">
        <v>-89270</v>
      </c>
      <c r="C4" s="11">
        <v>-72220</v>
      </c>
      <c r="D4" s="11">
        <v>0</v>
      </c>
      <c r="E4" s="11">
        <v>-16950</v>
      </c>
      <c r="F4" s="11"/>
      <c r="G4" s="11"/>
      <c r="H4" s="11">
        <f>+G4+E4+C4-F4-D4-B4</f>
        <v>100</v>
      </c>
      <c r="I4" s="11"/>
      <c r="J4" s="102"/>
      <c r="K4" s="466"/>
      <c r="L4" s="466"/>
      <c r="M4" s="466"/>
      <c r="N4" s="466"/>
      <c r="O4" s="295"/>
      <c r="P4" s="295"/>
    </row>
    <row r="5" spans="1:17" ht="13.2" x14ac:dyDescent="0.25">
      <c r="A5" s="41">
        <v>2</v>
      </c>
      <c r="B5" s="11">
        <v>-96891</v>
      </c>
      <c r="C5" s="11">
        <v>-72220</v>
      </c>
      <c r="D5" s="129">
        <v>0</v>
      </c>
      <c r="E5" s="11">
        <v>-24950</v>
      </c>
      <c r="F5" s="11"/>
      <c r="G5" s="11"/>
      <c r="H5" s="11">
        <f t="shared" ref="H5:H34" si="0">+G5+E5+C5-F5-D5-B5</f>
        <v>-279</v>
      </c>
      <c r="I5" s="11"/>
      <c r="J5" s="102"/>
      <c r="K5" s="118"/>
      <c r="L5" s="34"/>
      <c r="M5" s="34"/>
      <c r="N5" s="189"/>
      <c r="O5" s="467" t="s">
        <v>197</v>
      </c>
      <c r="P5" s="189"/>
      <c r="Q5" s="2"/>
    </row>
    <row r="6" spans="1:17" ht="13.2" x14ac:dyDescent="0.25">
      <c r="A6" s="41">
        <v>3</v>
      </c>
      <c r="B6" s="11">
        <v>-97853</v>
      </c>
      <c r="C6" s="11">
        <v>-72220</v>
      </c>
      <c r="D6" s="11"/>
      <c r="E6" s="11">
        <v>-24950</v>
      </c>
      <c r="F6" s="11"/>
      <c r="G6" s="11"/>
      <c r="H6" s="11">
        <f t="shared" si="0"/>
        <v>683</v>
      </c>
      <c r="I6" s="11"/>
      <c r="J6" s="102"/>
      <c r="K6" s="118" t="s">
        <v>40</v>
      </c>
      <c r="L6" s="468" t="s">
        <v>20</v>
      </c>
      <c r="M6" s="468" t="s">
        <v>21</v>
      </c>
      <c r="N6" s="469" t="s">
        <v>51</v>
      </c>
      <c r="O6" s="467" t="s">
        <v>16</v>
      </c>
      <c r="P6" s="189" t="s">
        <v>28</v>
      </c>
      <c r="Q6" s="2"/>
    </row>
    <row r="7" spans="1:17" ht="13.2" x14ac:dyDescent="0.25">
      <c r="A7" s="41">
        <v>4</v>
      </c>
      <c r="B7" s="11">
        <v>-102776</v>
      </c>
      <c r="C7" s="11">
        <v>-77338</v>
      </c>
      <c r="D7" s="129"/>
      <c r="E7" s="11">
        <v>-24624</v>
      </c>
      <c r="F7" s="11"/>
      <c r="G7" s="11"/>
      <c r="H7" s="11">
        <f t="shared" si="0"/>
        <v>814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3.2" x14ac:dyDescent="0.25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5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67">
        <v>8.2100000000000009</v>
      </c>
      <c r="P9" s="472">
        <f t="shared" ref="P9:P15" si="2">+O9*N9</f>
        <v>82231.360000000015</v>
      </c>
      <c r="Q9" s="2"/>
    </row>
    <row r="10" spans="1:17" ht="20.100000000000001" customHeight="1" x14ac:dyDescent="0.25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67">
        <v>5.62</v>
      </c>
      <c r="P10" s="472">
        <f t="shared" si="2"/>
        <v>74526.820000000007</v>
      </c>
      <c r="Q10" s="2"/>
    </row>
    <row r="11" spans="1:17" ht="20.100000000000001" customHeight="1" x14ac:dyDescent="0.25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67">
        <v>4.9800000000000004</v>
      </c>
      <c r="P11" s="472">
        <f t="shared" si="2"/>
        <v>16568.460000000003</v>
      </c>
      <c r="Q11" s="2"/>
    </row>
    <row r="12" spans="1:17" ht="20.100000000000001" customHeight="1" x14ac:dyDescent="0.25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67">
        <v>4.87</v>
      </c>
      <c r="P12" s="472">
        <f t="shared" si="2"/>
        <v>131246.5</v>
      </c>
      <c r="Q12" s="2"/>
    </row>
    <row r="13" spans="1:17" ht="20.100000000000001" customHeight="1" x14ac:dyDescent="0.25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67">
        <v>3.82</v>
      </c>
      <c r="P13" s="472">
        <f t="shared" si="2"/>
        <v>-67060.099999999991</v>
      </c>
      <c r="Q13" s="104"/>
    </row>
    <row r="14" spans="1:17" ht="20.100000000000001" customHeight="1" x14ac:dyDescent="0.25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67">
        <v>3.2</v>
      </c>
      <c r="P14" s="472">
        <f t="shared" si="2"/>
        <v>111001.60000000001</v>
      </c>
      <c r="Q14" s="104"/>
    </row>
    <row r="15" spans="1:17" ht="20.100000000000001" customHeight="1" x14ac:dyDescent="0.25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67">
        <v>2.77</v>
      </c>
      <c r="P15" s="473">
        <f t="shared" si="2"/>
        <v>112320.73</v>
      </c>
      <c r="Q15" s="2"/>
    </row>
    <row r="16" spans="1:17" ht="20.100000000000001" customHeight="1" thickBot="1" x14ac:dyDescent="0.3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70"/>
      <c r="P16" s="471">
        <f>SUM(P9:P15)</f>
        <v>460835.37</v>
      </c>
      <c r="Q16" s="2"/>
    </row>
    <row r="17" spans="1:17" ht="13.8" thickTop="1" x14ac:dyDescent="0.25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3.2" x14ac:dyDescent="0.25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3.2" x14ac:dyDescent="0.25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3.2" x14ac:dyDescent="0.25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08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-386790</v>
      </c>
      <c r="C35" s="44">
        <f t="shared" si="3"/>
        <v>-293998</v>
      </c>
      <c r="D35" s="11">
        <f t="shared" si="3"/>
        <v>0</v>
      </c>
      <c r="E35" s="44">
        <f t="shared" si="3"/>
        <v>-91474</v>
      </c>
      <c r="F35" s="11">
        <f t="shared" si="3"/>
        <v>0</v>
      </c>
      <c r="G35" s="11">
        <f t="shared" si="3"/>
        <v>0</v>
      </c>
      <c r="H35" s="11">
        <f t="shared" si="3"/>
        <v>1318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1.92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2530.56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37134</v>
      </c>
      <c r="F38" s="47"/>
      <c r="G38" s="48"/>
      <c r="H38" s="359">
        <v>472010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37138</v>
      </c>
      <c r="F39" s="47"/>
      <c r="G39" s="47"/>
      <c r="H39" s="137">
        <f>+H38+H37</f>
        <v>474540.56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157</v>
      </c>
      <c r="F45" s="11"/>
      <c r="G45" s="11"/>
      <c r="H45" s="11"/>
      <c r="J45" s="102"/>
    </row>
    <row r="46" spans="1:14" x14ac:dyDescent="0.2">
      <c r="A46" s="101"/>
      <c r="B46" s="49">
        <f>+E38</f>
        <v>37134</v>
      </c>
      <c r="E46" s="14">
        <v>115270</v>
      </c>
      <c r="F46" s="11"/>
      <c r="G46" s="11"/>
      <c r="H46" s="11">
        <f>27452*2.81</f>
        <v>77140.12</v>
      </c>
      <c r="J46" s="102"/>
      <c r="L46" s="2"/>
    </row>
    <row r="47" spans="1:14" x14ac:dyDescent="0.2">
      <c r="A47" s="101"/>
      <c r="B47" s="49">
        <f>+E39</f>
        <v>37138</v>
      </c>
      <c r="E47" s="379">
        <f>+H35</f>
        <v>1318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116588</v>
      </c>
      <c r="F48" s="11"/>
      <c r="G48" s="11"/>
      <c r="H48" s="11"/>
      <c r="J48" s="102"/>
      <c r="K48" s="4"/>
      <c r="L48" s="38"/>
      <c r="M48" s="4"/>
    </row>
    <row r="49" spans="1:15" ht="13.2" x14ac:dyDescent="0.25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4" workbookViewId="3">
      <selection activeCell="A40" sqref="A40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5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-250508</v>
      </c>
      <c r="E5" s="11">
        <v>-251915</v>
      </c>
      <c r="F5" s="11"/>
      <c r="G5" s="11"/>
      <c r="H5" s="24">
        <f>+E5-D5+C5-B5</f>
        <v>-1407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5">
      <c r="A6" s="10">
        <v>2</v>
      </c>
      <c r="B6" s="11"/>
      <c r="C6" s="11"/>
      <c r="D6" s="129">
        <v>-266868</v>
      </c>
      <c r="E6" s="11">
        <v>-268107</v>
      </c>
      <c r="F6" s="11"/>
      <c r="G6" s="11"/>
      <c r="H6" s="24">
        <f t="shared" ref="H6:H35" si="0">+E6-D6+C6-B6</f>
        <v>-1239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5">
      <c r="A7" s="10">
        <v>3</v>
      </c>
      <c r="B7" s="11"/>
      <c r="C7" s="129"/>
      <c r="D7" s="129">
        <v>-280823</v>
      </c>
      <c r="E7" s="129">
        <v>-279686</v>
      </c>
      <c r="F7" s="11"/>
      <c r="G7" s="11"/>
      <c r="H7" s="24">
        <f t="shared" si="0"/>
        <v>1137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-269685</v>
      </c>
      <c r="E8" s="129">
        <v>-270741</v>
      </c>
      <c r="F8" s="11"/>
      <c r="G8" s="11"/>
      <c r="H8" s="24">
        <f t="shared" si="0"/>
        <v>-1056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29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-1067884</v>
      </c>
      <c r="E36" s="11">
        <f t="shared" si="15"/>
        <v>-1070449</v>
      </c>
      <c r="F36" s="11">
        <f t="shared" si="15"/>
        <v>0</v>
      </c>
      <c r="G36" s="11">
        <f t="shared" si="15"/>
        <v>0</v>
      </c>
      <c r="H36" s="11">
        <f t="shared" si="15"/>
        <v>-2565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-2565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37134</v>
      </c>
      <c r="B38" s="2" t="s">
        <v>46</v>
      </c>
      <c r="C38" s="442">
        <v>64156</v>
      </c>
      <c r="D38" s="338"/>
      <c r="E38" s="443">
        <v>-72018</v>
      </c>
      <c r="F38" s="24"/>
      <c r="G38" s="24"/>
      <c r="H38" s="240">
        <f>+C38+E38+G38</f>
        <v>-7862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37138</v>
      </c>
      <c r="B39" s="2" t="s">
        <v>46</v>
      </c>
      <c r="C39" s="131">
        <f>+C38+C37</f>
        <v>64156</v>
      </c>
      <c r="D39" s="259"/>
      <c r="E39" s="131">
        <f>+E38+E37</f>
        <v>-74583</v>
      </c>
      <c r="F39" s="259"/>
      <c r="G39" s="131"/>
      <c r="H39" s="131">
        <f>+H38+H36</f>
        <v>-10427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50"/>
      <c r="E40" s="250"/>
      <c r="F40" s="254"/>
      <c r="G40" s="250"/>
      <c r="H40" s="34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67"/>
      <c r="E41" s="367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158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37134</v>
      </c>
      <c r="B44" s="32"/>
      <c r="C44" s="444">
        <v>-1583274</v>
      </c>
      <c r="D44" s="207"/>
      <c r="E44" s="445">
        <v>926744</v>
      </c>
      <c r="F44" s="47">
        <f>+E44+C44</f>
        <v>-656530</v>
      </c>
      <c r="G44" s="252"/>
      <c r="H44" s="412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37138</v>
      </c>
      <c r="B45" s="32"/>
      <c r="C45" s="47">
        <f>+C37*summary!H4</f>
        <v>0</v>
      </c>
      <c r="D45" s="207"/>
      <c r="E45" s="410">
        <f>+E37*summary!H3</f>
        <v>-4693.95</v>
      </c>
      <c r="F45" s="47">
        <f>+E45+C45</f>
        <v>-4693.95</v>
      </c>
      <c r="G45" s="252"/>
      <c r="H45" s="412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-1583274</v>
      </c>
      <c r="D46" s="207"/>
      <c r="E46" s="410">
        <f>+E45+E44</f>
        <v>922050.05</v>
      </c>
      <c r="F46" s="47">
        <f>+E46+C46</f>
        <v>-661223.94999999995</v>
      </c>
      <c r="G46" s="252"/>
      <c r="H46" s="412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410"/>
      <c r="D47" s="410"/>
      <c r="E47" s="410"/>
      <c r="F47" s="47"/>
      <c r="G47" s="252"/>
      <c r="H47" s="412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7" workbookViewId="3">
      <selection activeCell="C31" sqref="C31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5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139453</v>
      </c>
      <c r="C6" s="11">
        <v>137487</v>
      </c>
      <c r="D6" s="25">
        <f>+C6-B6</f>
        <v>-1966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136238</v>
      </c>
      <c r="C7" s="11">
        <v>132590</v>
      </c>
      <c r="D7" s="25">
        <f>+C7-B7</f>
        <v>-3648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140193</v>
      </c>
      <c r="C8" s="11">
        <v>138247</v>
      </c>
      <c r="D8" s="25">
        <f t="shared" ref="D8:D36" si="0">+C8-B8</f>
        <v>-1946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/>
      <c r="C9" s="11"/>
      <c r="D9" s="25">
        <f t="shared" si="0"/>
        <v>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/>
      <c r="C10" s="11"/>
      <c r="D10" s="25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/>
      <c r="C11" s="11"/>
      <c r="D11" s="25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415884</v>
      </c>
      <c r="C37" s="11">
        <f>SUM(C6:C36)</f>
        <v>408324</v>
      </c>
      <c r="D37" s="11">
        <f>SUM(D6:D36)</f>
        <v>-7560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5">
      <c r="A39" s="57">
        <v>37103</v>
      </c>
      <c r="C39" s="15"/>
      <c r="D39" s="247">
        <v>89897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5">
      <c r="A40" s="57">
        <v>37137</v>
      </c>
      <c r="C40" s="48"/>
      <c r="D40" s="25">
        <f>+D39+D37</f>
        <v>82337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5">
      <c r="C41" s="47"/>
      <c r="H41" s="250"/>
      <c r="I41" s="250"/>
      <c r="J41" s="250"/>
      <c r="K41" s="250"/>
      <c r="L41" s="250"/>
    </row>
    <row r="42" spans="1:16" x14ac:dyDescent="0.25">
      <c r="A42" s="57"/>
      <c r="C42" s="50"/>
      <c r="D42" s="25"/>
      <c r="H42" s="250"/>
      <c r="I42" s="250"/>
      <c r="J42" s="250"/>
      <c r="K42" s="250"/>
      <c r="L42" s="250"/>
    </row>
    <row r="43" spans="1:16" x14ac:dyDescent="0.25">
      <c r="A43" s="57"/>
      <c r="C43" s="50"/>
      <c r="H43" s="250"/>
      <c r="I43" s="250"/>
      <c r="J43" s="250"/>
      <c r="K43" s="250"/>
      <c r="L43" s="250"/>
    </row>
    <row r="44" spans="1:16" x14ac:dyDescent="0.25">
      <c r="A44" s="32" t="s">
        <v>158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5">
      <c r="A45" s="49">
        <f>+A39</f>
        <v>37103</v>
      </c>
      <c r="B45" s="32"/>
      <c r="C45" s="32"/>
      <c r="D45" s="202">
        <v>503138</v>
      </c>
    </row>
    <row r="46" spans="1:16" x14ac:dyDescent="0.25">
      <c r="A46" s="49">
        <f>+A40</f>
        <v>37137</v>
      </c>
      <c r="B46" s="32"/>
      <c r="C46" s="32"/>
      <c r="D46" s="408">
        <f>+D37*'by type'!J3</f>
        <v>-13834.800000000001</v>
      </c>
    </row>
    <row r="47" spans="1:16" x14ac:dyDescent="0.25">
      <c r="A47" s="32"/>
      <c r="B47" s="32"/>
      <c r="C47" s="32"/>
      <c r="D47" s="202">
        <f>+D46+D45</f>
        <v>489303.2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2001-09-05T22:08:25Z</cp:lastPrinted>
  <dcterms:created xsi:type="dcterms:W3CDTF">2000-03-28T16:52:23Z</dcterms:created>
  <dcterms:modified xsi:type="dcterms:W3CDTF">2023-09-10T15:06:47Z</dcterms:modified>
</cp:coreProperties>
</file>