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8" i="67"/>
  <c r="A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<sst xmlns="http://schemas.openxmlformats.org/spreadsheetml/2006/main" count="1016" uniqueCount="318">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</sst>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2.37</v>
          </cell>
          <cell r="K39">
            <v>2.33</v>
          </cell>
          <cell r="M39">
            <v>2.35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selection activeCell="C11" sqref="C11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2.33</v>
      </c>
      <c r="H3" s="401">
        <f ca="1">NOW()</f>
        <v>37320.742184953706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2.35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2.37</v>
      </c>
      <c r="H5" s="209" t="s">
        <v>314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-23238.400000000001</v>
      </c>
      <c r="C12" s="368">
        <f>+B12/$G$4</f>
        <v>-9888.6808510638293</v>
      </c>
      <c r="D12" s="14">
        <f>+Calpine!D47</f>
        <v>85475</v>
      </c>
      <c r="E12" s="70">
        <f>+C12-D12</f>
        <v>-95363.680851063837</v>
      </c>
      <c r="F12" s="363">
        <f>+Calpine!A41</f>
        <v>37319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45598.35</v>
      </c>
      <c r="C13" s="367">
        <f>+B13/$G$4</f>
        <v>19403.553191489362</v>
      </c>
      <c r="D13" s="14">
        <f>+'Citizens-Griffith'!D48</f>
        <v>26146</v>
      </c>
      <c r="E13" s="70">
        <f>+C13-D13</f>
        <v>-6742.4468085106382</v>
      </c>
      <c r="F13" s="363">
        <f>+'Citizens-Griffith'!A41</f>
        <v>37319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276</v>
      </c>
      <c r="B14" s="611">
        <f>+SWGasTrans!D41</f>
        <v>-9555.6</v>
      </c>
      <c r="C14" s="367">
        <f>+B14/G4</f>
        <v>-4066.2127659574467</v>
      </c>
      <c r="D14" s="14">
        <f>+SWGasTrans!$D$48</f>
        <v>8233</v>
      </c>
      <c r="E14" s="70">
        <f>+C14-D14</f>
        <v>-12299.212765957447</v>
      </c>
      <c r="F14" s="363">
        <f>+SWGasTrans!A41</f>
        <v>37318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-253606.95</v>
      </c>
      <c r="C15" s="367">
        <f>+B15/$G$4</f>
        <v>-107917.85106382979</v>
      </c>
      <c r="D15" s="14">
        <f>+'NS Steel'!D50</f>
        <v>4217</v>
      </c>
      <c r="E15" s="70">
        <f>+C15-D15</f>
        <v>-112134.85106382979</v>
      </c>
      <c r="F15" s="364">
        <f>+'NS Steel'!A41</f>
        <v>37319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-575776.91</v>
      </c>
      <c r="C16" s="369">
        <f>+B16/$G$4</f>
        <v>-245011.45106382979</v>
      </c>
      <c r="D16" s="349">
        <f>+Citizens!D24</f>
        <v>-55083</v>
      </c>
      <c r="E16" s="72">
        <f>+C16-D16</f>
        <v>-189928.45106382979</v>
      </c>
      <c r="F16" s="363">
        <f>+Citizens!A18</f>
        <v>37318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-816579.51</v>
      </c>
      <c r="C17" s="392">
        <f>SUBTOTAL(9,C12:C16)</f>
        <v>-347480.64255319152</v>
      </c>
      <c r="D17" s="393">
        <f>SUBTOTAL(9,D12:D16)</f>
        <v>68988</v>
      </c>
      <c r="E17" s="394">
        <f>SUBTOTAL(9,E12:E16)</f>
        <v>-416468.64255319152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20123.599999999999</v>
      </c>
      <c r="C20" s="367">
        <f>+B20/$G$4</f>
        <v>8563.2340425531911</v>
      </c>
      <c r="D20" s="14">
        <f>+transcol!D50</f>
        <v>-46144</v>
      </c>
      <c r="E20" s="70">
        <f>+C20-D20</f>
        <v>54707.234042553187</v>
      </c>
      <c r="F20" s="364">
        <f>+transcol!A43</f>
        <v>37319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288</v>
      </c>
      <c r="B21" s="610">
        <f>+C21*G3</f>
        <v>60051.090000000004</v>
      </c>
      <c r="C21" s="367">
        <f>+williams!J40</f>
        <v>25773</v>
      </c>
      <c r="D21" s="14">
        <f>+C21</f>
        <v>25773</v>
      </c>
      <c r="E21" s="70">
        <f>+C21-D21</f>
        <v>0</v>
      </c>
      <c r="F21" s="364">
        <f>+williams!A40</f>
        <v>37319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-16533.63</v>
      </c>
      <c r="C22" s="371">
        <f>+B22/$G$3</f>
        <v>-7095.9785407725321</v>
      </c>
      <c r="D22" s="349">
        <f>+burlington!D49</f>
        <v>-8141</v>
      </c>
      <c r="E22" s="72">
        <f>+C22-D22</f>
        <v>1045.0214592274679</v>
      </c>
      <c r="F22" s="363">
        <f>+burlington!A42</f>
        <v>37319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63641.06</v>
      </c>
      <c r="C23" s="388">
        <f>SUBTOTAL(9,C20:C22)</f>
        <v>27240.255501780655</v>
      </c>
      <c r="D23" s="393">
        <f>SUBTOTAL(9,D20:D22)</f>
        <v>-28512</v>
      </c>
      <c r="E23" s="394">
        <f>SUBTOTAL(9,E20:E22)</f>
        <v>55752.255501780659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37806.400000000001</v>
      </c>
      <c r="C26" s="367">
        <f>+B26/$G$4</f>
        <v>16087.829787234043</v>
      </c>
      <c r="D26" s="14">
        <f>+NNG!D34</f>
        <v>17082</v>
      </c>
      <c r="E26" s="70">
        <f t="shared" ref="E26:E48" si="0">+C26-D26</f>
        <v>-994.17021276595733</v>
      </c>
      <c r="F26" s="363">
        <f>+NNG!A24</f>
        <v>37318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494547.94</v>
      </c>
      <c r="C27" s="367">
        <f>+B27/$G$4</f>
        <v>210445.93191489362</v>
      </c>
      <c r="D27" s="14">
        <f>+Conoco!D48</f>
        <v>34059</v>
      </c>
      <c r="E27" s="70">
        <f t="shared" si="0"/>
        <v>176386.93191489362</v>
      </c>
      <c r="F27" s="363">
        <f>+Conoco!A41</f>
        <v>37319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196879.13</v>
      </c>
      <c r="C28" s="367">
        <f>+B28/$G$4</f>
        <v>83778.353191489354</v>
      </c>
      <c r="D28" s="14">
        <f>+'Amoco Abo'!D49</f>
        <v>-348097</v>
      </c>
      <c r="E28" s="70">
        <f t="shared" si="0"/>
        <v>431875.35319148935</v>
      </c>
      <c r="F28" s="364">
        <f>+'Amoco Abo'!A43</f>
        <v>37318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329907.05</v>
      </c>
      <c r="C29" s="367">
        <f>+B29/$G$4</f>
        <v>140385.97872340423</v>
      </c>
      <c r="D29" s="14">
        <f>+KN_Westar!D48</f>
        <v>-37447</v>
      </c>
      <c r="E29" s="70">
        <f t="shared" si="0"/>
        <v>177832.97872340423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246</v>
      </c>
      <c r="B30" s="605">
        <f>+summary!B46</f>
        <v>-123275.45999999999</v>
      </c>
      <c r="C30" s="368">
        <f>+B30/$G$5</f>
        <v>-52014.962025316447</v>
      </c>
      <c r="D30" s="14">
        <f>+DEFS!$I$36+DEFS!$J$36+DEFS!$K$45+DEFS!$K$46+DEFS!$K$47+DEFS!$K$48+Duke!I53+Duke!I54+Duke!F40+Duke!G40+Duke!H40</f>
        <v>274952</v>
      </c>
      <c r="E30" s="70">
        <f t="shared" si="0"/>
        <v>-326966.96202531643</v>
      </c>
      <c r="F30" s="364">
        <f>+DEFS!A40</f>
        <v>37318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318553.95</v>
      </c>
      <c r="C31" s="367">
        <f>+B31/$G$4</f>
        <v>135554.87234042553</v>
      </c>
      <c r="D31" s="14">
        <f>+mewborne!D49</f>
        <v>124627</v>
      </c>
      <c r="E31" s="70">
        <f t="shared" si="0"/>
        <v>10927.872340425529</v>
      </c>
      <c r="F31" s="364">
        <f>+mewborne!A43</f>
        <v>37318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44019.5</v>
      </c>
      <c r="C32" s="367">
        <f>+B32/$G$4</f>
        <v>18731.702127659573</v>
      </c>
      <c r="D32" s="14">
        <f>+PGETX!E48</f>
        <v>48256</v>
      </c>
      <c r="E32" s="70">
        <f t="shared" si="0"/>
        <v>-29524.297872340427</v>
      </c>
      <c r="F32" s="364">
        <f>+PGETX!E39</f>
        <v>37318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819679.11</v>
      </c>
      <c r="C33" s="367">
        <f>+B33/$G$4</f>
        <v>348799.62127659575</v>
      </c>
      <c r="D33" s="14">
        <f>+PNM!D30</f>
        <v>333282</v>
      </c>
      <c r="E33" s="70">
        <f t="shared" si="0"/>
        <v>15517.621276595746</v>
      </c>
      <c r="F33" s="364">
        <f>+PNM!A23</f>
        <v>37318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20713.400000000001</v>
      </c>
      <c r="C34" s="367">
        <f>+B34/$G$4</f>
        <v>8814.2127659574471</v>
      </c>
      <c r="D34" s="14">
        <f>+EOG!D48</f>
        <v>-117205</v>
      </c>
      <c r="E34" s="70">
        <f t="shared" si="0"/>
        <v>126019.21276595745</v>
      </c>
      <c r="F34" s="363">
        <f>+EOG!A41</f>
        <v>37318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19342.04</v>
      </c>
      <c r="C35" s="367">
        <f>+B35/G5</f>
        <v>8161.1983122362872</v>
      </c>
      <c r="D35" s="14">
        <f>+Oasis!D47</f>
        <v>7091</v>
      </c>
      <c r="E35" s="70">
        <f>+C35-D35</f>
        <v>1070.1983122362872</v>
      </c>
      <c r="F35" s="363">
        <f>+Oasis!A40</f>
        <v>37319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4582.95</v>
      </c>
      <c r="C36" s="367">
        <f>+B36/$G$5</f>
        <v>1933.7341772151897</v>
      </c>
      <c r="D36" s="14">
        <f>+SidR!D48</f>
        <v>2211</v>
      </c>
      <c r="E36" s="70">
        <f t="shared" si="0"/>
        <v>-277.26582278481033</v>
      </c>
      <c r="F36" s="364">
        <f>+SidR!A41</f>
        <v>37318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256</v>
      </c>
      <c r="B37" s="611">
        <f>+MiVida_Rich!D41</f>
        <v>-192285.66</v>
      </c>
      <c r="C37" s="367">
        <f>+B37/$G$5</f>
        <v>-81133.189873417723</v>
      </c>
      <c r="D37" s="14">
        <f>+MiVida_Rich!D48</f>
        <v>-45949</v>
      </c>
      <c r="E37" s="70">
        <f>+C37-D37</f>
        <v>-35184.189873417723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171615.05</v>
      </c>
      <c r="C38" s="367">
        <f>+B38/$G$5</f>
        <v>72411.413502109703</v>
      </c>
      <c r="D38" s="14">
        <f>+Dominion!D48</f>
        <v>75001</v>
      </c>
      <c r="E38" s="70">
        <f t="shared" si="0"/>
        <v>-2589.5864978902973</v>
      </c>
      <c r="F38" s="364">
        <f>+Dominion!A41</f>
        <v>37318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-22221.9</v>
      </c>
      <c r="C39" s="367">
        <f>+B39/$G$4</f>
        <v>-9456.1276595744675</v>
      </c>
      <c r="D39" s="14">
        <f>+WTGmktg!D50</f>
        <v>2584</v>
      </c>
      <c r="E39" s="70">
        <f t="shared" si="0"/>
        <v>-12040.127659574468</v>
      </c>
      <c r="F39" s="364">
        <f>+WTGmktg!A43</f>
        <v>37318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279</v>
      </c>
      <c r="B40" s="345">
        <f>+'WTG inc'!N43</f>
        <v>20308.5</v>
      </c>
      <c r="C40" s="367">
        <f>+B40/G4</f>
        <v>8641.9148936170204</v>
      </c>
      <c r="D40" s="14">
        <f>+'WTG inc'!D50</f>
        <v>6276</v>
      </c>
      <c r="E40" s="70">
        <f>+C40-D40</f>
        <v>2365.9148936170204</v>
      </c>
      <c r="F40" s="364">
        <f>+'WTG inc'!A43</f>
        <v>37318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3949.4700000000003</v>
      </c>
      <c r="C41" s="367">
        <f>+B41/$G$5</f>
        <v>1666.4430379746836</v>
      </c>
      <c r="D41" s="14">
        <f>+Devon!D48</f>
        <v>1718</v>
      </c>
      <c r="E41" s="70">
        <f t="shared" si="0"/>
        <v>-51.556962025316352</v>
      </c>
      <c r="F41" s="364">
        <f>+Devon!A41</f>
        <v>37318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-123275.45999999999</v>
      </c>
      <c r="C42" s="367">
        <f>+B42/$G$4</f>
        <v>-52457.642553191487</v>
      </c>
      <c r="D42" s="14">
        <f>+crosstex!D48</f>
        <v>-35936</v>
      </c>
      <c r="E42" s="70">
        <f t="shared" si="0"/>
        <v>-16521.642553191487</v>
      </c>
      <c r="F42" s="364">
        <f>+crosstex!A41</f>
        <v>37318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143983.23000000001</v>
      </c>
      <c r="C43" s="367">
        <f>+B43/$G$4</f>
        <v>61269.459574468085</v>
      </c>
      <c r="D43" s="14">
        <f>+Amarillo!D48</f>
        <v>62626</v>
      </c>
      <c r="E43" s="70">
        <f t="shared" si="0"/>
        <v>-1356.5404255319154</v>
      </c>
      <c r="F43" s="364">
        <f>+Amarillo!A41</f>
        <v>37318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294</v>
      </c>
      <c r="B44" s="605">
        <f>+Stratland!$D$41</f>
        <v>48490.31</v>
      </c>
      <c r="C44" s="368">
        <f>+B44/$G$4</f>
        <v>20634.174468085104</v>
      </c>
      <c r="D44" s="14">
        <f>+Stratland!D48</f>
        <v>17403</v>
      </c>
      <c r="E44" s="70">
        <f>+C44-D44</f>
        <v>3231.1744680851043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305</v>
      </c>
      <c r="B45" s="605">
        <f>+Plains!$N$43</f>
        <v>63241.56</v>
      </c>
      <c r="C45" s="608">
        <f>+B45/$G$4</f>
        <v>26911.302127659572</v>
      </c>
      <c r="D45" s="14">
        <f>+Plains!D50</f>
        <v>22284</v>
      </c>
      <c r="E45" s="70">
        <f>+C45-D45</f>
        <v>4627.3021276595719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51583.199999999997</v>
      </c>
      <c r="C46" s="368">
        <f>+B46/$G$4</f>
        <v>21950.297872340423</v>
      </c>
      <c r="D46" s="14">
        <f>+Continental!D50</f>
        <v>8656</v>
      </c>
      <c r="E46" s="70">
        <f t="shared" si="0"/>
        <v>13294.297872340423</v>
      </c>
      <c r="F46" s="364">
        <f>+Continental!A43</f>
        <v>37318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69345.23</v>
      </c>
      <c r="C47" s="368">
        <f>+B47/$G$5</f>
        <v>29259.590717299576</v>
      </c>
      <c r="D47" s="14">
        <f>+EPFS!D47</f>
        <v>80054</v>
      </c>
      <c r="E47" s="70">
        <f t="shared" si="0"/>
        <v>-50794.409282700421</v>
      </c>
      <c r="F47" s="363">
        <f>+EPFS!A41</f>
        <v>37319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+Agave!$D$25</f>
        <v>194082.05</v>
      </c>
      <c r="C48" s="369">
        <f>+B48/$G$4</f>
        <v>82588.106382978716</v>
      </c>
      <c r="D48" s="349">
        <f>+Agave!D31</f>
        <v>99678</v>
      </c>
      <c r="E48" s="72">
        <f t="shared" si="0"/>
        <v>-17089.893617021284</v>
      </c>
      <c r="F48" s="363">
        <f>+Agave!A25</f>
        <v>37318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2591571.5900000008</v>
      </c>
      <c r="C49" s="392">
        <f>SUBTOTAL(9,C26:C48)</f>
        <v>1102964.2150821434</v>
      </c>
      <c r="D49" s="393">
        <f>SUBTOTAL(9,D26:D48)</f>
        <v>633206</v>
      </c>
      <c r="E49" s="394">
        <f>SUBTOTAL(9,E26:E48)</f>
        <v>469758.21508214367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1838633.1400000001</v>
      </c>
      <c r="C51" s="392">
        <f>SUBTOTAL(9,C12:C48)</f>
        <v>782723.82803073281</v>
      </c>
      <c r="D51" s="393">
        <f>SUBTOTAL(9,D12:D48)</f>
        <v>673682</v>
      </c>
      <c r="E51" s="394">
        <f>SUBTOTAL(9,E12:E48)</f>
        <v>109041.82803073291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+summary!G3</f>
        <v>2.33</v>
      </c>
      <c r="H57" s="401">
        <f ca="1">NOW()</f>
        <v>37320.742184953706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+summary!G4</f>
        <v>2.35</v>
      </c>
      <c r="H58" s="32"/>
    </row>
    <row r="59" spans="1:19" ht="13.5" customHeight="1" outlineLevel="1" x14ac:dyDescent="0.25">
      <c r="D59" s="7"/>
      <c r="F59" s="383" t="s">
        <v>117</v>
      </c>
      <c r="G59" s="386">
        <f>+summary!G5</f>
        <v>2.37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491</v>
      </c>
      <c r="C66" s="605">
        <f>+B66*$I$5</f>
        <v>1129.3</v>
      </c>
      <c r="D66" s="47">
        <f>+Mojave!D47</f>
        <v>1153.8500000000001</v>
      </c>
      <c r="E66" s="47">
        <f>+C66-D66</f>
        <v>-24.550000000000182</v>
      </c>
      <c r="F66" s="364">
        <f>+Mojave!A40</f>
        <v>37319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18142</v>
      </c>
      <c r="C67" s="605">
        <f>+B67*$G$4</f>
        <v>42633.700000000004</v>
      </c>
      <c r="D67" s="47">
        <f>+SoCal!D47</f>
        <v>135702.1</v>
      </c>
      <c r="E67" s="47">
        <f>+C67-D67</f>
        <v>-93068.4</v>
      </c>
      <c r="F67" s="364">
        <f>+SoCal!A40</f>
        <v>37319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151032.15</v>
      </c>
      <c r="D68" s="47">
        <f>+'El Paso'!C46</f>
        <v>-1582961.01</v>
      </c>
      <c r="E68" s="47">
        <f>+C68-D68</f>
        <v>1733993.16</v>
      </c>
      <c r="F68" s="364">
        <f>+'El Paso'!A39</f>
        <v>37319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6168</v>
      </c>
      <c r="C69" s="607">
        <f>+B69*$G$4</f>
        <v>14494.800000000001</v>
      </c>
      <c r="D69" s="348">
        <f>+'PG&amp;E'!D47</f>
        <v>-191071.75</v>
      </c>
      <c r="E69" s="348">
        <f>+C69-D69</f>
        <v>205566.55</v>
      </c>
      <c r="F69" s="364">
        <f>+'PG&amp;E'!A40</f>
        <v>37318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89070</v>
      </c>
      <c r="C70" s="387">
        <f>SUBTOTAL(9,C66:C69)</f>
        <v>209289.94999999998</v>
      </c>
      <c r="D70" s="387">
        <f>SUBTOTAL(9,D66:D69)</f>
        <v>-1637176.81</v>
      </c>
      <c r="E70" s="387">
        <f>SUBTOTAL(9,E66:E69)</f>
        <v>1846466.76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60120</v>
      </c>
      <c r="C73" s="606">
        <f>+B73*G57</f>
        <v>140079.6</v>
      </c>
      <c r="D73" s="200">
        <f>+'Red C'!D52</f>
        <v>471744.46</v>
      </c>
      <c r="E73" s="47">
        <f>+C73-D73</f>
        <v>-331664.86</v>
      </c>
      <c r="F73" s="363">
        <f>+'Red C'!A45</f>
        <v>37319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287</v>
      </c>
      <c r="B74" s="367">
        <f>+Amoco!D40</f>
        <v>3560</v>
      </c>
      <c r="C74" s="611">
        <f>+B74*$G$3</f>
        <v>8294.8000000000011</v>
      </c>
      <c r="D74" s="47">
        <f>+Amoco!D47</f>
        <v>343423.35</v>
      </c>
      <c r="E74" s="47">
        <f>+C74-D74</f>
        <v>-335128.55</v>
      </c>
      <c r="F74" s="364">
        <f>+Amoco!A40</f>
        <v>37318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-59088</v>
      </c>
      <c r="C75" s="605">
        <f>+B75*$G$3</f>
        <v>-137675.04</v>
      </c>
      <c r="D75" s="47">
        <f>+'El Paso'!F46</f>
        <v>-657254.01</v>
      </c>
      <c r="E75" s="47">
        <f>+C75-D75</f>
        <v>519578.97</v>
      </c>
      <c r="F75" s="364">
        <f>+'El Paso'!A39</f>
        <v>37319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-12783</v>
      </c>
      <c r="C76" s="612">
        <f>+B76*$G$3</f>
        <v>-29784.39</v>
      </c>
      <c r="D76" s="348">
        <f>+NW!E49</f>
        <v>-485946.52</v>
      </c>
      <c r="E76" s="348">
        <f>+C76-D76</f>
        <v>456162.13</v>
      </c>
      <c r="F76" s="363">
        <f>+NW!B41</f>
        <v>37319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-8191</v>
      </c>
      <c r="C77" s="387">
        <f>SUBTOTAL(9,C73:C76)</f>
        <v>-19085.030000000013</v>
      </c>
      <c r="D77" s="387">
        <f>SUBTOTAL(9,D73:D76)</f>
        <v>-328032.71999999997</v>
      </c>
      <c r="E77" s="387">
        <f>SUBTOTAL(9,E73:E76)</f>
        <v>308947.69000000006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44025</v>
      </c>
      <c r="C80" s="605">
        <f>+B80*$G$5</f>
        <v>104339.25</v>
      </c>
      <c r="D80" s="47">
        <f>+NGPL!D45</f>
        <v>142444.4</v>
      </c>
      <c r="E80" s="47">
        <f>+C80-D80</f>
        <v>-38105.149999999994</v>
      </c>
      <c r="F80" s="364">
        <f>+NGPL!A38</f>
        <v>37319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7390</v>
      </c>
      <c r="C81" s="606">
        <f>+B81*$G$4</f>
        <v>17366.5</v>
      </c>
      <c r="D81" s="47">
        <f>+PEPL!D47</f>
        <v>161586.25</v>
      </c>
      <c r="E81" s="47">
        <f>+C81-D81</f>
        <v>-144219.75</v>
      </c>
      <c r="F81" s="364">
        <f>+PEPL!A41</f>
        <v>37319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41329.450000000004</v>
      </c>
      <c r="D82" s="200">
        <f>+CIG!D49</f>
        <v>385897</v>
      </c>
      <c r="E82" s="70">
        <f>+C82-D82</f>
        <v>-344567.55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31975</v>
      </c>
      <c r="C83" s="607">
        <f>+B83*G59</f>
        <v>75780.75</v>
      </c>
      <c r="D83" s="348">
        <f>+Lonestar!D50</f>
        <v>69223.960000000006</v>
      </c>
      <c r="E83" s="348">
        <f>+C83-D83</f>
        <v>6556.7899999999936</v>
      </c>
      <c r="F83" s="363">
        <f>+Lonestar!A43</f>
        <v>37319</v>
      </c>
      <c r="G83" s="32" t="s">
        <v>299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100977</v>
      </c>
      <c r="C84" s="387">
        <f>SUBTOTAL(9,C80:C83)</f>
        <v>238815.95</v>
      </c>
      <c r="D84" s="387">
        <f>SUBTOTAL(9,D80:D83)</f>
        <v>759151.61</v>
      </c>
      <c r="E84" s="387">
        <f>SUBTOTAL(9,E80:E83)</f>
        <v>-520335.66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181856</v>
      </c>
      <c r="C86" s="387">
        <f>SUBTOTAL(9,C66:C83)</f>
        <v>429020.87</v>
      </c>
      <c r="D86" s="387">
        <f>SUBTOTAL(9,D66:D83)</f>
        <v>-1206057.9200000004</v>
      </c>
      <c r="E86" s="387">
        <f>SUBTOTAL(9,E66:E83)</f>
        <v>1635078.7899999998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2267654.0100000002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964579.82803073281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1" workbookViewId="0">
      <selection activeCell="C29" sqref="C2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/>
      <c r="C9" s="410"/>
      <c r="D9" s="30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/>
      <c r="C10" s="410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479562</v>
      </c>
      <c r="C37" s="410">
        <f>SUM(C6:C36)</f>
        <v>482357</v>
      </c>
      <c r="D37" s="410">
        <f>SUM(D6:D36)</f>
        <v>2795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37318</v>
      </c>
      <c r="B40" s="285"/>
      <c r="C40" s="435"/>
      <c r="D40" s="307">
        <f>+D39+D37</f>
        <v>3560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7">
        <v>336911</v>
      </c>
    </row>
    <row r="46" spans="1:16" x14ac:dyDescent="0.25">
      <c r="A46" s="49">
        <f>+A40</f>
        <v>37318</v>
      </c>
      <c r="B46" s="32"/>
      <c r="C46" s="32"/>
      <c r="D46" s="374">
        <f>+D37*'by type_area'!G3</f>
        <v>6512.35</v>
      </c>
    </row>
    <row r="47" spans="1:16" x14ac:dyDescent="0.25">
      <c r="A47" s="32"/>
      <c r="B47" s="32"/>
      <c r="C47" s="32"/>
      <c r="D47" s="200">
        <f>+D46+D45</f>
        <v>343423.35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39" sqref="A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-107692</v>
      </c>
      <c r="C36" s="24">
        <f>SUM(C5:C35)</f>
        <v>-106700</v>
      </c>
      <c r="D36" s="24">
        <f t="shared" si="0"/>
        <v>992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2.37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2351.04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37319</v>
      </c>
      <c r="B40"/>
      <c r="C40" s="48"/>
      <c r="D40" s="138">
        <f>+D39+D38</f>
        <v>19342.04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485">
        <v>6099</v>
      </c>
    </row>
    <row r="46" spans="1:65" x14ac:dyDescent="0.25">
      <c r="A46" s="49">
        <f>+A40</f>
        <v>37319</v>
      </c>
      <c r="B46" s="32"/>
      <c r="C46" s="32"/>
      <c r="D46" s="349">
        <f>+D36</f>
        <v>992</v>
      </c>
    </row>
    <row r="47" spans="1:65" x14ac:dyDescent="0.25">
      <c r="A47" s="32"/>
      <c r="B47" s="32"/>
      <c r="C47" s="32"/>
      <c r="D47" s="14">
        <f>+D46+D45</f>
        <v>7091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2" workbookViewId="0">
      <selection activeCell="B12" sqref="B12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95420</v>
      </c>
      <c r="C5" s="90">
        <v>101022</v>
      </c>
      <c r="D5" s="90">
        <f t="shared" ref="D5:D18" si="0">+C5-B5</f>
        <v>5602</v>
      </c>
      <c r="E5" s="275"/>
      <c r="F5" s="273"/>
    </row>
    <row r="6" spans="1:13" x14ac:dyDescent="0.25">
      <c r="A6" s="87">
        <v>78311</v>
      </c>
      <c r="B6" s="90">
        <v>65019</v>
      </c>
      <c r="C6" s="90">
        <v>66000</v>
      </c>
      <c r="D6" s="90">
        <f t="shared" si="0"/>
        <v>981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v>1956</v>
      </c>
      <c r="C7" s="90"/>
      <c r="D7" s="90">
        <f t="shared" si="0"/>
        <v>-1956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84685</v>
      </c>
      <c r="C8" s="90">
        <v>113351</v>
      </c>
      <c r="D8" s="90">
        <f t="shared" si="0"/>
        <v>28666</v>
      </c>
      <c r="E8" s="455"/>
      <c r="F8" s="273"/>
    </row>
    <row r="9" spans="1:13" x14ac:dyDescent="0.25">
      <c r="A9" s="87">
        <v>500239</v>
      </c>
      <c r="B9" s="90">
        <v>113722</v>
      </c>
      <c r="C9" s="90">
        <v>105123</v>
      </c>
      <c r="D9" s="90">
        <f t="shared" si="0"/>
        <v>-8599</v>
      </c>
      <c r="E9" s="275"/>
      <c r="F9" s="273"/>
    </row>
    <row r="10" spans="1:13" x14ac:dyDescent="0.25">
      <c r="A10" s="87">
        <v>500293</v>
      </c>
      <c r="B10" s="90">
        <v>45150</v>
      </c>
      <c r="C10" s="90">
        <v>60795</v>
      </c>
      <c r="D10" s="90">
        <f t="shared" si="0"/>
        <v>15645</v>
      </c>
      <c r="E10" s="275"/>
      <c r="F10" s="273"/>
    </row>
    <row r="11" spans="1:13" x14ac:dyDescent="0.25">
      <c r="A11" s="87">
        <v>500302</v>
      </c>
      <c r="B11" s="90"/>
      <c r="C11" s="90">
        <v>939</v>
      </c>
      <c r="D11" s="90">
        <f t="shared" si="0"/>
        <v>939</v>
      </c>
      <c r="E11" s="275"/>
      <c r="F11" s="273"/>
    </row>
    <row r="12" spans="1:13" x14ac:dyDescent="0.25">
      <c r="A12" s="87">
        <v>500303</v>
      </c>
      <c r="B12" s="90"/>
      <c r="C12" s="90">
        <v>2907</v>
      </c>
      <c r="D12" s="90">
        <f t="shared" si="0"/>
        <v>2907</v>
      </c>
      <c r="E12" s="276"/>
      <c r="F12" s="465"/>
      <c r="G12" s="90"/>
    </row>
    <row r="13" spans="1:13" x14ac:dyDescent="0.25">
      <c r="A13" s="91">
        <v>500305</v>
      </c>
      <c r="B13" s="90">
        <f>86974+47693</f>
        <v>134667</v>
      </c>
      <c r="C13" s="90">
        <v>158344</v>
      </c>
      <c r="D13" s="90">
        <f t="shared" si="0"/>
        <v>23677</v>
      </c>
      <c r="E13" s="275"/>
      <c r="F13" s="273"/>
    </row>
    <row r="14" spans="1:13" x14ac:dyDescent="0.25">
      <c r="A14" s="87">
        <v>500307</v>
      </c>
      <c r="B14" s="90">
        <v>8346</v>
      </c>
      <c r="C14" s="90">
        <v>6384</v>
      </c>
      <c r="D14" s="90">
        <f t="shared" si="0"/>
        <v>-1962</v>
      </c>
      <c r="E14" s="275"/>
      <c r="F14" s="273"/>
    </row>
    <row r="15" spans="1:13" x14ac:dyDescent="0.25">
      <c r="A15" s="87">
        <v>500313</v>
      </c>
      <c r="B15" s="90"/>
      <c r="C15" s="90">
        <v>303</v>
      </c>
      <c r="D15" s="90">
        <f t="shared" si="0"/>
        <v>303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23161</v>
      </c>
      <c r="C17" s="90"/>
      <c r="D17" s="90">
        <f t="shared" si="0"/>
        <v>-23161</v>
      </c>
      <c r="E17" s="275"/>
      <c r="F17" s="273"/>
      <c r="G17" s="557"/>
    </row>
    <row r="18" spans="1:7" x14ac:dyDescent="0.25">
      <c r="A18" s="87">
        <v>500657</v>
      </c>
      <c r="B18" s="88">
        <v>13215</v>
      </c>
      <c r="C18" s="88">
        <v>12000</v>
      </c>
      <c r="D18" s="94">
        <f t="shared" si="0"/>
        <v>-1215</v>
      </c>
      <c r="E18" s="275"/>
      <c r="F18" s="465"/>
    </row>
    <row r="19" spans="1:7" x14ac:dyDescent="0.25">
      <c r="A19" s="87"/>
      <c r="B19" s="88"/>
      <c r="C19" s="88"/>
      <c r="D19" s="88">
        <f>SUM(D5:D18)</f>
        <v>41827</v>
      </c>
      <c r="E19" s="277"/>
      <c r="F19" s="465"/>
    </row>
    <row r="20" spans="1:7" x14ac:dyDescent="0.25">
      <c r="A20" s="87" t="s">
        <v>81</v>
      </c>
      <c r="B20" s="88"/>
      <c r="C20" s="88"/>
      <c r="D20" s="95">
        <f>+summary!G5</f>
        <v>2.37</v>
      </c>
      <c r="E20" s="207"/>
      <c r="F20" s="465"/>
    </row>
    <row r="21" spans="1:7" x14ac:dyDescent="0.25">
      <c r="A21" s="87"/>
      <c r="B21" s="88"/>
      <c r="C21" s="88"/>
      <c r="D21" s="96">
        <f>+D20*D19</f>
        <v>99129.99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6"/>
    </row>
    <row r="23" spans="1:7" x14ac:dyDescent="0.25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5">
      <c r="A24" s="87"/>
      <c r="B24" s="88"/>
      <c r="C24" s="88"/>
      <c r="D24" s="308"/>
      <c r="E24" s="207"/>
      <c r="F24" s="466"/>
    </row>
    <row r="25" spans="1:7" ht="13.8" thickBot="1" x14ac:dyDescent="0.3">
      <c r="A25" s="99">
        <v>37318</v>
      </c>
      <c r="B25" s="88"/>
      <c r="C25" s="88"/>
      <c r="D25" s="318">
        <f>+D23+D21</f>
        <v>194082.05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+A23</f>
        <v>37315</v>
      </c>
      <c r="B29" s="32"/>
      <c r="C29" s="32"/>
      <c r="D29" s="567">
        <v>57851</v>
      </c>
    </row>
    <row r="30" spans="1:7" x14ac:dyDescent="0.25">
      <c r="A30" s="49">
        <f>+A25</f>
        <v>37318</v>
      </c>
      <c r="B30" s="32"/>
      <c r="C30" s="32"/>
      <c r="D30" s="349">
        <f>+D19</f>
        <v>41827</v>
      </c>
    </row>
    <row r="31" spans="1:7" x14ac:dyDescent="0.25">
      <c r="A31" s="32"/>
      <c r="B31" s="32"/>
      <c r="C31" s="32"/>
      <c r="D31" s="14">
        <f>+D30+D29</f>
        <v>99678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1.947090130219306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24089</v>
      </c>
      <c r="C7" s="11">
        <v>22355</v>
      </c>
      <c r="D7" s="11">
        <v>25906</v>
      </c>
      <c r="E7" s="11">
        <v>26998</v>
      </c>
      <c r="F7" s="25">
        <f t="shared" si="2"/>
        <v>-642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104548</v>
      </c>
      <c r="C35" s="11">
        <f>SUM(C4:C34)</f>
        <v>92523</v>
      </c>
      <c r="D35" s="11">
        <f>SUM(D4:D34)</f>
        <v>97812</v>
      </c>
      <c r="E35" s="11">
        <f>SUM(E4:E34)</f>
        <v>109998</v>
      </c>
      <c r="F35" s="11">
        <f>+E35-D35+C35-B35</f>
        <v>161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2.35</v>
      </c>
    </row>
    <row r="38" spans="1:7" x14ac:dyDescent="0.2">
      <c r="C38" s="48"/>
      <c r="D38" s="47"/>
      <c r="E38" s="48"/>
      <c r="F38" s="46">
        <f>+F37*F35</f>
        <v>378.35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37319</v>
      </c>
      <c r="C41" s="106"/>
      <c r="D41" s="106"/>
      <c r="E41" s="106"/>
      <c r="F41" s="106">
        <f>+F38+F40</f>
        <v>494547.94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37319</v>
      </c>
      <c r="D47" s="349">
        <f>+F35</f>
        <v>161</v>
      </c>
      <c r="E47" s="11"/>
      <c r="F47" s="11"/>
      <c r="G47" s="25"/>
    </row>
    <row r="48" spans="1:7" x14ac:dyDescent="0.2">
      <c r="D48" s="14">
        <f>+D47+D46</f>
        <v>34059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644089</v>
      </c>
      <c r="C36" s="11">
        <f>SUM(C5:C35)</f>
        <v>671840</v>
      </c>
      <c r="D36" s="11">
        <f>SUM(D5:D35)</f>
        <v>0</v>
      </c>
      <c r="E36" s="11">
        <f>SUM(E5:E35)</f>
        <v>-24395</v>
      </c>
      <c r="F36" s="11">
        <f>SUM(F5:F35)</f>
        <v>3356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37319</v>
      </c>
      <c r="F41" s="332">
        <f>+F39+F36</f>
        <v>-12783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37319</v>
      </c>
      <c r="C48" s="32"/>
      <c r="D48" s="32"/>
      <c r="E48" s="374">
        <f>+F36*'by type_area'!G3</f>
        <v>7819.4800000000005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-485946.52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360556</v>
      </c>
      <c r="C39" s="11">
        <f>SUM(C8:C38)</f>
        <v>359952</v>
      </c>
      <c r="D39" s="11">
        <f>SUM(D8:D38)</f>
        <v>-604</v>
      </c>
      <c r="E39" s="10"/>
      <c r="F39" s="11"/>
      <c r="G39" s="11"/>
      <c r="H39" s="11"/>
    </row>
    <row r="40" spans="1:8" x14ac:dyDescent="0.25">
      <c r="A40" s="26"/>
      <c r="D40" s="75">
        <f>+summary!G4</f>
        <v>2.35</v>
      </c>
      <c r="E40" s="26"/>
      <c r="H40" s="75"/>
    </row>
    <row r="41" spans="1:8" x14ac:dyDescent="0.25">
      <c r="D41" s="195">
        <f>+D40*D39</f>
        <v>-1419.4</v>
      </c>
      <c r="F41" s="247"/>
      <c r="H41" s="195"/>
    </row>
    <row r="42" spans="1:8" x14ac:dyDescent="0.25">
      <c r="A42" s="57">
        <v>37315</v>
      </c>
      <c r="D42" s="596">
        <v>21543</v>
      </c>
      <c r="E42" s="57"/>
      <c r="H42" s="195"/>
    </row>
    <row r="43" spans="1:8" x14ac:dyDescent="0.25">
      <c r="A43" s="57">
        <v>37319</v>
      </c>
      <c r="D43" s="196">
        <f>+D42+D41</f>
        <v>20123.599999999999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591">
        <v>-45540</v>
      </c>
    </row>
    <row r="49" spans="1:4" x14ac:dyDescent="0.25">
      <c r="A49" s="49">
        <f>+A43</f>
        <v>37319</v>
      </c>
      <c r="B49" s="32"/>
      <c r="C49" s="32"/>
      <c r="D49" s="349">
        <f>+D39</f>
        <v>-604</v>
      </c>
    </row>
    <row r="50" spans="1:4" x14ac:dyDescent="0.25">
      <c r="A50" s="32"/>
      <c r="B50" s="32"/>
      <c r="C50" s="32"/>
      <c r="D50" s="14">
        <f>+D49+D48</f>
        <v>-46144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8" workbookViewId="0">
      <selection activeCell="B62" sqref="B62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248</v>
      </c>
      <c r="J6" s="15"/>
    </row>
    <row r="7" spans="1:14" x14ac:dyDescent="0.25">
      <c r="A7" s="57">
        <v>37318</v>
      </c>
      <c r="I7" s="3" t="s">
        <v>254</v>
      </c>
      <c r="J7" s="15"/>
    </row>
    <row r="8" spans="1:14" x14ac:dyDescent="0.25">
      <c r="A8" s="248">
        <v>50895</v>
      </c>
      <c r="B8" s="339">
        <f>596-586</f>
        <v>10</v>
      </c>
      <c r="J8" s="15"/>
    </row>
    <row r="9" spans="1:14" x14ac:dyDescent="0.25">
      <c r="A9" s="248">
        <v>60874</v>
      </c>
      <c r="B9" s="339">
        <v>290</v>
      </c>
      <c r="J9" s="15"/>
    </row>
    <row r="10" spans="1:14" x14ac:dyDescent="0.25">
      <c r="A10" s="248">
        <v>78169</v>
      </c>
      <c r="B10" s="339">
        <f>47493-16698-16186-16203</f>
        <v>-1594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1252-970</f>
        <v>282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358-223</f>
        <v>135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1490-1069</f>
        <v>421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159673-152471</f>
        <v>7202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6745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2.37</v>
      </c>
      <c r="C19" s="199">
        <f>+B19*B18</f>
        <v>15985.650000000001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1510039.17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2.35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5">
      <c r="E39" s="49">
        <f>+A7</f>
        <v>37318</v>
      </c>
      <c r="F39" s="349">
        <f>+B18</f>
        <v>6745</v>
      </c>
      <c r="G39" s="349">
        <f>+B31</f>
        <v>0</v>
      </c>
      <c r="H39" s="349">
        <f>+B46</f>
        <v>279</v>
      </c>
      <c r="I39" s="14"/>
    </row>
    <row r="40" spans="1:9" x14ac:dyDescent="0.25">
      <c r="A40" s="49">
        <v>37315</v>
      </c>
      <c r="C40" s="602">
        <v>863787.94</v>
      </c>
      <c r="F40" s="14">
        <f>+F39+F38</f>
        <v>367736</v>
      </c>
      <c r="G40" s="14">
        <f>+G39+G38</f>
        <v>117857</v>
      </c>
      <c r="H40" s="14">
        <f>+H39+H38</f>
        <v>197446</v>
      </c>
      <c r="I40" s="14">
        <f>+H40+G40+F40</f>
        <v>683039</v>
      </c>
    </row>
    <row r="41" spans="1:9" x14ac:dyDescent="0.25">
      <c r="G41" s="32"/>
      <c r="H41" s="15"/>
      <c r="I41" s="32"/>
    </row>
    <row r="42" spans="1:9" x14ac:dyDescent="0.25">
      <c r="A42" s="245">
        <v>37318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80"/>
      <c r="I44" s="14"/>
    </row>
    <row r="45" spans="1:9" x14ac:dyDescent="0.25">
      <c r="A45" s="32">
        <v>500392</v>
      </c>
      <c r="B45" s="250">
        <v>279</v>
      </c>
      <c r="G45" s="32"/>
      <c r="H45" s="380"/>
      <c r="I45" s="14"/>
    </row>
    <row r="46" spans="1:9" x14ac:dyDescent="0.25">
      <c r="B46" s="14">
        <f>SUM(B43:B45)</f>
        <v>279</v>
      </c>
      <c r="G46" s="32"/>
      <c r="H46" s="380"/>
      <c r="I46" s="14"/>
    </row>
    <row r="47" spans="1:9" x14ac:dyDescent="0.25">
      <c r="B47" s="199">
        <f>+summary!G5</f>
        <v>2.37</v>
      </c>
      <c r="C47" s="199">
        <f>+B47*B46</f>
        <v>661.23</v>
      </c>
      <c r="H47" s="380"/>
      <c r="I47" s="14"/>
    </row>
    <row r="48" spans="1:9" x14ac:dyDescent="0.25">
      <c r="C48" s="321">
        <f>+C47+C40</f>
        <v>864449.16999999993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2746859.4899999998</v>
      </c>
      <c r="I57" s="14">
        <f>SUM(I40:I54)</f>
        <v>738372</v>
      </c>
    </row>
    <row r="61" spans="1:9" x14ac:dyDescent="0.25">
      <c r="C61" s="15">
        <f>+DEFS!F49</f>
        <v>-2859007.58</v>
      </c>
    </row>
    <row r="62" spans="1:9" x14ac:dyDescent="0.25">
      <c r="C62" s="15">
        <f>+C61+C57</f>
        <v>-112148.09000000032</v>
      </c>
      <c r="I62" s="31">
        <f>+I57+DEFS!K49</f>
        <v>274952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1510039.17</v>
      </c>
      <c r="C72" s="14">
        <f>+F40</f>
        <v>367736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864449.16999999993</v>
      </c>
      <c r="C74" s="14">
        <f>+H40</f>
        <v>197446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-651251.43999999994</v>
      </c>
      <c r="C78" s="14">
        <f>+DEFS!J36</f>
        <v>-166251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-112148.09000000008</v>
      </c>
      <c r="C83" s="16">
        <f>SUM(C72:C82)</f>
        <v>274952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E53" sqref="E53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34705</v>
      </c>
      <c r="E4" s="11">
        <v>34133</v>
      </c>
      <c r="F4" s="11">
        <f>+E4+C4-D4-B4</f>
        <v>-572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34620</v>
      </c>
      <c r="E5" s="11">
        <v>34133</v>
      </c>
      <c r="F5" s="11">
        <f t="shared" ref="F5:F34" si="0">+E5+C5-D5-B5</f>
        <v>-487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34786</v>
      </c>
      <c r="E6" s="11">
        <v>34133</v>
      </c>
      <c r="F6" s="11">
        <f t="shared" si="0"/>
        <v>-653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104111</v>
      </c>
      <c r="E35" s="11">
        <f>SUM(E4:E34)</f>
        <v>102399</v>
      </c>
      <c r="F35" s="11">
        <f>SUM(F4:F34)</f>
        <v>-1712</v>
      </c>
      <c r="G35" s="11"/>
      <c r="H35" s="49">
        <f>+A40</f>
        <v>37318</v>
      </c>
      <c r="I35" s="349">
        <f>+C36</f>
        <v>0</v>
      </c>
      <c r="J35" s="349">
        <f>+E36</f>
        <v>-1712</v>
      </c>
      <c r="K35" s="206"/>
      <c r="L35" s="14"/>
    </row>
    <row r="36" spans="1:13" x14ac:dyDescent="0.25">
      <c r="C36" s="25">
        <f>+C35-B35</f>
        <v>0</v>
      </c>
      <c r="E36" s="25">
        <f>+E35-D35</f>
        <v>-1712</v>
      </c>
      <c r="F36" s="25">
        <f>+E36+C36</f>
        <v>-1712</v>
      </c>
      <c r="H36" s="32"/>
      <c r="I36" s="14">
        <f>+I35+I34</f>
        <v>-183967</v>
      </c>
      <c r="J36" s="14">
        <f>+J35+J34</f>
        <v>-166251</v>
      </c>
      <c r="K36" s="14">
        <f>+J36+I36</f>
        <v>-350218</v>
      </c>
      <c r="L36" s="14"/>
    </row>
    <row r="37" spans="1:13" x14ac:dyDescent="0.25">
      <c r="C37" s="313">
        <f>+summary!G5</f>
        <v>2.37</v>
      </c>
      <c r="E37" s="104">
        <f>+C37</f>
        <v>2.37</v>
      </c>
      <c r="F37" s="138">
        <f>+F36*E37</f>
        <v>-4057.44</v>
      </c>
    </row>
    <row r="38" spans="1:13" x14ac:dyDescent="0.25">
      <c r="C38" s="138">
        <f>+C37*C36</f>
        <v>0</v>
      </c>
      <c r="E38" s="136">
        <f>+E37*E36</f>
        <v>-4057.44</v>
      </c>
      <c r="F38" s="138">
        <f>+E38+C38</f>
        <v>-4057.44</v>
      </c>
    </row>
    <row r="39" spans="1:13" x14ac:dyDescent="0.25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5">
      <c r="A40" s="57">
        <v>37318</v>
      </c>
      <c r="B40" s="2" t="s">
        <v>45</v>
      </c>
      <c r="C40" s="314">
        <f>+C39+C38</f>
        <v>-1035385.61</v>
      </c>
      <c r="D40" s="252"/>
      <c r="E40" s="314">
        <f>+E39+E38</f>
        <v>-651251.43999999994</v>
      </c>
      <c r="F40" s="314">
        <f>+E40+C40</f>
        <v>-1686637.0499999998</v>
      </c>
      <c r="H40" s="131"/>
    </row>
    <row r="41" spans="1:13" x14ac:dyDescent="0.25">
      <c r="C41" s="329"/>
      <c r="D41" s="246"/>
      <c r="E41" s="246"/>
      <c r="H41" s="31">
        <f>+C39+E39+F45+F46+F47+F48</f>
        <v>-2854950.14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-2859007.58</v>
      </c>
      <c r="G49" s="246"/>
      <c r="K49" s="14">
        <f>SUM(K36:K48)</f>
        <v>-463420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2746859.4899999998</v>
      </c>
      <c r="M51" s="14">
        <f>+Duke!I57</f>
        <v>738372</v>
      </c>
    </row>
    <row r="53" spans="3:13" x14ac:dyDescent="0.25">
      <c r="F53" s="104">
        <f>+F51+F49</f>
        <v>-112148.09000000032</v>
      </c>
      <c r="M53" s="16">
        <f>+M51+K49</f>
        <v>274952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-166251</v>
      </c>
      <c r="C74" s="247">
        <f>+E40</f>
        <v>-651251.43999999994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197446</v>
      </c>
      <c r="C77" s="259">
        <f>+Duke!C48</f>
        <v>864449.16999999993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367736</v>
      </c>
      <c r="C79" s="259">
        <f>+Duke!C20</f>
        <v>1510039.17</v>
      </c>
    </row>
    <row r="81" spans="2:3" x14ac:dyDescent="0.25">
      <c r="B81" s="31">
        <f>SUM(B68:B80)</f>
        <v>274952</v>
      </c>
      <c r="C81" s="259">
        <f>SUM(C68:C80)</f>
        <v>-112148.09000000008</v>
      </c>
    </row>
    <row r="82" spans="2:3" x14ac:dyDescent="0.25">
      <c r="C82">
        <f>+C81/B81</f>
        <v>-0.40788243038784983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E29" sqref="E2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5068</v>
      </c>
      <c r="C8" s="11">
        <v>4944</v>
      </c>
      <c r="D8" s="11"/>
      <c r="E8" s="11"/>
      <c r="F8" s="129">
        <v>824</v>
      </c>
      <c r="G8" s="11">
        <v>901</v>
      </c>
      <c r="H8" s="11">
        <v>1534</v>
      </c>
      <c r="I8" s="11">
        <v>1247</v>
      </c>
      <c r="J8" s="25">
        <f t="shared" ref="J8:J38" si="0">+C8-B8+E8-D8+G8-F8+I8-H8</f>
        <v>-334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4717</v>
      </c>
      <c r="C9" s="11">
        <v>4944</v>
      </c>
      <c r="D9" s="11"/>
      <c r="E9" s="11"/>
      <c r="F9" s="129">
        <v>171</v>
      </c>
      <c r="G9" s="11">
        <v>901</v>
      </c>
      <c r="H9" s="11">
        <v>1460</v>
      </c>
      <c r="I9" s="11">
        <v>1247</v>
      </c>
      <c r="J9" s="25">
        <f t="shared" si="0"/>
        <v>744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4697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1542</v>
      </c>
      <c r="I10" s="11">
        <v>1247</v>
      </c>
      <c r="J10" s="25">
        <f t="shared" si="0"/>
        <v>-213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14482</v>
      </c>
      <c r="C39" s="11">
        <f t="shared" si="1"/>
        <v>14832</v>
      </c>
      <c r="D39" s="11">
        <f t="shared" si="1"/>
        <v>1</v>
      </c>
      <c r="E39" s="11">
        <f t="shared" si="1"/>
        <v>0</v>
      </c>
      <c r="F39" s="129">
        <f t="shared" si="1"/>
        <v>2060</v>
      </c>
      <c r="G39" s="11">
        <f t="shared" si="1"/>
        <v>2703</v>
      </c>
      <c r="H39" s="11">
        <f t="shared" si="1"/>
        <v>4536</v>
      </c>
      <c r="I39" s="11">
        <f t="shared" si="1"/>
        <v>3741</v>
      </c>
      <c r="J39" s="25">
        <f t="shared" si="1"/>
        <v>197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2.35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462.95000000000005</v>
      </c>
      <c r="L41"/>
      <c r="R41" s="138"/>
      <c r="X41" s="138"/>
    </row>
    <row r="42" spans="1:24" x14ac:dyDescent="0.25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37318</v>
      </c>
      <c r="C43" s="48"/>
      <c r="J43" s="138">
        <f>+J42+J41</f>
        <v>318553.95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67">
        <v>124430</v>
      </c>
      <c r="L47"/>
    </row>
    <row r="48" spans="1:24" x14ac:dyDescent="0.25">
      <c r="A48" s="49">
        <f>+A43</f>
        <v>37318</v>
      </c>
      <c r="B48" s="32"/>
      <c r="C48" s="32"/>
      <c r="D48" s="349">
        <f>+J39</f>
        <v>197</v>
      </c>
      <c r="L48"/>
    </row>
    <row r="49" spans="1:12" x14ac:dyDescent="0.25">
      <c r="A49" s="32"/>
      <c r="B49" s="32"/>
      <c r="C49" s="32"/>
      <c r="D49" s="14">
        <f>+D48+D47</f>
        <v>124627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D10" sqref="D10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/>
      <c r="E11" s="410"/>
      <c r="F11" s="30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/>
      <c r="E12" s="410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/>
      <c r="E13" s="410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25</v>
      </c>
      <c r="C39" s="410">
        <f>SUM(C8:C38)</f>
        <v>0</v>
      </c>
      <c r="D39" s="410">
        <f>SUM(D8:D38)</f>
        <v>-7907</v>
      </c>
      <c r="E39" s="410">
        <f>SUM(E8:E38)</f>
        <v>0</v>
      </c>
      <c r="F39" s="410">
        <f>SUM(F8:F38)</f>
        <v>7882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2.35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18522.7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37318</v>
      </c>
      <c r="B43" s="285"/>
      <c r="C43" s="435"/>
      <c r="D43" s="435"/>
      <c r="E43" s="435"/>
      <c r="F43" s="416">
        <f>+F42+F41</f>
        <v>196879.13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5">
        <v>-355979</v>
      </c>
      <c r="E47" s="11"/>
    </row>
    <row r="48" spans="1:26" x14ac:dyDescent="0.25">
      <c r="A48" s="49">
        <f>+A43</f>
        <v>37318</v>
      </c>
      <c r="B48" s="32"/>
      <c r="C48" s="32"/>
      <c r="D48" s="349">
        <f>+F39</f>
        <v>7882</v>
      </c>
      <c r="E48" s="11"/>
    </row>
    <row r="49" spans="1:5" x14ac:dyDescent="0.25">
      <c r="A49" s="32"/>
      <c r="B49" s="32"/>
      <c r="C49" s="32"/>
      <c r="D49" s="14">
        <f>+D48+D47</f>
        <v>-348097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2" sqref="H2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2.33</v>
      </c>
      <c r="J3" s="373">
        <f ca="1">NOW()</f>
        <v>37320.742184953706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2.35</v>
      </c>
      <c r="H4" s="551"/>
      <c r="I4" s="617"/>
    </row>
    <row r="5" spans="1:33" ht="15" customHeight="1" x14ac:dyDescent="0.25">
      <c r="B5" s="553"/>
      <c r="F5" s="549" t="s">
        <v>117</v>
      </c>
      <c r="G5" s="550">
        <f>+'[3]1001'!$E$39</f>
        <v>2.37</v>
      </c>
      <c r="H5" s="549" t="s">
        <v>314</v>
      </c>
      <c r="I5" s="550">
        <v>2.2999999999999998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819679.11</v>
      </c>
      <c r="C8" s="275">
        <f t="shared" ref="C8:C13" si="0">+B8/$G$4</f>
        <v>348799.62127659575</v>
      </c>
      <c r="D8" s="364">
        <f>+PNM!A23</f>
        <v>37318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494547.94</v>
      </c>
      <c r="C9" s="275">
        <f t="shared" si="0"/>
        <v>210445.93191489362</v>
      </c>
      <c r="D9" s="363">
        <f>+Conoco!A41</f>
        <v>37319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107</v>
      </c>
      <c r="B10" s="614">
        <f>+KN_Westar!F41</f>
        <v>329907.05</v>
      </c>
      <c r="C10" s="275">
        <f t="shared" si="0"/>
        <v>140385.97872340423</v>
      </c>
      <c r="D10" s="364">
        <f>+KN_Westar!A41</f>
        <v>37317</v>
      </c>
      <c r="E10" s="32" t="s">
        <v>85</v>
      </c>
      <c r="F10" s="32" t="s">
        <v>153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318553.95</v>
      </c>
      <c r="C11" s="275">
        <f t="shared" si="0"/>
        <v>135554.87234042553</v>
      </c>
      <c r="D11" s="364">
        <f>+mewborne!A43</f>
        <v>37318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3</v>
      </c>
      <c r="B12" s="614">
        <f>+'Amoco Abo'!$F$43</f>
        <v>196879.13</v>
      </c>
      <c r="C12" s="275">
        <f t="shared" si="0"/>
        <v>83778.353191489354</v>
      </c>
      <c r="D12" s="364">
        <f>+'Amoco Abo'!A43</f>
        <v>37318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442" t="s">
        <v>79</v>
      </c>
      <c r="B13" s="501">
        <f>+Agave!$D$25</f>
        <v>194082.05</v>
      </c>
      <c r="C13" s="462">
        <f t="shared" si="0"/>
        <v>82588.106382978716</v>
      </c>
      <c r="D13" s="461">
        <f>+Agave!A25</f>
        <v>37318</v>
      </c>
      <c r="E13" s="442" t="s">
        <v>85</v>
      </c>
      <c r="F13" s="442" t="s">
        <v>299</v>
      </c>
      <c r="G13" s="442" t="s">
        <v>102</v>
      </c>
      <c r="H13" s="44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5">
        <f>+Dominion!D41</f>
        <v>171615.05</v>
      </c>
      <c r="C14" s="275">
        <f>+B14/$G$5</f>
        <v>72411.413502109703</v>
      </c>
      <c r="D14" s="364">
        <f>+Dominion!A41</f>
        <v>37318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217</v>
      </c>
      <c r="B15" s="345">
        <f>+Amarillo!P41</f>
        <v>143983.23000000001</v>
      </c>
      <c r="C15" s="275">
        <f>+B15/$G$4</f>
        <v>61269.459574468085</v>
      </c>
      <c r="D15" s="364">
        <f>+Amarillo!A41</f>
        <v>37318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23</v>
      </c>
      <c r="B16" s="345">
        <f>+C16*$G$3</f>
        <v>140079.6</v>
      </c>
      <c r="C16" s="347">
        <f>+'Red C'!$F$45</f>
        <v>60120</v>
      </c>
      <c r="D16" s="363">
        <f>+'Red C'!A45</f>
        <v>37319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88</v>
      </c>
      <c r="B17" s="345">
        <f>+C17*$G$5</f>
        <v>104339.25</v>
      </c>
      <c r="C17" s="275">
        <f>+NGPL!H38</f>
        <v>44025</v>
      </c>
      <c r="D17" s="364">
        <f>+NGPL!A38</f>
        <v>37319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31</v>
      </c>
      <c r="B18" s="345">
        <f>+C18*$G$5</f>
        <v>75780.75</v>
      </c>
      <c r="C18" s="275">
        <f>+Lonestar!F43</f>
        <v>31975</v>
      </c>
      <c r="D18" s="363">
        <f>+Lonestar!A43</f>
        <v>37319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129</v>
      </c>
      <c r="B19" s="345">
        <f>+EPFS!D41</f>
        <v>69345.23</v>
      </c>
      <c r="C19" s="206">
        <f>+B19/$G$5</f>
        <v>29259.590717299576</v>
      </c>
      <c r="D19" s="363">
        <f>+EPFS!A41</f>
        <v>37319</v>
      </c>
      <c r="E19" s="32" t="s">
        <v>85</v>
      </c>
      <c r="F19" s="32" t="s">
        <v>153</v>
      </c>
      <c r="G19" s="32" t="s">
        <v>102</v>
      </c>
      <c r="H19" s="32"/>
      <c r="I19" s="15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305</v>
      </c>
      <c r="B20" s="345">
        <f>+Plains!$N$43</f>
        <v>63241.56</v>
      </c>
      <c r="C20" s="206">
        <f>+B20/$G$4</f>
        <v>26911.302127659572</v>
      </c>
      <c r="D20" s="363">
        <f>+Plains!A43</f>
        <v>37287</v>
      </c>
      <c r="E20" s="204" t="s">
        <v>85</v>
      </c>
      <c r="F20" s="204"/>
      <c r="G20" s="204" t="s">
        <v>100</v>
      </c>
      <c r="H20" s="204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204" t="s">
        <v>28</v>
      </c>
      <c r="B21" s="345">
        <f>+C21*$G$3</f>
        <v>60051.090000000004</v>
      </c>
      <c r="C21" s="275">
        <f>+williams!J40</f>
        <v>25773</v>
      </c>
      <c r="D21" s="363">
        <f>+williams!A40</f>
        <v>37319</v>
      </c>
      <c r="E21" s="204" t="s">
        <v>85</v>
      </c>
      <c r="F21" s="204" t="s">
        <v>153</v>
      </c>
      <c r="G21" s="204" t="s">
        <v>289</v>
      </c>
      <c r="H21" s="616" t="s">
        <v>316</v>
      </c>
      <c r="I21" s="609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109</v>
      </c>
      <c r="B22" s="345">
        <f>+Continental!F43</f>
        <v>51583.199999999997</v>
      </c>
      <c r="C22" s="206">
        <f>+B22/$G$4</f>
        <v>21950.297872340423</v>
      </c>
      <c r="D22" s="363">
        <f>+Continental!A43</f>
        <v>37318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296</v>
      </c>
      <c r="B23" s="345">
        <f>+Stratland!$D$41</f>
        <v>48490.31</v>
      </c>
      <c r="C23" s="275">
        <f>+B23/$G$4</f>
        <v>20634.174468085104</v>
      </c>
      <c r="D23" s="363">
        <f>+Stratland!A41</f>
        <v>37287</v>
      </c>
      <c r="E23" s="32" t="s">
        <v>85</v>
      </c>
      <c r="F23" s="32" t="s">
        <v>298</v>
      </c>
      <c r="G23" s="32" t="s">
        <v>102</v>
      </c>
      <c r="H23" s="32"/>
      <c r="I23" s="204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139</v>
      </c>
      <c r="B24" s="345">
        <f>+'Citizens-Griffith'!D41</f>
        <v>45598.35</v>
      </c>
      <c r="C24" s="275">
        <f>+B24/$G$4</f>
        <v>19403.553191489362</v>
      </c>
      <c r="D24" s="363">
        <f>+'Citizens-Griffith'!A41</f>
        <v>37319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146</v>
      </c>
      <c r="B25" s="345">
        <f>+PGETX!$H$39</f>
        <v>44019.5</v>
      </c>
      <c r="C25" s="275">
        <f>+B25/$G$4</f>
        <v>18731.702127659573</v>
      </c>
      <c r="D25" s="363">
        <f>+PGETX!E39</f>
        <v>37318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204" t="s">
        <v>32</v>
      </c>
      <c r="B26" s="345">
        <f>+C26*$G$4</f>
        <v>42633.700000000004</v>
      </c>
      <c r="C26" s="206">
        <f>+SoCal!F40</f>
        <v>18142</v>
      </c>
      <c r="D26" s="363">
        <f>+SoCal!A40</f>
        <v>37319</v>
      </c>
      <c r="E26" s="204" t="s">
        <v>84</v>
      </c>
      <c r="F26" s="204" t="s">
        <v>152</v>
      </c>
      <c r="G26" s="204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110</v>
      </c>
      <c r="B27" s="345">
        <f>+C27*$G$4</f>
        <v>41329.450000000004</v>
      </c>
      <c r="C27" s="275">
        <f>+CIG!D42</f>
        <v>17587</v>
      </c>
      <c r="D27" s="364">
        <f>+CIG!A42</f>
        <v>37318</v>
      </c>
      <c r="E27" s="204" t="s">
        <v>84</v>
      </c>
      <c r="F27" s="32" t="s">
        <v>153</v>
      </c>
      <c r="G27" s="32" t="s">
        <v>113</v>
      </c>
      <c r="H27" s="609" t="s">
        <v>313</v>
      </c>
      <c r="I27" s="616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87</v>
      </c>
      <c r="B28" s="614">
        <f>+NNG!$D$24</f>
        <v>37806.400000000001</v>
      </c>
      <c r="C28" s="275">
        <f>+B28/$G$4</f>
        <v>16087.829787234043</v>
      </c>
      <c r="D28" s="363">
        <f>+NNG!A24</f>
        <v>37318</v>
      </c>
      <c r="E28" s="204" t="s">
        <v>85</v>
      </c>
      <c r="F28" s="204" t="s">
        <v>298</v>
      </c>
      <c r="G28" s="204" t="s">
        <v>100</v>
      </c>
      <c r="H28" s="204"/>
      <c r="I28" s="613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103</v>
      </c>
      <c r="B29" s="614">
        <f>+EOG!$J$41</f>
        <v>20713.400000000001</v>
      </c>
      <c r="C29" s="275">
        <f>+B29/$G$4</f>
        <v>8814.2127659574471</v>
      </c>
      <c r="D29" s="363">
        <f>+EOG!A41</f>
        <v>37318</v>
      </c>
      <c r="E29" s="32" t="s">
        <v>85</v>
      </c>
      <c r="F29" s="32" t="s">
        <v>298</v>
      </c>
      <c r="G29" s="32" t="s">
        <v>102</v>
      </c>
      <c r="H29" s="32"/>
      <c r="I29" s="24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279</v>
      </c>
      <c r="B30" s="345">
        <f>+'WTG inc'!N43</f>
        <v>20308.5</v>
      </c>
      <c r="C30" s="275">
        <f>+B30/$G$4</f>
        <v>8641.9148936170204</v>
      </c>
      <c r="D30" s="364">
        <f>+'WTG inc'!A43</f>
        <v>37318</v>
      </c>
      <c r="E30" s="32" t="s">
        <v>85</v>
      </c>
      <c r="F30" s="32" t="s">
        <v>152</v>
      </c>
      <c r="G30" s="32" t="s">
        <v>115</v>
      </c>
      <c r="H30" s="204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71</v>
      </c>
      <c r="B31" s="346">
        <f>+transcol!$D$43</f>
        <v>20123.599999999999</v>
      </c>
      <c r="C31" s="347">
        <f>+B31/$G$4</f>
        <v>8563.2340425531911</v>
      </c>
      <c r="D31" s="363">
        <f>+transcol!A43</f>
        <v>37319</v>
      </c>
      <c r="E31" s="204" t="s">
        <v>85</v>
      </c>
      <c r="F31" s="204" t="s">
        <v>152</v>
      </c>
      <c r="G31" s="204" t="s">
        <v>115</v>
      </c>
      <c r="H31" s="204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6</v>
      </c>
      <c r="B32" s="614">
        <f>+Oasis!$D$40</f>
        <v>19342.04</v>
      </c>
      <c r="C32" s="206">
        <f>+B32/$G$5</f>
        <v>8161.1983122362872</v>
      </c>
      <c r="D32" s="364">
        <f>+Oasis!A40</f>
        <v>37319</v>
      </c>
      <c r="E32" s="32" t="s">
        <v>85</v>
      </c>
      <c r="F32" s="32" t="s">
        <v>153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142</v>
      </c>
      <c r="B33" s="346">
        <f>+C33*$G$4</f>
        <v>17366.5</v>
      </c>
      <c r="C33" s="347">
        <f>+PEPL!D41</f>
        <v>7390</v>
      </c>
      <c r="D33" s="363">
        <f>+PEPL!A41</f>
        <v>37319</v>
      </c>
      <c r="E33" s="204" t="s">
        <v>84</v>
      </c>
      <c r="F33" s="204" t="s">
        <v>299</v>
      </c>
      <c r="G33" s="204" t="s">
        <v>100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114</v>
      </c>
      <c r="B34" s="345">
        <f>+C34*$G$4</f>
        <v>14494.800000000001</v>
      </c>
      <c r="C34" s="206">
        <f>+'PG&amp;E'!D40</f>
        <v>6168</v>
      </c>
      <c r="D34" s="364">
        <f>+'PG&amp;E'!A40</f>
        <v>37318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204" t="s">
        <v>33</v>
      </c>
      <c r="B35" s="345">
        <f>+'El Paso'!C39*summary!G4+'El Paso'!E39*summary!G3</f>
        <v>13357.109999999986</v>
      </c>
      <c r="C35" s="275">
        <f>+'El Paso'!H39</f>
        <v>5181</v>
      </c>
      <c r="D35" s="363">
        <f>+'El Paso'!A39</f>
        <v>37319</v>
      </c>
      <c r="E35" s="204" t="s">
        <v>84</v>
      </c>
      <c r="F35" s="204" t="s">
        <v>153</v>
      </c>
      <c r="G35" s="204" t="s">
        <v>100</v>
      </c>
      <c r="H35" s="204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5">
      <c r="A36" s="32" t="s">
        <v>287</v>
      </c>
      <c r="B36" s="345">
        <f>+C36*$G$3</f>
        <v>8294.8000000000011</v>
      </c>
      <c r="C36" s="275">
        <f>+Amoco!D40</f>
        <v>3560</v>
      </c>
      <c r="D36" s="364">
        <f>+Amoco!A40</f>
        <v>37318</v>
      </c>
      <c r="E36" s="32" t="s">
        <v>84</v>
      </c>
      <c r="F36" s="32" t="s">
        <v>152</v>
      </c>
      <c r="G36" s="32" t="s">
        <v>115</v>
      </c>
      <c r="H36" s="204"/>
      <c r="I36" s="204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5">
      <c r="A37" s="32" t="s">
        <v>131</v>
      </c>
      <c r="B37" s="614">
        <f>+SidR!D41</f>
        <v>4582.95</v>
      </c>
      <c r="C37" s="275">
        <f>+B37/$G$5</f>
        <v>1933.7341772151897</v>
      </c>
      <c r="D37" s="364">
        <f>+SidR!A41</f>
        <v>37318</v>
      </c>
      <c r="E37" s="32" t="s">
        <v>85</v>
      </c>
      <c r="F37" s="32" t="s">
        <v>151</v>
      </c>
      <c r="G37" s="32" t="s">
        <v>102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5">
      <c r="A38" s="32" t="s">
        <v>209</v>
      </c>
      <c r="B38" s="345">
        <f>+Devon!D41</f>
        <v>3949.4700000000003</v>
      </c>
      <c r="C38" s="275">
        <f>+B38/$G$5</f>
        <v>1666.4430379746836</v>
      </c>
      <c r="D38" s="364">
        <f>+Devon!A41</f>
        <v>37318</v>
      </c>
      <c r="E38" s="32" t="s">
        <v>85</v>
      </c>
      <c r="F38" s="32" t="s">
        <v>299</v>
      </c>
      <c r="G38" s="32" t="s">
        <v>99</v>
      </c>
      <c r="H38" s="609" t="s">
        <v>310</v>
      </c>
      <c r="I38" s="616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s="554" customFormat="1" ht="13.5" customHeight="1" x14ac:dyDescent="0.25">
      <c r="A39" s="32" t="s">
        <v>94</v>
      </c>
      <c r="B39" s="348">
        <f>+C39*$I$5</f>
        <v>1129.3</v>
      </c>
      <c r="C39" s="71">
        <f>+Mojave!D40</f>
        <v>491</v>
      </c>
      <c r="D39" s="364">
        <f>+Mojave!A40</f>
        <v>37319</v>
      </c>
      <c r="E39" s="32" t="s">
        <v>85</v>
      </c>
      <c r="F39" s="32" t="s">
        <v>153</v>
      </c>
      <c r="G39" s="32" t="s">
        <v>100</v>
      </c>
      <c r="H39" s="609" t="s">
        <v>315</v>
      </c>
      <c r="I39" s="609"/>
      <c r="J39" s="204"/>
      <c r="K39" s="204"/>
      <c r="L39" s="204"/>
      <c r="M39" s="204"/>
      <c r="N39" s="469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8" customHeight="1" x14ac:dyDescent="0.25">
      <c r="A40" s="32" t="s">
        <v>96</v>
      </c>
      <c r="B40" s="47">
        <f>SUM(B8:B39)</f>
        <v>3637208.37</v>
      </c>
      <c r="C40" s="69">
        <f>SUM(C8:C39)</f>
        <v>1546404.9244276863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204" t="s">
        <v>135</v>
      </c>
      <c r="B43" s="345">
        <f>+Citizens!D18</f>
        <v>-575776.91</v>
      </c>
      <c r="C43" s="206">
        <f>+B43/$G$4</f>
        <v>-245011.45106382979</v>
      </c>
      <c r="D43" s="363">
        <f>+Citizens!A18</f>
        <v>37318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5">
        <f>+'NS Steel'!D41</f>
        <v>-253606.95</v>
      </c>
      <c r="C44" s="206">
        <f>+B44/$G$4</f>
        <v>-107917.85106382979</v>
      </c>
      <c r="D44" s="364">
        <f>+'NS Steel'!A41</f>
        <v>37319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256</v>
      </c>
      <c r="B45" s="345">
        <f>+MiVida_Rich!D41</f>
        <v>-192285.66</v>
      </c>
      <c r="C45" s="206">
        <f>+B45/$G$5</f>
        <v>-81133.189873417723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32" t="s">
        <v>215</v>
      </c>
      <c r="B46" s="345">
        <f>+crosstex!F41</f>
        <v>-123275.45999999999</v>
      </c>
      <c r="C46" s="206">
        <f>+B46/$G$4</f>
        <v>-52457.642553191487</v>
      </c>
      <c r="D46" s="364">
        <f>+crosstex!A41</f>
        <v>37318</v>
      </c>
      <c r="E46" s="32" t="s">
        <v>85</v>
      </c>
      <c r="F46" s="32" t="s">
        <v>151</v>
      </c>
      <c r="G46" s="32" t="s">
        <v>100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5">
      <c r="A47" s="204" t="s">
        <v>309</v>
      </c>
      <c r="B47" s="346">
        <f>+Duke!B83</f>
        <v>-112148.09000000008</v>
      </c>
      <c r="C47" s="347">
        <f>+B47/$G$5</f>
        <v>-47319.86919831227</v>
      </c>
      <c r="D47" s="363">
        <f>+DEFS!A40</f>
        <v>37318</v>
      </c>
      <c r="E47" s="204" t="s">
        <v>85</v>
      </c>
      <c r="F47" s="32" t="s">
        <v>152</v>
      </c>
      <c r="G47" s="32" t="s">
        <v>100</v>
      </c>
      <c r="H47" s="32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32" t="s">
        <v>1</v>
      </c>
      <c r="B48" s="345">
        <f>+C48*$G$3</f>
        <v>-29784.39</v>
      </c>
      <c r="C48" s="206">
        <f>+NW!$F$41</f>
        <v>-12783</v>
      </c>
      <c r="D48" s="363">
        <f>+NW!B41</f>
        <v>37319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5">
      <c r="A49" s="204" t="s">
        <v>127</v>
      </c>
      <c r="B49" s="345">
        <f>+Calpine!D41</f>
        <v>-23238.400000000001</v>
      </c>
      <c r="C49" s="206">
        <f>+B49/$G$4</f>
        <v>-9888.6808510638293</v>
      </c>
      <c r="D49" s="363">
        <f>+Calpine!A41</f>
        <v>37319</v>
      </c>
      <c r="E49" s="204" t="s">
        <v>85</v>
      </c>
      <c r="F49" s="204" t="s">
        <v>152</v>
      </c>
      <c r="G49" s="204" t="s">
        <v>99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5">
      <c r="A50" s="204" t="s">
        <v>203</v>
      </c>
      <c r="B50" s="346">
        <f>+WTGmktg!J43</f>
        <v>-22221.9</v>
      </c>
      <c r="C50" s="206">
        <f>+B50/$G$4</f>
        <v>-9456.1276595744675</v>
      </c>
      <c r="D50" s="363">
        <f>+WTGmktg!A43</f>
        <v>37318</v>
      </c>
      <c r="E50" s="32" t="s">
        <v>85</v>
      </c>
      <c r="F50" s="204" t="s">
        <v>152</v>
      </c>
      <c r="G50" s="204" t="s">
        <v>115</v>
      </c>
      <c r="H50" s="204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5">
      <c r="A51" s="204" t="s">
        <v>95</v>
      </c>
      <c r="B51" s="345">
        <f>+burlington!D42</f>
        <v>-16533.63</v>
      </c>
      <c r="C51" s="275">
        <f>+B51/$G$3</f>
        <v>-7095.9785407725321</v>
      </c>
      <c r="D51" s="363">
        <f>+burlington!A42</f>
        <v>37319</v>
      </c>
      <c r="E51" s="204" t="s">
        <v>85</v>
      </c>
      <c r="F51" s="32" t="s">
        <v>153</v>
      </c>
      <c r="G51" s="32" t="s">
        <v>113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5">
      <c r="A52" s="32" t="s">
        <v>276</v>
      </c>
      <c r="B52" s="348">
        <f>+SWGasTrans!$D$41</f>
        <v>-9555.6</v>
      </c>
      <c r="C52" s="71">
        <f>+B52/$G$4</f>
        <v>-4066.2127659574467</v>
      </c>
      <c r="D52" s="363">
        <f>+SWGasTrans!A41</f>
        <v>37318</v>
      </c>
      <c r="E52" s="32" t="s">
        <v>85</v>
      </c>
      <c r="F52" s="32" t="s">
        <v>152</v>
      </c>
      <c r="G52" s="32" t="s">
        <v>99</v>
      </c>
      <c r="H52" s="32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5">
      <c r="A53" s="32" t="s">
        <v>97</v>
      </c>
      <c r="B53" s="387">
        <f>SUM(B43:B52)</f>
        <v>-1358426.99</v>
      </c>
      <c r="C53" s="393">
        <f>SUM(C43:C52)</f>
        <v>-577130.00356994942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+B53+B40</f>
        <v>2278781.38</v>
      </c>
      <c r="C55" s="354">
        <f>+C53+C40</f>
        <v>969274.92085773684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B9" sqref="B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-48751</v>
      </c>
      <c r="C6" s="80"/>
      <c r="D6" s="80">
        <f t="shared" ref="D6:D14" si="0">+C6-B6</f>
        <v>48751</v>
      </c>
    </row>
    <row r="7" spans="1:4" x14ac:dyDescent="0.2">
      <c r="A7" s="32">
        <v>3531</v>
      </c>
      <c r="B7" s="309">
        <v>-90938</v>
      </c>
      <c r="C7" s="80">
        <v>-33990</v>
      </c>
      <c r="D7" s="80">
        <f t="shared" si="0"/>
        <v>56948</v>
      </c>
    </row>
    <row r="8" spans="1:4" x14ac:dyDescent="0.2">
      <c r="A8" s="32">
        <v>60667</v>
      </c>
      <c r="B8" s="309">
        <v>-160744</v>
      </c>
      <c r="C8" s="80">
        <v>-304626</v>
      </c>
      <c r="D8" s="80">
        <f t="shared" si="0"/>
        <v>-143882</v>
      </c>
    </row>
    <row r="9" spans="1:4" x14ac:dyDescent="0.2">
      <c r="A9" s="32">
        <v>60749</v>
      </c>
      <c r="B9" s="309"/>
      <c r="C9" s="80">
        <v>40006</v>
      </c>
      <c r="D9" s="80">
        <f t="shared" si="0"/>
        <v>40006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</v>
      </c>
      <c r="C11" s="80"/>
      <c r="D11" s="80">
        <f t="shared" si="0"/>
        <v>1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1824</v>
      </c>
    </row>
    <row r="19" spans="1:5" x14ac:dyDescent="0.2">
      <c r="A19" s="32" t="s">
        <v>81</v>
      </c>
      <c r="B19" s="69"/>
      <c r="C19" s="69"/>
      <c r="D19" s="73">
        <f>+summary!G4</f>
        <v>2.35</v>
      </c>
    </row>
    <row r="20" spans="1:5" x14ac:dyDescent="0.2">
      <c r="B20" s="69"/>
      <c r="C20" s="69"/>
      <c r="D20" s="75">
        <f>+D19*D18</f>
        <v>4286.4000000000005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37318</v>
      </c>
      <c r="B24" s="69"/>
      <c r="C24" s="69"/>
      <c r="D24" s="331">
        <f>+D22+D20</f>
        <v>37806.400000000001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37318</v>
      </c>
      <c r="D33" s="349">
        <f>+D18</f>
        <v>1824</v>
      </c>
    </row>
    <row r="34" spans="1:4" x14ac:dyDescent="0.2">
      <c r="D34" s="14">
        <f>+D33+D32</f>
        <v>17082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3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-21760</v>
      </c>
      <c r="C5" s="90">
        <v>-14616</v>
      </c>
      <c r="D5" s="90">
        <f t="shared" ref="D5:D13" si="0">+C5-B5</f>
        <v>7144</v>
      </c>
      <c r="E5" s="69"/>
      <c r="F5" s="201"/>
    </row>
    <row r="6" spans="1:11" x14ac:dyDescent="0.25">
      <c r="A6" s="87">
        <v>9238</v>
      </c>
      <c r="B6" s="90">
        <v>-2175</v>
      </c>
      <c r="C6" s="90">
        <v>-3000</v>
      </c>
      <c r="D6" s="90">
        <f t="shared" si="0"/>
        <v>-825</v>
      </c>
      <c r="E6" s="275"/>
      <c r="F6" s="201"/>
      <c r="K6" s="65"/>
    </row>
    <row r="7" spans="1:11" x14ac:dyDescent="0.25">
      <c r="A7" s="87">
        <v>56422</v>
      </c>
      <c r="B7" s="90">
        <v>-279669</v>
      </c>
      <c r="C7" s="90">
        <v>-267995</v>
      </c>
      <c r="D7" s="90">
        <f t="shared" si="0"/>
        <v>11674</v>
      </c>
      <c r="E7" s="275"/>
      <c r="F7" s="201"/>
    </row>
    <row r="8" spans="1:11" x14ac:dyDescent="0.25">
      <c r="A8" s="87">
        <v>58710</v>
      </c>
      <c r="B8" s="90"/>
      <c r="C8" s="90">
        <v>-204</v>
      </c>
      <c r="D8" s="90">
        <f t="shared" si="0"/>
        <v>-204</v>
      </c>
      <c r="E8" s="275"/>
      <c r="F8" s="201"/>
    </row>
    <row r="9" spans="1:11" x14ac:dyDescent="0.25">
      <c r="A9" s="87">
        <v>60921</v>
      </c>
      <c r="B9" s="90">
        <v>-253136</v>
      </c>
      <c r="C9" s="90">
        <v>-277604</v>
      </c>
      <c r="D9" s="90">
        <f t="shared" si="0"/>
        <v>-24468</v>
      </c>
      <c r="E9" s="275"/>
      <c r="F9" s="201"/>
    </row>
    <row r="10" spans="1:11" x14ac:dyDescent="0.25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5">
      <c r="A11" s="87">
        <v>500084</v>
      </c>
      <c r="B11" s="90">
        <v>-7026</v>
      </c>
      <c r="C11" s="90">
        <v>-3000</v>
      </c>
      <c r="D11" s="90">
        <f t="shared" si="0"/>
        <v>4026</v>
      </c>
      <c r="E11" s="276"/>
      <c r="F11" s="465"/>
    </row>
    <row r="12" spans="1:11" x14ac:dyDescent="0.25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5">
      <c r="A13" s="87">
        <v>500097</v>
      </c>
      <c r="B13" s="90">
        <v>-6387</v>
      </c>
      <c r="C13" s="90">
        <v>-8000</v>
      </c>
      <c r="D13" s="90">
        <f t="shared" si="0"/>
        <v>-1613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-4266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2.35</v>
      </c>
      <c r="E18" s="277"/>
      <c r="F18" s="465"/>
    </row>
    <row r="19" spans="1:7" x14ac:dyDescent="0.25">
      <c r="A19" s="87"/>
      <c r="B19" s="88"/>
      <c r="C19" s="88"/>
      <c r="D19" s="96">
        <f>+D18*D17</f>
        <v>-10025.1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37318</v>
      </c>
      <c r="B23" s="88"/>
      <c r="C23" s="88"/>
      <c r="D23" s="318">
        <f>+D21+D19</f>
        <v>819679.11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485">
        <v>337548</v>
      </c>
    </row>
    <row r="29" spans="1:7" x14ac:dyDescent="0.25">
      <c r="A29" s="49">
        <f>+A23</f>
        <v>37318</v>
      </c>
      <c r="B29" s="32"/>
      <c r="C29" s="32"/>
      <c r="D29" s="349">
        <f>+D17</f>
        <v>-4266</v>
      </c>
    </row>
    <row r="30" spans="1:7" x14ac:dyDescent="0.25">
      <c r="A30" s="32"/>
      <c r="B30" s="32"/>
      <c r="C30" s="32"/>
      <c r="D30" s="14">
        <f>+D29+D28</f>
        <v>333282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2.4594160800763318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/>
      <c r="C7" s="90"/>
      <c r="D7" s="90"/>
      <c r="E7" s="90"/>
      <c r="F7" s="90"/>
      <c r="G7" s="90"/>
      <c r="H7" s="90">
        <f t="shared" si="0"/>
        <v>0</v>
      </c>
    </row>
    <row r="8" spans="1:26" x14ac:dyDescent="0.25">
      <c r="A8">
        <v>6</v>
      </c>
      <c r="B8" s="90"/>
      <c r="C8" s="90"/>
      <c r="D8" s="90"/>
      <c r="E8" s="90"/>
      <c r="F8" s="90"/>
      <c r="G8" s="90"/>
      <c r="H8" s="90">
        <f t="shared" si="0"/>
        <v>0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/>
      <c r="C9" s="90"/>
      <c r="D9" s="90"/>
      <c r="E9" s="90"/>
      <c r="F9" s="90"/>
      <c r="G9" s="90"/>
      <c r="H9" s="90">
        <f t="shared" si="0"/>
        <v>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146563</v>
      </c>
      <c r="C34" s="287">
        <f t="shared" si="2"/>
        <v>146444</v>
      </c>
      <c r="D34" s="14">
        <f t="shared" si="2"/>
        <v>-62566</v>
      </c>
      <c r="E34" s="14">
        <f t="shared" si="2"/>
        <v>-64614</v>
      </c>
      <c r="F34" s="14">
        <f t="shared" si="2"/>
        <v>109357</v>
      </c>
      <c r="G34" s="14">
        <f t="shared" si="2"/>
        <v>109928</v>
      </c>
      <c r="H34" s="14">
        <f t="shared" si="2"/>
        <v>-1596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5">
      <c r="A38" s="542">
        <v>37319</v>
      </c>
      <c r="B38" s="14"/>
      <c r="C38" s="14"/>
      <c r="D38" s="14"/>
      <c r="E38" s="14"/>
      <c r="F38" s="14"/>
      <c r="G38" s="14"/>
      <c r="H38" s="150">
        <f>+H37+H34</f>
        <v>44025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37319</v>
      </c>
      <c r="B44" s="32"/>
      <c r="C44" s="32"/>
      <c r="D44" s="374">
        <f>+H34*'by type_area'!G4</f>
        <v>-3750.6000000000004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142444.4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8" sqref="C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-79997</v>
      </c>
      <c r="C35" s="11">
        <f>SUM(C4:C34)</f>
        <v>-79506</v>
      </c>
      <c r="D35" s="11">
        <f>SUM(D4:D34)</f>
        <v>491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8">
        <v>0</v>
      </c>
    </row>
    <row r="39" spans="1:4" x14ac:dyDescent="0.25">
      <c r="A39" s="2"/>
      <c r="D39" s="24"/>
    </row>
    <row r="40" spans="1:4" x14ac:dyDescent="0.25">
      <c r="A40" s="57">
        <v>37319</v>
      </c>
      <c r="D40" s="51">
        <f>+D38+D35</f>
        <v>491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7">
        <v>0</v>
      </c>
    </row>
    <row r="46" spans="1:4" x14ac:dyDescent="0.25">
      <c r="A46" s="49">
        <f>+A40</f>
        <v>37319</v>
      </c>
      <c r="B46" s="32"/>
      <c r="C46" s="32"/>
      <c r="D46" s="374">
        <f>+D35*'by type_area'!G4</f>
        <v>1153.8500000000001</v>
      </c>
    </row>
    <row r="47" spans="1:4" x14ac:dyDescent="0.25">
      <c r="A47" s="32"/>
      <c r="B47" s="32"/>
      <c r="C47" s="32"/>
      <c r="D47" s="200">
        <f>+D46+D45</f>
        <v>1153.8500000000001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7" sqref="B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31530</v>
      </c>
      <c r="C35" s="11">
        <f t="shared" ref="C35:I35" si="1">SUM(C4:C34)</f>
        <v>30000</v>
      </c>
      <c r="D35" s="11">
        <f t="shared" si="1"/>
        <v>22666</v>
      </c>
      <c r="E35" s="11">
        <f t="shared" si="1"/>
        <v>19200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-4996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2.35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-11740.6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37318</v>
      </c>
      <c r="J41" s="319">
        <f>+J39+J37</f>
        <v>20713.400000000001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37318</v>
      </c>
      <c r="B47" s="32"/>
      <c r="C47" s="32"/>
      <c r="D47" s="349">
        <f>+J35</f>
        <v>-4996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-117205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13395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316512.05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329907.05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-43147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-37447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3" sqref="A43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5">
      <c r="A40" s="26"/>
      <c r="C40" s="14"/>
      <c r="F40" s="253">
        <f>+summary!G4</f>
        <v>2.35</v>
      </c>
    </row>
    <row r="41" spans="1:6" x14ac:dyDescent="0.25">
      <c r="F41" s="138">
        <f>+F40*F39</f>
        <v>1908.2</v>
      </c>
    </row>
    <row r="42" spans="1:6" x14ac:dyDescent="0.25">
      <c r="A42" s="57">
        <v>37315</v>
      </c>
      <c r="C42" s="15"/>
      <c r="F42" s="570">
        <v>49675</v>
      </c>
    </row>
    <row r="43" spans="1:6" x14ac:dyDescent="0.25">
      <c r="A43" s="57">
        <v>37318</v>
      </c>
      <c r="C43" s="48"/>
      <c r="F43" s="138">
        <f>+F42+F41</f>
        <v>51583.199999999997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485">
        <v>7844</v>
      </c>
    </row>
    <row r="49" spans="1:4" x14ac:dyDescent="0.25">
      <c r="A49" s="49">
        <f>+A43</f>
        <v>37318</v>
      </c>
      <c r="B49" s="32"/>
      <c r="C49" s="32"/>
      <c r="D49" s="349">
        <f>+F39</f>
        <v>812</v>
      </c>
    </row>
    <row r="50" spans="1:4" x14ac:dyDescent="0.25">
      <c r="A50" s="32"/>
      <c r="B50" s="32"/>
      <c r="C50" s="32"/>
      <c r="D50" s="14">
        <f>+D49+D48</f>
        <v>8656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37315</v>
      </c>
      <c r="C41" s="15"/>
      <c r="D41" s="456">
        <v>17587</v>
      </c>
    </row>
    <row r="42" spans="1:4" x14ac:dyDescent="0.25">
      <c r="A42" s="57">
        <v>37318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9">
        <v>385897</v>
      </c>
    </row>
    <row r="48" spans="1:4" x14ac:dyDescent="0.25">
      <c r="A48" s="49">
        <f>+A42</f>
        <v>37318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A19" sqref="A1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-77724</v>
      </c>
      <c r="C9" s="11">
        <v>-85300</v>
      </c>
      <c r="D9" s="25">
        <f t="shared" si="0"/>
        <v>-7576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-332256</v>
      </c>
      <c r="I19" s="119">
        <f>+C37</f>
        <v>-341200</v>
      </c>
      <c r="J19" s="119">
        <f>+I19-H19</f>
        <v>-8944</v>
      </c>
      <c r="K19" s="411">
        <f>+D38</f>
        <v>2.35</v>
      </c>
      <c r="L19" s="416">
        <f>+K19*J19</f>
        <v>-21018.400000000001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121548</v>
      </c>
      <c r="K24" s="407"/>
      <c r="L24" s="110">
        <f>+L19+L17</f>
        <v>60666.69999999983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25815.617021276521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-332256</v>
      </c>
      <c r="C37" s="11">
        <f>SUM(C6:C36)</f>
        <v>-341200</v>
      </c>
      <c r="D37" s="25">
        <f>SUM(D6:D36)</f>
        <v>-8944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-21018.400000000001</v>
      </c>
    </row>
    <row r="40" spans="1:4" x14ac:dyDescent="0.25">
      <c r="A40" s="57">
        <v>37315</v>
      </c>
      <c r="C40" s="15"/>
      <c r="D40" s="590">
        <v>-2220</v>
      </c>
    </row>
    <row r="41" spans="1:4" x14ac:dyDescent="0.25">
      <c r="A41" s="57">
        <v>37319</v>
      </c>
      <c r="C41" s="48"/>
      <c r="D41" s="138">
        <f>+D40+D39</f>
        <v>-23238.400000000001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94419</v>
      </c>
    </row>
    <row r="46" spans="1:4" x14ac:dyDescent="0.25">
      <c r="A46" s="49">
        <f>+A41</f>
        <v>37319</v>
      </c>
      <c r="B46" s="32"/>
      <c r="C46" s="32"/>
      <c r="D46" s="349">
        <f>+D37</f>
        <v>-8944</v>
      </c>
    </row>
    <row r="47" spans="1:4" x14ac:dyDescent="0.25">
      <c r="A47" s="32"/>
      <c r="B47" s="32"/>
      <c r="C47" s="32"/>
      <c r="D47" s="14">
        <f>+D46+D45</f>
        <v>85475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>
      <selection activeCell="C10" sqref="C10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37433</v>
      </c>
      <c r="C9" s="11">
        <v>35000</v>
      </c>
      <c r="D9" s="25">
        <f t="shared" si="0"/>
        <v>-2433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153321</v>
      </c>
      <c r="C37" s="11">
        <f>SUM(C6:C36)</f>
        <v>140000</v>
      </c>
      <c r="D37" s="25">
        <f>SUM(D6:D36)</f>
        <v>-13321</v>
      </c>
    </row>
    <row r="38" spans="1:4" x14ac:dyDescent="0.25">
      <c r="A38" s="26"/>
      <c r="B38" s="31"/>
      <c r="C38" s="14"/>
      <c r="D38" s="326">
        <f>+summary!G5</f>
        <v>2.37</v>
      </c>
    </row>
    <row r="39" spans="1:4" x14ac:dyDescent="0.25">
      <c r="D39" s="138">
        <f>+D38*D37</f>
        <v>-31570.77</v>
      </c>
    </row>
    <row r="40" spans="1:4" x14ac:dyDescent="0.25">
      <c r="A40" s="57">
        <v>37315</v>
      </c>
      <c r="C40" s="15"/>
      <c r="D40" s="590">
        <v>100916</v>
      </c>
    </row>
    <row r="41" spans="1:4" x14ac:dyDescent="0.25">
      <c r="A41" s="57">
        <v>37319</v>
      </c>
      <c r="C41" s="48"/>
      <c r="D41" s="138">
        <f>+D40+D39</f>
        <v>69345.23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591">
        <v>93375</v>
      </c>
    </row>
    <row r="46" spans="1:4" x14ac:dyDescent="0.25">
      <c r="A46" s="49">
        <f>+A41</f>
        <v>37319</v>
      </c>
      <c r="B46" s="32"/>
      <c r="C46" s="32"/>
      <c r="D46" s="349">
        <f>+D37</f>
        <v>-13321</v>
      </c>
    </row>
    <row r="47" spans="1:4" x14ac:dyDescent="0.25">
      <c r="A47" s="32"/>
      <c r="B47" s="32"/>
      <c r="C47" s="32"/>
      <c r="D47" s="14">
        <f>+D46+D45</f>
        <v>80054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342761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3463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1347877</v>
      </c>
      <c r="C35" s="11">
        <f t="shared" ref="C35:I35" si="3">SUM(C4:C34)</f>
        <v>1305301</v>
      </c>
      <c r="D35" s="11">
        <f t="shared" si="3"/>
        <v>0</v>
      </c>
      <c r="E35" s="11">
        <f t="shared" si="3"/>
        <v>57155</v>
      </c>
      <c r="F35" s="11">
        <f t="shared" si="3"/>
        <v>142609</v>
      </c>
      <c r="G35" s="11">
        <f t="shared" si="3"/>
        <v>146228</v>
      </c>
      <c r="H35" s="11">
        <f t="shared" si="3"/>
        <v>587243</v>
      </c>
      <c r="I35" s="11">
        <f t="shared" si="3"/>
        <v>594818</v>
      </c>
      <c r="J35" s="11">
        <f>SUM(J4:J34)</f>
        <v>25773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37319</v>
      </c>
      <c r="J40" s="51">
        <f>+J38+J35</f>
        <v>25773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37319</v>
      </c>
      <c r="B47" s="32"/>
      <c r="C47" s="32"/>
      <c r="D47" s="374">
        <f>+J35*'by type_area'!G3</f>
        <v>60051.090000000004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144512.09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5">
      <c r="A9" s="10">
        <v>4</v>
      </c>
      <c r="B9" s="11"/>
      <c r="C9" s="11"/>
      <c r="D9" s="25">
        <f t="shared" si="0"/>
        <v>0</v>
      </c>
      <c r="F9" s="558"/>
    </row>
    <row r="10" spans="1:6" x14ac:dyDescent="0.25">
      <c r="A10" s="10">
        <v>5</v>
      </c>
      <c r="B10" s="11"/>
      <c r="C10" s="11"/>
      <c r="D10" s="25">
        <f t="shared" si="0"/>
        <v>0</v>
      </c>
      <c r="F10" s="559"/>
    </row>
    <row r="11" spans="1:6" x14ac:dyDescent="0.25">
      <c r="A11" s="10">
        <v>6</v>
      </c>
      <c r="B11" s="11"/>
      <c r="C11" s="11"/>
      <c r="D11" s="25">
        <f t="shared" si="0"/>
        <v>0</v>
      </c>
      <c r="F11" s="559"/>
    </row>
    <row r="12" spans="1:6" x14ac:dyDescent="0.25">
      <c r="A12" s="10">
        <v>7</v>
      </c>
      <c r="B12" s="11"/>
      <c r="C12" s="11"/>
      <c r="D12" s="25">
        <f t="shared" si="0"/>
        <v>0</v>
      </c>
      <c r="F12" s="559"/>
    </row>
    <row r="13" spans="1:6" x14ac:dyDescent="0.25">
      <c r="A13" s="10">
        <v>8</v>
      </c>
      <c r="B13" s="11"/>
      <c r="C13" s="11"/>
      <c r="D13" s="25">
        <f t="shared" si="0"/>
        <v>0</v>
      </c>
      <c r="F13" s="559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162527</v>
      </c>
      <c r="C37" s="11">
        <f>SUM(C6:C36)</f>
        <v>160662</v>
      </c>
      <c r="D37" s="25">
        <f>SUM(D6:D36)</f>
        <v>-1865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-4420.05</v>
      </c>
    </row>
    <row r="40" spans="1:4" x14ac:dyDescent="0.25">
      <c r="A40" s="57">
        <v>37315</v>
      </c>
      <c r="C40" s="15"/>
      <c r="D40" s="599">
        <v>9003</v>
      </c>
    </row>
    <row r="41" spans="1:4" x14ac:dyDescent="0.25">
      <c r="A41" s="57">
        <v>37318</v>
      </c>
      <c r="C41" s="48"/>
      <c r="D41" s="138">
        <f>+D40+D39</f>
        <v>4582.95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4076</v>
      </c>
    </row>
    <row r="47" spans="1:4" x14ac:dyDescent="0.25">
      <c r="A47" s="49">
        <f>+A41</f>
        <v>37318</v>
      </c>
      <c r="B47" s="32"/>
      <c r="C47" s="32"/>
      <c r="D47" s="349">
        <f>+D37</f>
        <v>-1865</v>
      </c>
    </row>
    <row r="48" spans="1:4" x14ac:dyDescent="0.25">
      <c r="A48" s="32"/>
      <c r="B48" s="32"/>
      <c r="C48" s="32"/>
      <c r="D48" s="14">
        <f>+D47+D46</f>
        <v>2211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>
      <selection activeCell="C10" sqref="C10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-1884</v>
      </c>
      <c r="C9" s="11">
        <v>-1038</v>
      </c>
      <c r="D9" s="25">
        <f t="shared" si="0"/>
        <v>846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-4395</v>
      </c>
      <c r="C37" s="11">
        <f>SUM(C6:C36)</f>
        <v>-4152</v>
      </c>
      <c r="D37" s="25">
        <f>SUM(D6:D36)</f>
        <v>243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571.05000000000007</v>
      </c>
    </row>
    <row r="40" spans="1:4" x14ac:dyDescent="0.25">
      <c r="A40" s="57">
        <v>37315</v>
      </c>
      <c r="C40" s="15"/>
      <c r="D40" s="570">
        <v>-254178</v>
      </c>
    </row>
    <row r="41" spans="1:4" x14ac:dyDescent="0.25">
      <c r="A41" s="57">
        <v>37319</v>
      </c>
      <c r="C41" s="48"/>
      <c r="D41" s="138">
        <f>+D40+D39</f>
        <v>-253606.95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567">
        <v>3974</v>
      </c>
    </row>
    <row r="49" spans="1:4" x14ac:dyDescent="0.25">
      <c r="A49" s="49">
        <f>+A41</f>
        <v>37319</v>
      </c>
      <c r="B49" s="32"/>
      <c r="C49" s="32"/>
      <c r="D49" s="349">
        <f>+D37</f>
        <v>243</v>
      </c>
    </row>
    <row r="50" spans="1:4" x14ac:dyDescent="0.25">
      <c r="A50" s="32"/>
      <c r="B50" s="32"/>
      <c r="C50" s="32"/>
      <c r="D50" s="14">
        <f>+D49+D48</f>
        <v>4217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-36478</v>
      </c>
      <c r="C9" s="11">
        <v>-35000</v>
      </c>
      <c r="D9" s="25">
        <f t="shared" si="0"/>
        <v>1478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-135041</v>
      </c>
      <c r="C37" s="11">
        <f>SUM(C6:C36)</f>
        <v>-142000</v>
      </c>
      <c r="D37" s="25">
        <f>SUM(D6:D36)</f>
        <v>-6959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-16353.650000000001</v>
      </c>
    </row>
    <row r="40" spans="1:4" x14ac:dyDescent="0.25">
      <c r="A40" s="57">
        <v>37315</v>
      </c>
      <c r="C40" s="15"/>
      <c r="D40" s="570">
        <v>61952</v>
      </c>
    </row>
    <row r="41" spans="1:4" x14ac:dyDescent="0.25">
      <c r="A41" s="57">
        <v>37319</v>
      </c>
      <c r="C41" s="48"/>
      <c r="D41" s="138">
        <f>+D40+D39</f>
        <v>45598.35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67">
        <v>33105</v>
      </c>
    </row>
    <row r="47" spans="1:4" x14ac:dyDescent="0.25">
      <c r="A47" s="49">
        <f>+A41</f>
        <v>37319</v>
      </c>
      <c r="B47" s="32"/>
      <c r="C47" s="32"/>
      <c r="D47" s="349">
        <f>+D37</f>
        <v>-6959</v>
      </c>
    </row>
    <row r="48" spans="1:4" x14ac:dyDescent="0.25">
      <c r="A48" s="32"/>
      <c r="B48" s="32"/>
      <c r="C48" s="32"/>
      <c r="D48" s="14">
        <f>+D47+D46</f>
        <v>26146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2" sqref="D12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-378</v>
      </c>
      <c r="D5" s="90">
        <f>+C5-B5</f>
        <v>-378</v>
      </c>
      <c r="E5" s="275"/>
      <c r="F5" s="273"/>
    </row>
    <row r="6" spans="1:13" x14ac:dyDescent="0.25">
      <c r="A6" s="87">
        <v>500046</v>
      </c>
      <c r="B6" s="90">
        <v>-2847</v>
      </c>
      <c r="C6" s="90"/>
      <c r="D6" s="90">
        <f t="shared" ref="D6:D11" si="0">+C6-B6</f>
        <v>2847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-3944</v>
      </c>
      <c r="C8" s="90">
        <v>-5136</v>
      </c>
      <c r="D8" s="90">
        <f t="shared" si="0"/>
        <v>-1192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1277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2.35</v>
      </c>
      <c r="E13" s="277"/>
      <c r="F13" s="273"/>
    </row>
    <row r="14" spans="1:13" x14ac:dyDescent="0.25">
      <c r="A14" s="87"/>
      <c r="B14" s="88"/>
      <c r="C14" s="88"/>
      <c r="D14" s="96">
        <f>+D13*D12</f>
        <v>3000.9500000000003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37318</v>
      </c>
      <c r="B18" s="88"/>
      <c r="C18" s="88"/>
      <c r="D18" s="318">
        <f>+D16+D14</f>
        <v>-575776.91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567">
        <v>-56360</v>
      </c>
    </row>
    <row r="23" spans="1:7" x14ac:dyDescent="0.25">
      <c r="A23" s="49"/>
      <c r="B23" s="32"/>
      <c r="C23" s="32"/>
      <c r="D23" s="349">
        <f>+D12</f>
        <v>1277</v>
      </c>
    </row>
    <row r="24" spans="1:7" x14ac:dyDescent="0.25">
      <c r="A24" s="49">
        <f>+A18</f>
        <v>37318</v>
      </c>
      <c r="B24" s="32"/>
      <c r="C24" s="32"/>
      <c r="D24" s="14">
        <f>+D23+D22</f>
        <v>-55083</v>
      </c>
      <c r="E24" s="344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10.452896719496033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3" sqref="C33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-180440</v>
      </c>
      <c r="C37" s="11">
        <f>SUM(C6:C36)</f>
        <v>-177525</v>
      </c>
      <c r="D37" s="25">
        <f>SUM(D6:D36)</f>
        <v>2915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71">
        <v>4475</v>
      </c>
    </row>
    <row r="41" spans="1:4" x14ac:dyDescent="0.25">
      <c r="A41" s="57">
        <v>37319</v>
      </c>
      <c r="C41" s="48"/>
      <c r="D41" s="25">
        <f>+D40+D37</f>
        <v>7390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3">
        <v>154736</v>
      </c>
    </row>
    <row r="46" spans="1:4" x14ac:dyDescent="0.25">
      <c r="A46" s="49">
        <f>+A41</f>
        <v>37319</v>
      </c>
      <c r="B46" s="32"/>
      <c r="C46" s="32"/>
      <c r="D46" s="374">
        <f>+D37*'by type_area'!G4</f>
        <v>6850.25</v>
      </c>
    </row>
    <row r="47" spans="1:4" x14ac:dyDescent="0.25">
      <c r="A47" s="32"/>
      <c r="B47" s="32"/>
      <c r="C47" s="32"/>
      <c r="D47" s="200">
        <f>+D46+D45</f>
        <v>161586.25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-227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942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-721</v>
      </c>
      <c r="C37" s="11">
        <f t="shared" ref="C37:I37" si="1">SUM(C6:C36)</f>
        <v>-360</v>
      </c>
      <c r="D37" s="11">
        <f t="shared" si="1"/>
        <v>0</v>
      </c>
      <c r="E37" s="11">
        <f t="shared" si="1"/>
        <v>0</v>
      </c>
      <c r="F37" s="11">
        <f t="shared" si="1"/>
        <v>-4057</v>
      </c>
      <c r="G37" s="11">
        <f t="shared" si="1"/>
        <v>-1932</v>
      </c>
      <c r="H37" s="11">
        <f t="shared" si="1"/>
        <v>0</v>
      </c>
      <c r="I37" s="11">
        <f t="shared" si="1"/>
        <v>0</v>
      </c>
      <c r="J37" s="11">
        <f>SUM(J6:J36)</f>
        <v>2486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2.35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5842.1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37318</v>
      </c>
      <c r="J43" s="319">
        <f>+J41+J39</f>
        <v>-22221.9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37318</v>
      </c>
      <c r="B49" s="32"/>
      <c r="C49" s="32"/>
      <c r="D49" s="349">
        <f>+J37</f>
        <v>2486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2584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278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-807</v>
      </c>
      <c r="M6" s="11">
        <v>-906</v>
      </c>
      <c r="N6" s="11">
        <f>+M6+K6+I6+G6+E6+C6-L6-J6-H6-F6-D6-B6</f>
        <v>-99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-804</v>
      </c>
      <c r="M7" s="11">
        <v>-906</v>
      </c>
      <c r="N7" s="11">
        <f t="shared" ref="N7:N36" si="0">+M7+K7+I7+G7+E7+C7-L7-J7-H7-F7-D7-B7</f>
        <v>-102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-817</v>
      </c>
      <c r="M8" s="11">
        <v>-906</v>
      </c>
      <c r="N8" s="11">
        <f t="shared" si="0"/>
        <v>-89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-2428</v>
      </c>
      <c r="M37" s="11">
        <f>SUM(M6:M36)</f>
        <v>-2718</v>
      </c>
      <c r="N37" s="11">
        <f t="shared" si="1"/>
        <v>-290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2.35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-681.5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37318</v>
      </c>
      <c r="N43" s="319">
        <f>+N41+N39</f>
        <v>20308.5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37318</v>
      </c>
      <c r="B49" s="32"/>
      <c r="C49" s="32"/>
      <c r="D49" s="349">
        <f>+N37</f>
        <v>-290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6276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503</v>
      </c>
      <c r="C37" s="11">
        <f>SUM(C6:C36)</f>
        <v>368</v>
      </c>
      <c r="D37" s="25">
        <f>SUM(D6:D36)</f>
        <v>-135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-319.95</v>
      </c>
    </row>
    <row r="40" spans="1:4" x14ac:dyDescent="0.25">
      <c r="A40" s="57">
        <v>37315</v>
      </c>
      <c r="C40" s="15"/>
      <c r="D40" s="590">
        <v>171935</v>
      </c>
    </row>
    <row r="41" spans="1:4" x14ac:dyDescent="0.25">
      <c r="A41" s="57">
        <v>37318</v>
      </c>
      <c r="C41" s="48"/>
      <c r="D41" s="138">
        <f>+D40+D39</f>
        <v>171615.05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75136</v>
      </c>
    </row>
    <row r="47" spans="1:4" x14ac:dyDescent="0.25">
      <c r="A47" s="49">
        <f>+A41</f>
        <v>37318</v>
      </c>
      <c r="B47" s="32"/>
      <c r="C47" s="32"/>
      <c r="D47" s="349">
        <f>+D37</f>
        <v>-135</v>
      </c>
    </row>
    <row r="48" spans="1:4" x14ac:dyDescent="0.25">
      <c r="A48" s="32"/>
      <c r="B48" s="32"/>
      <c r="C48" s="32"/>
      <c r="D48" s="14">
        <f>+D47+D46</f>
        <v>75001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</v>
      </c>
      <c r="C37" s="11">
        <f>SUM(C6:C36)</f>
        <v>1287</v>
      </c>
      <c r="D37" s="25">
        <f>SUM(D6:D36)</f>
        <v>1231</v>
      </c>
    </row>
    <row r="38" spans="1:4" x14ac:dyDescent="0.25">
      <c r="A38" s="26"/>
      <c r="C38" s="14"/>
      <c r="D38" s="326">
        <f>+summary!G5</f>
        <v>2.37</v>
      </c>
    </row>
    <row r="39" spans="1:4" x14ac:dyDescent="0.25">
      <c r="D39" s="138">
        <f>+D38*D37</f>
        <v>2917.4700000000003</v>
      </c>
    </row>
    <row r="40" spans="1:4" x14ac:dyDescent="0.25">
      <c r="A40" s="57">
        <v>37315</v>
      </c>
      <c r="C40" s="15"/>
      <c r="D40" s="590">
        <v>1032</v>
      </c>
    </row>
    <row r="41" spans="1:4" x14ac:dyDescent="0.25">
      <c r="A41" s="57">
        <v>37318</v>
      </c>
      <c r="C41" s="48"/>
      <c r="D41" s="138">
        <f>+D40+D39</f>
        <v>3949.4700000000003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487</v>
      </c>
    </row>
    <row r="47" spans="1:4" x14ac:dyDescent="0.25">
      <c r="A47" s="49">
        <f>+A41</f>
        <v>37318</v>
      </c>
      <c r="B47" s="32"/>
      <c r="C47" s="32"/>
      <c r="D47" s="349">
        <f>+D37</f>
        <v>1231</v>
      </c>
    </row>
    <row r="48" spans="1:4" x14ac:dyDescent="0.25">
      <c r="A48" s="32"/>
      <c r="B48" s="32"/>
      <c r="C48" s="32"/>
      <c r="D48" s="14">
        <f>+D47+D46</f>
        <v>1718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C9" sqref="C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-44588</v>
      </c>
      <c r="E8" s="11">
        <v>-44300</v>
      </c>
      <c r="F8" s="11">
        <f t="shared" si="0"/>
        <v>314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-144942</v>
      </c>
      <c r="C36" s="44">
        <f>SUM(C5:C35)</f>
        <v>-156368</v>
      </c>
      <c r="D36" s="43">
        <f>SUM(D5:D35)</f>
        <v>-177556</v>
      </c>
      <c r="E36" s="43">
        <f>SUM(E5:E35)</f>
        <v>-187200</v>
      </c>
      <c r="F36" s="11">
        <f>SUM(F5:F35)</f>
        <v>-21070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2.37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-49935.9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37319</v>
      </c>
      <c r="B43" s="32"/>
      <c r="C43" s="106"/>
      <c r="D43" s="106"/>
      <c r="E43" s="106"/>
      <c r="F43" s="24">
        <f>+F42+F36</f>
        <v>31975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37319</v>
      </c>
      <c r="B49" s="32"/>
      <c r="C49" s="32"/>
      <c r="D49" s="76">
        <f>+F36</f>
        <v>-21070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69223.960000000006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-6682</v>
      </c>
      <c r="C37" s="24">
        <f>SUM(C6:C36)</f>
        <v>-5889</v>
      </c>
      <c r="D37" s="24">
        <f>SUM(D6:D36)</f>
        <v>-4315</v>
      </c>
      <c r="E37" s="24">
        <f>SUM(E6:E36)</f>
        <v>-6000</v>
      </c>
      <c r="F37" s="24">
        <f>SUM(F6:F36)</f>
        <v>-892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-2096.2000000000003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37318</v>
      </c>
      <c r="C41" s="319"/>
      <c r="D41" s="262"/>
      <c r="E41" s="262"/>
      <c r="F41" s="104">
        <f>+F40+F39</f>
        <v>-123275.45999999999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37318</v>
      </c>
      <c r="B47" s="32"/>
      <c r="C47" s="32"/>
      <c r="D47" s="349">
        <f>+F37</f>
        <v>-892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-35936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7" workbookViewId="0">
      <selection activeCell="A42" sqref="A42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-3703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-11197</v>
      </c>
      <c r="C37" s="24">
        <f t="shared" si="1"/>
        <v>-10161</v>
      </c>
      <c r="D37" s="24">
        <f t="shared" si="1"/>
        <v>-4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965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2267.75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37318</v>
      </c>
      <c r="E41" s="14"/>
      <c r="O41" s="441"/>
      <c r="P41" s="104">
        <f>+P40+P39</f>
        <v>143983.23000000001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37318</v>
      </c>
      <c r="B47" s="32"/>
      <c r="C47" s="32"/>
      <c r="D47" s="349">
        <f>+P37</f>
        <v>965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62626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2.299096701050682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275</v>
      </c>
      <c r="C3" s="87"/>
      <c r="D3" s="87"/>
    </row>
    <row r="4" spans="1:4" x14ac:dyDescent="0.25">
      <c r="A4" s="3"/>
      <c r="B4" s="328" t="s">
        <v>274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-42944</v>
      </c>
      <c r="C37" s="11">
        <f>SUM(C6:C36)</f>
        <v>-42000</v>
      </c>
      <c r="D37" s="25">
        <f>SUM(D6:D36)</f>
        <v>944</v>
      </c>
    </row>
    <row r="38" spans="1:4" x14ac:dyDescent="0.25">
      <c r="A38" s="26"/>
      <c r="C38" s="14"/>
      <c r="D38" s="326">
        <f>+summary!G4</f>
        <v>2.35</v>
      </c>
    </row>
    <row r="39" spans="1:4" x14ac:dyDescent="0.25">
      <c r="D39" s="138">
        <f>+D38*D37</f>
        <v>2218.4</v>
      </c>
    </row>
    <row r="40" spans="1:4" x14ac:dyDescent="0.25">
      <c r="A40" s="57">
        <v>37315</v>
      </c>
      <c r="C40" s="15"/>
      <c r="D40" s="590">
        <v>-11774</v>
      </c>
    </row>
    <row r="41" spans="1:4" x14ac:dyDescent="0.25">
      <c r="A41" s="57">
        <v>37318</v>
      </c>
      <c r="C41" s="48"/>
      <c r="D41" s="138">
        <f>+D40+D39</f>
        <v>-9555.6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91">
        <v>7289</v>
      </c>
    </row>
    <row r="47" spans="1:4" x14ac:dyDescent="0.25">
      <c r="A47" s="49">
        <f>+A41</f>
        <v>37318</v>
      </c>
      <c r="B47" s="32"/>
      <c r="C47" s="32"/>
      <c r="D47" s="349">
        <f>+D37</f>
        <v>944</v>
      </c>
    </row>
    <row r="48" spans="1:4" x14ac:dyDescent="0.25">
      <c r="A48" s="32"/>
      <c r="B48" s="32"/>
      <c r="C48" s="32"/>
      <c r="D48" s="14">
        <f>+D47+D46</f>
        <v>8233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9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294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2.37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278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2.35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6" workbookViewId="0">
      <selection activeCell="C9" sqref="C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140745</v>
      </c>
      <c r="C10" s="11">
        <v>140609</v>
      </c>
      <c r="D10" s="25">
        <f t="shared" si="0"/>
        <v>-136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558072</v>
      </c>
      <c r="C38" s="11">
        <f>SUM(C7:C37)</f>
        <v>556961</v>
      </c>
      <c r="D38" s="11">
        <f>SUM(D7:D37)</f>
        <v>-1111</v>
      </c>
    </row>
    <row r="39" spans="1:8" x14ac:dyDescent="0.25">
      <c r="A39" s="26"/>
      <c r="C39" s="14"/>
      <c r="D39" s="106">
        <f>+summary!G3</f>
        <v>2.33</v>
      </c>
    </row>
    <row r="40" spans="1:8" x14ac:dyDescent="0.25">
      <c r="D40" s="138">
        <f>+D39*D38</f>
        <v>-2588.63</v>
      </c>
      <c r="H40">
        <v>20</v>
      </c>
    </row>
    <row r="41" spans="1:8" x14ac:dyDescent="0.25">
      <c r="A41" s="57">
        <v>37315</v>
      </c>
      <c r="C41" s="15"/>
      <c r="D41" s="597">
        <v>-13945</v>
      </c>
      <c r="H41">
        <v>530</v>
      </c>
    </row>
    <row r="42" spans="1:8" x14ac:dyDescent="0.25">
      <c r="A42" s="57">
        <v>37319</v>
      </c>
      <c r="D42" s="319">
        <f>+D41+D40</f>
        <v>-16533.63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67">
        <v>-7030</v>
      </c>
    </row>
    <row r="48" spans="1:8" x14ac:dyDescent="0.25">
      <c r="A48" s="49">
        <f>+A42</f>
        <v>37319</v>
      </c>
      <c r="B48" s="32"/>
      <c r="C48" s="32"/>
      <c r="D48" s="349">
        <f>+D38</f>
        <v>-1111</v>
      </c>
    </row>
    <row r="49" spans="1:4" x14ac:dyDescent="0.25">
      <c r="A49" s="32"/>
      <c r="B49" s="32"/>
      <c r="C49" s="32"/>
      <c r="D49" s="14">
        <f>+D48+D47</f>
        <v>-8141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0" sqref="C30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-437690</v>
      </c>
      <c r="C35" s="11">
        <f>SUM(C4:C34)</f>
        <v>-436915</v>
      </c>
      <c r="D35" s="11">
        <f>SUM(D4:D34)</f>
        <v>775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575">
        <v>5393</v>
      </c>
    </row>
    <row r="39" spans="1:30" x14ac:dyDescent="0.25">
      <c r="A39" s="12"/>
      <c r="D39" s="51"/>
    </row>
    <row r="40" spans="1:30" x14ac:dyDescent="0.25">
      <c r="A40" s="245">
        <v>37318</v>
      </c>
      <c r="D40" s="51">
        <f>+D38+D35</f>
        <v>6168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37318</v>
      </c>
      <c r="B46" s="32"/>
      <c r="C46" s="32"/>
      <c r="D46" s="374">
        <f>+D35*'by type_area'!G4</f>
        <v>1821.25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-191071.75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1" sqref="C3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-2003247</v>
      </c>
      <c r="C35" s="11">
        <f>SUM(C4:C34)</f>
        <v>-2063581</v>
      </c>
      <c r="D35" s="11">
        <f>SUM(D4:D34)</f>
        <v>0</v>
      </c>
      <c r="E35" s="11">
        <f>SUM(E4:E34)</f>
        <v>0</v>
      </c>
      <c r="F35" s="11">
        <f>SUM(F4:F34)</f>
        <v>-60334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76">
        <v>78476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37319</v>
      </c>
      <c r="D40" s="246"/>
      <c r="E40" s="246"/>
      <c r="F40" s="51">
        <f>+F38+F35</f>
        <v>18142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37319</v>
      </c>
      <c r="B46" s="32"/>
      <c r="C46" s="32"/>
      <c r="D46" s="472">
        <f>+F35*'by type_area'!G4</f>
        <v>-141784.9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135702.1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18" sqref="B1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-304573</v>
      </c>
      <c r="C35" s="44">
        <f t="shared" si="3"/>
        <v>-72320</v>
      </c>
      <c r="D35" s="11">
        <f t="shared" si="3"/>
        <v>-46726</v>
      </c>
      <c r="E35" s="44">
        <f t="shared" si="3"/>
        <v>-275409</v>
      </c>
      <c r="F35" s="11">
        <f t="shared" si="3"/>
        <v>0</v>
      </c>
      <c r="G35" s="11">
        <f t="shared" si="3"/>
        <v>0</v>
      </c>
      <c r="H35" s="11">
        <f t="shared" si="3"/>
        <v>3570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2.35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8389.5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37318</v>
      </c>
      <c r="F39" s="471"/>
      <c r="G39" s="471"/>
      <c r="H39" s="319">
        <f>+H38+H37</f>
        <v>44019.5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37318</v>
      </c>
      <c r="E47" s="457">
        <f>+H35</f>
        <v>3570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48256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-280150</v>
      </c>
      <c r="E5" s="11">
        <v>-279189</v>
      </c>
      <c r="F5" s="11"/>
      <c r="G5" s="11"/>
      <c r="H5" s="24">
        <f>+E5-D5+C5-B5</f>
        <v>961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-1127582</v>
      </c>
      <c r="E36" s="11">
        <f t="shared" si="15"/>
        <v>-1125815</v>
      </c>
      <c r="F36" s="11">
        <f t="shared" si="15"/>
        <v>0</v>
      </c>
      <c r="G36" s="11">
        <f t="shared" si="15"/>
        <v>0</v>
      </c>
      <c r="H36" s="11">
        <f t="shared" si="15"/>
        <v>1767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1767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578">
        <v>64269</v>
      </c>
      <c r="D38" s="320"/>
      <c r="E38" s="579">
        <v>-60855</v>
      </c>
      <c r="F38" s="24"/>
      <c r="G38" s="24"/>
      <c r="H38" s="236">
        <f>+C38+E38+G38</f>
        <v>3414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37319</v>
      </c>
      <c r="B39" s="2" t="s">
        <v>45</v>
      </c>
      <c r="C39" s="131">
        <f>+C38+C37</f>
        <v>64269</v>
      </c>
      <c r="D39" s="252"/>
      <c r="E39" s="131">
        <f>+E38+E37</f>
        <v>-59088</v>
      </c>
      <c r="F39" s="252"/>
      <c r="G39" s="131"/>
      <c r="H39" s="131">
        <f>+H38+H36</f>
        <v>5181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37319</v>
      </c>
      <c r="B45" s="32"/>
      <c r="C45" s="47">
        <f>+C37*summary!G4</f>
        <v>0</v>
      </c>
      <c r="D45" s="205"/>
      <c r="E45" s="376">
        <f>+E37*summary!G3</f>
        <v>4117.1099999999997</v>
      </c>
      <c r="F45" s="47">
        <f>+E45+C45</f>
        <v>4117.1099999999997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5" sqref="E3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144557</v>
      </c>
      <c r="C11" s="11">
        <v>143722</v>
      </c>
      <c r="D11" s="11">
        <v>19248</v>
      </c>
      <c r="E11" s="11">
        <v>20284</v>
      </c>
      <c r="F11" s="11">
        <f t="shared" si="5"/>
        <v>201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37319</v>
      </c>
      <c r="I23" s="11">
        <f>+B39</f>
        <v>577400</v>
      </c>
      <c r="J23" s="11">
        <f>+C39</f>
        <v>575644</v>
      </c>
      <c r="K23" s="11">
        <f>+D39</f>
        <v>80024</v>
      </c>
      <c r="L23" s="11">
        <f>+E39</f>
        <v>77642</v>
      </c>
      <c r="M23" s="42">
        <f>+J23-I23+L23-K23</f>
        <v>-4138</v>
      </c>
      <c r="N23" s="102">
        <f>+summary!G3</f>
        <v>2.33</v>
      </c>
      <c r="O23" s="496">
        <f>+N23*M23</f>
        <v>-9641.5400000000009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85662</v>
      </c>
      <c r="N24" s="102"/>
      <c r="O24" s="102">
        <f>SUM(O9:O23)</f>
        <v>558474.79999999993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577400</v>
      </c>
      <c r="C39" s="150">
        <f>SUM(C8:C38)</f>
        <v>575644</v>
      </c>
      <c r="D39" s="150">
        <f>SUM(D8:D38)</f>
        <v>80024</v>
      </c>
      <c r="E39" s="150">
        <f>SUM(E8:E38)</f>
        <v>77642</v>
      </c>
      <c r="F39" s="11">
        <f t="shared" si="5"/>
        <v>-4138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37319</v>
      </c>
      <c r="B45" s="32"/>
      <c r="C45" s="106"/>
      <c r="D45" s="106"/>
      <c r="E45" s="106"/>
      <c r="F45" s="24">
        <f>+F44+F39</f>
        <v>60120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37319</v>
      </c>
      <c r="B51" s="32"/>
      <c r="C51" s="32"/>
      <c r="D51" s="349">
        <f>+F39*summary!G3</f>
        <v>-9641.5400000000009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471744.46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7.8467142381902866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2002-03-05T23:34:06Z</cp:lastPrinted>
  <dcterms:created xsi:type="dcterms:W3CDTF">2000-03-28T16:52:23Z</dcterms:created>
  <dcterms:modified xsi:type="dcterms:W3CDTF">2023-09-10T15:07:13Z</dcterms:modified>
</cp:coreProperties>
</file>